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stine_a_cde_state_co_us/Documents/BEST Collaboration/24-25_BEST_Applications/ReviewMaterials/"/>
    </mc:Choice>
  </mc:AlternateContent>
  <xr:revisionPtr revIDLastSave="962" documentId="8_{EC998AAA-7420-41C3-873D-6A2F496AABE8}" xr6:coauthVersionLast="47" xr6:coauthVersionMax="47" xr10:uidLastSave="{8D27AED9-044D-4A70-8FE5-CF1859A7A7DD}"/>
  <bookViews>
    <workbookView xWindow="28680" yWindow="-4620" windowWidth="29040" windowHeight="17520" xr2:uid="{00000000-000D-0000-FFFF-FFFF00000000}"/>
  </bookViews>
  <sheets>
    <sheet name="24-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3" l="1"/>
  <c r="D70" i="3"/>
  <c r="D63" i="3" l="1"/>
  <c r="D62" i="3"/>
  <c r="D61" i="3"/>
  <c r="D60" i="3"/>
  <c r="E65" i="3"/>
  <c r="D65" i="3"/>
  <c r="E66" i="3"/>
  <c r="E67" i="3"/>
  <c r="D67" i="3"/>
  <c r="D66" i="3"/>
  <c r="E63" i="3"/>
  <c r="E62" i="3"/>
  <c r="E61" i="3"/>
  <c r="E60" i="3"/>
  <c r="E58" i="3"/>
  <c r="D58" i="3"/>
  <c r="F29" i="3" l="1"/>
  <c r="F30" i="3"/>
  <c r="E68" i="3"/>
  <c r="D68" i="3"/>
  <c r="F2" i="3" l="1"/>
  <c r="F3" i="3"/>
  <c r="G3" i="3" s="1"/>
  <c r="F4" i="3"/>
  <c r="G4" i="3" s="1"/>
  <c r="F5" i="3"/>
  <c r="F6" i="3"/>
  <c r="G6" i="3" s="1"/>
  <c r="F7" i="3"/>
  <c r="G7" i="3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/>
  <c r="F17" i="3"/>
  <c r="G17" i="3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/>
  <c r="F28" i="3"/>
  <c r="G28" i="3"/>
  <c r="G29" i="3"/>
  <c r="G30" i="3"/>
  <c r="F31" i="3"/>
  <c r="G31" i="3" s="1"/>
  <c r="F32" i="3"/>
  <c r="G32" i="3" s="1"/>
  <c r="F33" i="3"/>
  <c r="G33" i="3" s="1"/>
  <c r="G34" i="3"/>
  <c r="F35" i="3"/>
  <c r="G35" i="3" s="1"/>
  <c r="G36" i="3"/>
  <c r="F37" i="3"/>
  <c r="G37" i="3" s="1"/>
  <c r="F38" i="3"/>
  <c r="G38" i="3"/>
  <c r="F39" i="3"/>
  <c r="G39" i="3" s="1"/>
  <c r="F40" i="3"/>
  <c r="F41" i="3"/>
  <c r="G41" i="3" s="1"/>
  <c r="F42" i="3"/>
  <c r="G42" i="3" s="1"/>
  <c r="F43" i="3"/>
  <c r="G43" i="3" s="1"/>
  <c r="G44" i="3"/>
  <c r="F45" i="3"/>
  <c r="G45" i="3" s="1"/>
  <c r="F46" i="3"/>
  <c r="G46" i="3" s="1"/>
  <c r="F47" i="3"/>
  <c r="G47" i="3" s="1"/>
  <c r="F48" i="3"/>
  <c r="F49" i="3"/>
  <c r="G49" i="3"/>
  <c r="F50" i="3"/>
  <c r="F51" i="3"/>
  <c r="G51" i="3" s="1"/>
  <c r="F52" i="3"/>
  <c r="G52" i="3" s="1"/>
  <c r="F53" i="3"/>
  <c r="F54" i="3"/>
  <c r="G54" i="3" s="1"/>
  <c r="F55" i="3"/>
  <c r="F56" i="3"/>
  <c r="G56" i="3" s="1"/>
  <c r="F57" i="3"/>
  <c r="G57" i="3" s="1"/>
  <c r="F62" i="3" l="1"/>
  <c r="G55" i="3"/>
  <c r="G70" i="3" s="1"/>
  <c r="F70" i="3"/>
  <c r="G48" i="3"/>
  <c r="G67" i="3" s="1"/>
  <c r="F67" i="3"/>
  <c r="F66" i="3"/>
  <c r="F65" i="3"/>
  <c r="G40" i="3"/>
  <c r="F63" i="3"/>
  <c r="G60" i="3"/>
  <c r="F60" i="3"/>
  <c r="G5" i="3"/>
  <c r="G61" i="3" s="1"/>
  <c r="F61" i="3"/>
  <c r="G50" i="3"/>
  <c r="G62" i="3" s="1"/>
  <c r="F58" i="3"/>
  <c r="G53" i="3"/>
  <c r="G68" i="3"/>
  <c r="F68" i="3"/>
  <c r="G2" i="3"/>
  <c r="G65" i="3" l="1"/>
  <c r="G66" i="3"/>
  <c r="G58" i="3"/>
  <c r="G63" i="3"/>
</calcChain>
</file>

<file path=xl/sharedStrings.xml><?xml version="1.0" encoding="utf-8"?>
<sst xmlns="http://schemas.openxmlformats.org/spreadsheetml/2006/main" count="187" uniqueCount="156">
  <si>
    <t>County</t>
  </si>
  <si>
    <t>Adams</t>
  </si>
  <si>
    <t>Adams County 14</t>
  </si>
  <si>
    <t>Elbert</t>
  </si>
  <si>
    <t>Agate 300</t>
  </si>
  <si>
    <t>Alamosa</t>
  </si>
  <si>
    <t>Alamosa RE-11J</t>
  </si>
  <si>
    <t>Prowers</t>
  </si>
  <si>
    <t>Alta Vista Charter School</t>
  </si>
  <si>
    <t>Kit Carson</t>
  </si>
  <si>
    <t>Bethune R-5</t>
  </si>
  <si>
    <t>Boulder</t>
  </si>
  <si>
    <t>Boulder Valley Re 2</t>
  </si>
  <si>
    <t>Morgan</t>
  </si>
  <si>
    <t>Brush RE-2(J)</t>
  </si>
  <si>
    <t>Otero</t>
  </si>
  <si>
    <t>Cheraw 31</t>
  </si>
  <si>
    <t>Colorado Early Colleges Colorado Springs</t>
  </si>
  <si>
    <t>Colorado School for the Deaf and Blind</t>
  </si>
  <si>
    <t>Crowley</t>
  </si>
  <si>
    <t>Crowley County RE-1-J</t>
  </si>
  <si>
    <t>Delta</t>
  </si>
  <si>
    <t>Delta County 50(J)</t>
  </si>
  <si>
    <t>Montezuma</t>
  </si>
  <si>
    <t>Dolores RE-4A</t>
  </si>
  <si>
    <t>Firestone Charter Academy</t>
  </si>
  <si>
    <t>Fort Morgan Re-3</t>
  </si>
  <si>
    <t>Logan</t>
  </si>
  <si>
    <t>Frenchman RE-3</t>
  </si>
  <si>
    <t>Garfield</t>
  </si>
  <si>
    <t>Garfield 16</t>
  </si>
  <si>
    <t>ES Health, Safety, and HVAC Improvements</t>
  </si>
  <si>
    <t>Garfield Re-2</t>
  </si>
  <si>
    <t>Gunnison</t>
  </si>
  <si>
    <t>Gunnison Watershed RE1J</t>
  </si>
  <si>
    <t>El Paso</t>
  </si>
  <si>
    <t>Hanover 28</t>
  </si>
  <si>
    <t>Harrison 2</t>
  </si>
  <si>
    <t>Phillips</t>
  </si>
  <si>
    <t>Haxtun RE-2J</t>
  </si>
  <si>
    <t>Holyoke Re-1J</t>
  </si>
  <si>
    <t>La Plata</t>
  </si>
  <si>
    <t>Ignacio 11 JT</t>
  </si>
  <si>
    <t>Jefferson</t>
  </si>
  <si>
    <t>Jefferson County R-1</t>
  </si>
  <si>
    <t>Kiowa C-2</t>
  </si>
  <si>
    <t>Lake</t>
  </si>
  <si>
    <t>Lake County R-1</t>
  </si>
  <si>
    <t>Arapahoe</t>
  </si>
  <si>
    <t>Lotus School for Excellence</t>
  </si>
  <si>
    <t>Mapleton 1</t>
  </si>
  <si>
    <t>Marble Charter School</t>
  </si>
  <si>
    <t>Bent</t>
  </si>
  <si>
    <t>McClave Re-2</t>
  </si>
  <si>
    <t>PK-12 School Replacement</t>
  </si>
  <si>
    <t>Moffat</t>
  </si>
  <si>
    <t>Moffat County RE: No 1</t>
  </si>
  <si>
    <t>Jackson</t>
  </si>
  <si>
    <t>North Park R-1</t>
  </si>
  <si>
    <t>San Miguel</t>
  </si>
  <si>
    <t>Norwood R-2J</t>
  </si>
  <si>
    <t>Peyton 23 Jt</t>
  </si>
  <si>
    <t>Plateau RE-5</t>
  </si>
  <si>
    <t>Park</t>
  </si>
  <si>
    <t>Platte Canyon 1</t>
  </si>
  <si>
    <t>Pueblo</t>
  </si>
  <si>
    <t>Pueblo County 70</t>
  </si>
  <si>
    <t>Sedgwick</t>
  </si>
  <si>
    <t>Revere School District</t>
  </si>
  <si>
    <t>Larimer</t>
  </si>
  <si>
    <t>Ridgeview Classical Schools</t>
  </si>
  <si>
    <t>Ouray</t>
  </si>
  <si>
    <t>Ridgway R-2</t>
  </si>
  <si>
    <t>San Luis Valley BOCES</t>
  </si>
  <si>
    <t>Stone Creek School</t>
  </si>
  <si>
    <t>The Pinnacle Charter School</t>
  </si>
  <si>
    <t>Thompson R2-J</t>
  </si>
  <si>
    <t>Las Animas</t>
  </si>
  <si>
    <t>Trinidad 1</t>
  </si>
  <si>
    <t>Weld</t>
  </si>
  <si>
    <t>University Schools</t>
  </si>
  <si>
    <t>Baca</t>
  </si>
  <si>
    <t>Vilas RE-5</t>
  </si>
  <si>
    <t>Weldon Valley RE-20(J)</t>
  </si>
  <si>
    <t>Widefield 3</t>
  </si>
  <si>
    <t>Wiggins RE-50(J)</t>
  </si>
  <si>
    <t>Applicant</t>
  </si>
  <si>
    <t>Project Description</t>
  </si>
  <si>
    <t>BEST Request Amount</t>
  </si>
  <si>
    <t>Applicant Matching Contribution</t>
  </si>
  <si>
    <t>Total Request &amp; Matching Contribution</t>
  </si>
  <si>
    <t>Proposed Match</t>
  </si>
  <si>
    <t>Colorado School for the Deaf and Blind (1)</t>
  </si>
  <si>
    <t>State Match Over $25 million (11)</t>
  </si>
  <si>
    <t>Last Year (FY23-24) - Applications Received (57)</t>
  </si>
  <si>
    <t>PK-12 Addition</t>
  </si>
  <si>
    <t>MS Replacement</t>
  </si>
  <si>
    <t>Gym Roof and HVAC Improvements</t>
  </si>
  <si>
    <t>HS Renovation and Addition</t>
  </si>
  <si>
    <t>ES HVAC Upgrades</t>
  </si>
  <si>
    <t>Elevator Renovation</t>
  </si>
  <si>
    <t>K-12 Plumbing and Sewer Upgrades</t>
  </si>
  <si>
    <t>Boulder Prep. HS Roof Replacement, HVAC, and Security Upgrades</t>
  </si>
  <si>
    <t>New Vista HS Abatement and Demo</t>
  </si>
  <si>
    <t>Thompson Primary Health and Safety Upgrades</t>
  </si>
  <si>
    <t>K-12 Renovation and Addition</t>
  </si>
  <si>
    <t>K-12 Electrical, HVAC, and Security Upgrades</t>
  </si>
  <si>
    <t>West Hall Renovation and Addition</t>
  </si>
  <si>
    <t>Ward Intermediate Renovation and K-12 Addition</t>
  </si>
  <si>
    <t>Multiple School HVAC and Security Upgrades</t>
  </si>
  <si>
    <t>MS and HS Renovation and Addition</t>
  </si>
  <si>
    <t>K-8 Safety and Security Upgrades</t>
  </si>
  <si>
    <t>Supplemental FY24 DW Health and Safety Upgrades</t>
  </si>
  <si>
    <t>K-12 Major Renovation and Addition</t>
  </si>
  <si>
    <t>ES Roof, Boilers, Window, and Door Replacements</t>
  </si>
  <si>
    <t>DW HVAC Upgrades</t>
  </si>
  <si>
    <t>DW Security Upgrades</t>
  </si>
  <si>
    <t>Prairie Heights ES Security Upgrades, Renovation, and Addition</t>
  </si>
  <si>
    <t>Multiple School Roofing Improvements</t>
  </si>
  <si>
    <t>ES Replacement</t>
  </si>
  <si>
    <t>ES Roof Replacement</t>
  </si>
  <si>
    <t>Astrozon K-12 Roof and HVAC Replacement</t>
  </si>
  <si>
    <t>Howard ES Roof and HVAC Replacement and Security Upgrades</t>
  </si>
  <si>
    <t>Fletcher Miller School Replacement</t>
  </si>
  <si>
    <t>ES Addition and Replacement</t>
  </si>
  <si>
    <t xml:space="preserve">HVAC Replacement </t>
  </si>
  <si>
    <t>Multiple School HVAC Upgrades</t>
  </si>
  <si>
    <t>HVAC Replacement and Safety Upgrades</t>
  </si>
  <si>
    <t>ES and HS HVAC Upgrades</t>
  </si>
  <si>
    <t>ES Roof Upgrades</t>
  </si>
  <si>
    <t>Supplemental FY23 PK-12 Addition/Renovation</t>
  </si>
  <si>
    <t>ES and MS Consolidation</t>
  </si>
  <si>
    <t>Pueblo County HS Roof Replacement and Wastewater Improvements</t>
  </si>
  <si>
    <t>K-12 Gym Roof Replacement</t>
  </si>
  <si>
    <t>HVAC, Roof Replacement, and Security Upgrades</t>
  </si>
  <si>
    <t>Secondary School Roof Replacement</t>
  </si>
  <si>
    <t>School Replacement</t>
  </si>
  <si>
    <t>K-8 Roof, HVAC, Safety, and Security Improvements</t>
  </si>
  <si>
    <t>K-12 Roof, HVAC Replacement and Security Upgrades</t>
  </si>
  <si>
    <t>Multiple School Partial Reroof</t>
  </si>
  <si>
    <t>Fisher Peak ES Roof and HVAC Improvements</t>
  </si>
  <si>
    <t>K-12 Roof Replacement</t>
  </si>
  <si>
    <t>Supplemental FY24 PK-12 Addition/Renovation</t>
  </si>
  <si>
    <t>Janitell Jr. HS Roof and HVAC Improvements</t>
  </si>
  <si>
    <t>HS Event Center HVAC</t>
  </si>
  <si>
    <t>56 applications received</t>
  </si>
  <si>
    <t>Charter School Applications (12)</t>
  </si>
  <si>
    <t>School District Applications (42)</t>
  </si>
  <si>
    <t>State Match Under $1 million (16)</t>
  </si>
  <si>
    <t>State Match Between $1 million - $10 million (24)</t>
  </si>
  <si>
    <t>State Match Between $10 million - $25 million (5)</t>
  </si>
  <si>
    <t>Totals</t>
  </si>
  <si>
    <t>Eagle</t>
  </si>
  <si>
    <t>James Irwin Charter Schools</t>
  </si>
  <si>
    <t>Supplemental Grant Requests (3)</t>
  </si>
  <si>
    <t>Boards of Cooperative Educational Services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</si>
</sst>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44" fontId="2" fillId="0" borderId="0" xfId="0" applyNumberFormat="1" applyFont="1"/>
    <xf numFmtId="44" fontId="0" fillId="3" borderId="1" xfId="1" applyFont="1" applyFill="1" applyBorder="1"/>
    <xf numFmtId="10" fontId="0" fillId="3" borderId="1" xfId="2" applyNumberFormat="1" applyFont="1" applyFill="1" applyBorder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0" borderId="0" xfId="0" applyNumberFormat="1" applyFont="1"/>
    <xf numFmtId="10" fontId="0" fillId="0" borderId="0" xfId="0" applyNumberFormat="1"/>
    <xf numFmtId="44" fontId="2" fillId="0" borderId="0" xfId="0" applyNumberFormat="1" applyFont="1" applyAlignment="1">
      <alignment horizontal="right"/>
    </xf>
    <xf numFmtId="10" fontId="2" fillId="0" borderId="0" xfId="2" applyNumberFormat="1" applyFont="1"/>
    <xf numFmtId="0" fontId="1" fillId="0" borderId="1" xfId="0" applyFont="1" applyBorder="1"/>
    <xf numFmtId="0" fontId="0" fillId="0" borderId="1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6418-7382-4E1F-843E-AB482BF27754}">
  <dimension ref="A1:L73"/>
  <sheetViews>
    <sheetView tabSelected="1" topLeftCell="A26" zoomScaleNormal="100" workbookViewId="0">
      <selection activeCell="B71" sqref="B71"/>
    </sheetView>
  </sheetViews>
  <sheetFormatPr defaultRowHeight="14.5" x14ac:dyDescent="0.35"/>
  <cols>
    <col min="1" max="1" width="12.453125" bestFit="1" customWidth="1"/>
    <col min="2" max="2" width="40.81640625" bestFit="1" customWidth="1"/>
    <col min="3" max="3" width="60.08984375" customWidth="1"/>
    <col min="4" max="5" width="24" customWidth="1"/>
    <col min="6" max="6" width="19.1796875" customWidth="1"/>
    <col min="7" max="7" width="10.1796875" style="14" customWidth="1"/>
    <col min="12" max="12" width="16.453125" bestFit="1" customWidth="1"/>
  </cols>
  <sheetData>
    <row r="1" spans="1:7" ht="43" customHeight="1" x14ac:dyDescent="0.35">
      <c r="A1" s="11" t="s">
        <v>0</v>
      </c>
      <c r="B1" s="11" t="s">
        <v>86</v>
      </c>
      <c r="C1" s="11" t="s">
        <v>87</v>
      </c>
      <c r="D1" s="11" t="s">
        <v>88</v>
      </c>
      <c r="E1" s="11" t="s">
        <v>89</v>
      </c>
      <c r="F1" s="11" t="s">
        <v>90</v>
      </c>
      <c r="G1" s="12" t="s">
        <v>91</v>
      </c>
    </row>
    <row r="2" spans="1:7" x14ac:dyDescent="0.35">
      <c r="A2" s="4" t="s">
        <v>1</v>
      </c>
      <c r="B2" s="4" t="s">
        <v>2</v>
      </c>
      <c r="C2" s="4" t="s">
        <v>96</v>
      </c>
      <c r="D2" s="6">
        <v>43245018.609999999</v>
      </c>
      <c r="E2" s="6">
        <v>33978228.909999996</v>
      </c>
      <c r="F2" s="6">
        <f t="shared" ref="F2:F33" si="0">D2+E2</f>
        <v>77223247.519999996</v>
      </c>
      <c r="G2" s="7">
        <f t="shared" ref="G2:G30" si="1">E2/F2</f>
        <v>0.44000000001553935</v>
      </c>
    </row>
    <row r="3" spans="1:7" x14ac:dyDescent="0.35">
      <c r="A3" s="4" t="s">
        <v>3</v>
      </c>
      <c r="B3" s="4" t="s">
        <v>4</v>
      </c>
      <c r="C3" s="4" t="s">
        <v>97</v>
      </c>
      <c r="D3" s="6">
        <v>394124.94</v>
      </c>
      <c r="E3" s="6">
        <v>462668.41</v>
      </c>
      <c r="F3" s="6">
        <f t="shared" si="0"/>
        <v>856793.35</v>
      </c>
      <c r="G3" s="7">
        <f t="shared" si="1"/>
        <v>0.54000000116714253</v>
      </c>
    </row>
    <row r="4" spans="1:7" x14ac:dyDescent="0.35">
      <c r="A4" s="4" t="s">
        <v>5</v>
      </c>
      <c r="B4" s="4" t="s">
        <v>6</v>
      </c>
      <c r="C4" s="4" t="s">
        <v>98</v>
      </c>
      <c r="D4" s="6">
        <v>10226855.92</v>
      </c>
      <c r="E4" s="6">
        <v>6268072.9900000002</v>
      </c>
      <c r="F4" s="6">
        <f t="shared" si="0"/>
        <v>16494928.91</v>
      </c>
      <c r="G4" s="7">
        <f t="shared" si="1"/>
        <v>0.38000000025462372</v>
      </c>
    </row>
    <row r="5" spans="1:7" x14ac:dyDescent="0.35">
      <c r="A5" s="4" t="s">
        <v>5</v>
      </c>
      <c r="B5" s="4" t="s">
        <v>6</v>
      </c>
      <c r="C5" s="4" t="s">
        <v>99</v>
      </c>
      <c r="D5" s="6">
        <v>1361654.99</v>
      </c>
      <c r="E5" s="6">
        <v>834562.74</v>
      </c>
      <c r="F5" s="6">
        <f t="shared" si="0"/>
        <v>2196217.73</v>
      </c>
      <c r="G5" s="7">
        <f t="shared" si="1"/>
        <v>0.38000000118385346</v>
      </c>
    </row>
    <row r="6" spans="1:7" x14ac:dyDescent="0.35">
      <c r="A6" s="4" t="s">
        <v>7</v>
      </c>
      <c r="B6" s="4" t="s">
        <v>8</v>
      </c>
      <c r="C6" s="4" t="s">
        <v>100</v>
      </c>
      <c r="D6" s="6">
        <v>193440</v>
      </c>
      <c r="E6" s="6">
        <v>54560</v>
      </c>
      <c r="F6" s="6">
        <f t="shared" si="0"/>
        <v>248000</v>
      </c>
      <c r="G6" s="7">
        <f t="shared" si="1"/>
        <v>0.22</v>
      </c>
    </row>
    <row r="7" spans="1:7" x14ac:dyDescent="0.35">
      <c r="A7" s="4" t="s">
        <v>9</v>
      </c>
      <c r="B7" s="4" t="s">
        <v>10</v>
      </c>
      <c r="C7" s="4" t="s">
        <v>101</v>
      </c>
      <c r="D7" s="6">
        <v>74071.64</v>
      </c>
      <c r="E7" s="6">
        <v>27396.36</v>
      </c>
      <c r="F7" s="6">
        <f t="shared" si="0"/>
        <v>101468</v>
      </c>
      <c r="G7" s="7">
        <f t="shared" si="1"/>
        <v>0.27</v>
      </c>
    </row>
    <row r="8" spans="1:7" x14ac:dyDescent="0.35">
      <c r="A8" s="4" t="s">
        <v>11</v>
      </c>
      <c r="B8" s="4" t="s">
        <v>12</v>
      </c>
      <c r="C8" s="4" t="s">
        <v>102</v>
      </c>
      <c r="D8" s="6">
        <v>339418.32</v>
      </c>
      <c r="E8" s="6">
        <v>830989.68</v>
      </c>
      <c r="F8" s="6">
        <f t="shared" si="0"/>
        <v>1170408</v>
      </c>
      <c r="G8" s="7">
        <f t="shared" si="1"/>
        <v>0.71000000000000008</v>
      </c>
    </row>
    <row r="9" spans="1:7" x14ac:dyDescent="0.35">
      <c r="A9" s="4" t="s">
        <v>11</v>
      </c>
      <c r="B9" s="4" t="s">
        <v>12</v>
      </c>
      <c r="C9" s="4" t="s">
        <v>103</v>
      </c>
      <c r="D9" s="6">
        <v>529305.97</v>
      </c>
      <c r="E9" s="6">
        <v>1295887.03</v>
      </c>
      <c r="F9" s="6">
        <f t="shared" si="0"/>
        <v>1825193</v>
      </c>
      <c r="G9" s="7">
        <f t="shared" si="1"/>
        <v>0.71</v>
      </c>
    </row>
    <row r="10" spans="1:7" x14ac:dyDescent="0.35">
      <c r="A10" s="4" t="s">
        <v>13</v>
      </c>
      <c r="B10" s="4" t="s">
        <v>14</v>
      </c>
      <c r="C10" s="4" t="s">
        <v>104</v>
      </c>
      <c r="D10" s="6">
        <v>3175211.38</v>
      </c>
      <c r="E10" s="6">
        <v>2116807.59</v>
      </c>
      <c r="F10" s="6">
        <f t="shared" si="0"/>
        <v>5292018.97</v>
      </c>
      <c r="G10" s="7">
        <f t="shared" si="1"/>
        <v>0.4000000003779276</v>
      </c>
    </row>
    <row r="11" spans="1:7" x14ac:dyDescent="0.35">
      <c r="A11" s="4" t="s">
        <v>15</v>
      </c>
      <c r="B11" s="4" t="s">
        <v>16</v>
      </c>
      <c r="C11" s="4" t="s">
        <v>105</v>
      </c>
      <c r="D11" s="6">
        <v>30761127.34</v>
      </c>
      <c r="E11" s="6">
        <v>1714725</v>
      </c>
      <c r="F11" s="6">
        <f t="shared" si="0"/>
        <v>32475852.34</v>
      </c>
      <c r="G11" s="7">
        <f t="shared" si="1"/>
        <v>5.2799999890626427E-2</v>
      </c>
    </row>
    <row r="12" spans="1:7" x14ac:dyDescent="0.35">
      <c r="A12" s="4" t="s">
        <v>35</v>
      </c>
      <c r="B12" s="4" t="s">
        <v>17</v>
      </c>
      <c r="C12" s="4" t="s">
        <v>106</v>
      </c>
      <c r="D12" s="6">
        <v>2828013.12</v>
      </c>
      <c r="E12" s="6">
        <v>499061.14</v>
      </c>
      <c r="F12" s="6">
        <f t="shared" si="0"/>
        <v>3327074.2600000002</v>
      </c>
      <c r="G12" s="7">
        <f t="shared" si="1"/>
        <v>0.15000000030056437</v>
      </c>
    </row>
    <row r="13" spans="1:7" x14ac:dyDescent="0.35">
      <c r="A13" s="3" t="s">
        <v>35</v>
      </c>
      <c r="B13" s="4" t="s">
        <v>18</v>
      </c>
      <c r="C13" s="4" t="s">
        <v>107</v>
      </c>
      <c r="D13" s="6">
        <v>16597458.449999999</v>
      </c>
      <c r="E13" s="6">
        <v>20285782.550000001</v>
      </c>
      <c r="F13" s="6">
        <f t="shared" si="0"/>
        <v>36883241</v>
      </c>
      <c r="G13" s="7">
        <f t="shared" si="1"/>
        <v>0.55000000000000004</v>
      </c>
    </row>
    <row r="14" spans="1:7" x14ac:dyDescent="0.35">
      <c r="A14" s="4" t="s">
        <v>19</v>
      </c>
      <c r="B14" s="4" t="s">
        <v>20</v>
      </c>
      <c r="C14" s="4" t="s">
        <v>108</v>
      </c>
      <c r="D14" s="6">
        <v>46077433.210000001</v>
      </c>
      <c r="E14" s="6">
        <v>11433092.51</v>
      </c>
      <c r="F14" s="6">
        <f t="shared" si="0"/>
        <v>57510525.719999999</v>
      </c>
      <c r="G14" s="7">
        <f t="shared" si="1"/>
        <v>0.19879999994547085</v>
      </c>
    </row>
    <row r="15" spans="1:7" x14ac:dyDescent="0.35">
      <c r="A15" s="4" t="s">
        <v>21</v>
      </c>
      <c r="B15" s="4" t="s">
        <v>22</v>
      </c>
      <c r="C15" s="4" t="s">
        <v>109</v>
      </c>
      <c r="D15" s="6">
        <v>7135110.3799999999</v>
      </c>
      <c r="E15" s="6">
        <v>2378370.13</v>
      </c>
      <c r="F15" s="6">
        <f t="shared" si="0"/>
        <v>9513480.5099999998</v>
      </c>
      <c r="G15" s="7">
        <f t="shared" si="1"/>
        <v>0.25000000026278502</v>
      </c>
    </row>
    <row r="16" spans="1:7" x14ac:dyDescent="0.35">
      <c r="A16" s="4" t="s">
        <v>23</v>
      </c>
      <c r="B16" s="4" t="s">
        <v>24</v>
      </c>
      <c r="C16" s="4" t="s">
        <v>110</v>
      </c>
      <c r="D16" s="6">
        <v>19785184.149999999</v>
      </c>
      <c r="E16" s="6">
        <v>10106316.300000001</v>
      </c>
      <c r="F16" s="6">
        <f t="shared" si="0"/>
        <v>29891500.449999999</v>
      </c>
      <c r="G16" s="7">
        <f t="shared" si="1"/>
        <v>0.33809999992824052</v>
      </c>
    </row>
    <row r="17" spans="1:7" x14ac:dyDescent="0.35">
      <c r="A17" s="4" t="s">
        <v>11</v>
      </c>
      <c r="B17" s="4" t="s">
        <v>25</v>
      </c>
      <c r="C17" s="4" t="s">
        <v>111</v>
      </c>
      <c r="D17" s="6">
        <v>992493.65</v>
      </c>
      <c r="E17" s="6">
        <v>1033003.6</v>
      </c>
      <c r="F17" s="6">
        <f t="shared" si="0"/>
        <v>2025497.25</v>
      </c>
      <c r="G17" s="7">
        <f t="shared" si="1"/>
        <v>0.51000000123426481</v>
      </c>
    </row>
    <row r="18" spans="1:7" x14ac:dyDescent="0.35">
      <c r="A18" s="4" t="s">
        <v>13</v>
      </c>
      <c r="B18" s="4" t="s">
        <v>26</v>
      </c>
      <c r="C18" s="4" t="s">
        <v>112</v>
      </c>
      <c r="D18" s="6">
        <v>704347.74</v>
      </c>
      <c r="E18" s="6">
        <v>599999.92000000004</v>
      </c>
      <c r="F18" s="6">
        <f t="shared" si="0"/>
        <v>1304347.6600000001</v>
      </c>
      <c r="G18" s="7">
        <f t="shared" si="1"/>
        <v>0.45999999723999963</v>
      </c>
    </row>
    <row r="19" spans="1:7" x14ac:dyDescent="0.35">
      <c r="A19" s="4" t="s">
        <v>27</v>
      </c>
      <c r="B19" s="4" t="s">
        <v>28</v>
      </c>
      <c r="C19" s="4" t="s">
        <v>113</v>
      </c>
      <c r="D19" s="6">
        <v>25706754.93</v>
      </c>
      <c r="E19" s="6">
        <v>9282703.2599999998</v>
      </c>
      <c r="F19" s="6">
        <f t="shared" si="0"/>
        <v>34989458.189999998</v>
      </c>
      <c r="G19" s="7">
        <f t="shared" si="1"/>
        <v>0.26530000006267601</v>
      </c>
    </row>
    <row r="20" spans="1:7" x14ac:dyDescent="0.35">
      <c r="A20" s="4" t="s">
        <v>29</v>
      </c>
      <c r="B20" s="4" t="s">
        <v>30</v>
      </c>
      <c r="C20" s="4" t="s">
        <v>31</v>
      </c>
      <c r="D20" s="6">
        <v>4134034.65</v>
      </c>
      <c r="E20" s="6">
        <v>4134034.64</v>
      </c>
      <c r="F20" s="6">
        <f t="shared" si="0"/>
        <v>8268069.29</v>
      </c>
      <c r="G20" s="7">
        <f t="shared" si="1"/>
        <v>0.49999999939526391</v>
      </c>
    </row>
    <row r="21" spans="1:7" x14ac:dyDescent="0.35">
      <c r="A21" s="4" t="s">
        <v>29</v>
      </c>
      <c r="B21" s="4" t="s">
        <v>32</v>
      </c>
      <c r="C21" s="4" t="s">
        <v>114</v>
      </c>
      <c r="D21" s="6">
        <v>583086.24</v>
      </c>
      <c r="E21" s="6">
        <v>1239058.27</v>
      </c>
      <c r="F21" s="6">
        <f t="shared" si="0"/>
        <v>1822144.51</v>
      </c>
      <c r="G21" s="7">
        <f t="shared" si="1"/>
        <v>0.68000000175617248</v>
      </c>
    </row>
    <row r="22" spans="1:7" x14ac:dyDescent="0.35">
      <c r="A22" s="4" t="s">
        <v>33</v>
      </c>
      <c r="B22" s="4" t="s">
        <v>34</v>
      </c>
      <c r="C22" s="4" t="s">
        <v>115</v>
      </c>
      <c r="D22" s="6">
        <v>4120437.04</v>
      </c>
      <c r="E22" s="6">
        <v>6444786.1500000004</v>
      </c>
      <c r="F22" s="6">
        <f t="shared" si="0"/>
        <v>10565223.190000001</v>
      </c>
      <c r="G22" s="7">
        <f t="shared" si="1"/>
        <v>0.61000000038806557</v>
      </c>
    </row>
    <row r="23" spans="1:7" x14ac:dyDescent="0.35">
      <c r="A23" s="4" t="s">
        <v>33</v>
      </c>
      <c r="B23" s="4" t="s">
        <v>34</v>
      </c>
      <c r="C23" s="4" t="s">
        <v>116</v>
      </c>
      <c r="D23" s="6">
        <v>1171618.9099999999</v>
      </c>
      <c r="E23" s="6">
        <v>1832532.14</v>
      </c>
      <c r="F23" s="6">
        <f t="shared" si="0"/>
        <v>3004151.05</v>
      </c>
      <c r="G23" s="7">
        <f t="shared" si="1"/>
        <v>0.60999999983356368</v>
      </c>
    </row>
    <row r="24" spans="1:7" x14ac:dyDescent="0.35">
      <c r="A24" s="4" t="s">
        <v>35</v>
      </c>
      <c r="B24" s="4" t="s">
        <v>36</v>
      </c>
      <c r="C24" s="4" t="s">
        <v>117</v>
      </c>
      <c r="D24" s="6">
        <v>7879073.5300000003</v>
      </c>
      <c r="E24" s="6">
        <v>5252715.68</v>
      </c>
      <c r="F24" s="6">
        <f t="shared" si="0"/>
        <v>13131789.210000001</v>
      </c>
      <c r="G24" s="7">
        <f t="shared" si="1"/>
        <v>0.39999999969539562</v>
      </c>
    </row>
    <row r="25" spans="1:7" x14ac:dyDescent="0.35">
      <c r="A25" s="4" t="s">
        <v>35</v>
      </c>
      <c r="B25" s="4" t="s">
        <v>37</v>
      </c>
      <c r="C25" s="4" t="s">
        <v>118</v>
      </c>
      <c r="D25" s="6">
        <v>1677720</v>
      </c>
      <c r="E25" s="6">
        <v>1028280</v>
      </c>
      <c r="F25" s="6">
        <f t="shared" si="0"/>
        <v>2706000</v>
      </c>
      <c r="G25" s="7">
        <f t="shared" si="1"/>
        <v>0.38</v>
      </c>
    </row>
    <row r="26" spans="1:7" x14ac:dyDescent="0.35">
      <c r="A26" s="4" t="s">
        <v>38</v>
      </c>
      <c r="B26" s="4" t="s">
        <v>39</v>
      </c>
      <c r="C26" s="4" t="s">
        <v>105</v>
      </c>
      <c r="D26" s="6">
        <v>48219557.539999999</v>
      </c>
      <c r="E26" s="6">
        <v>4991165.8499999996</v>
      </c>
      <c r="F26" s="6">
        <f t="shared" si="0"/>
        <v>53210723.390000001</v>
      </c>
      <c r="G26" s="7">
        <f t="shared" si="1"/>
        <v>9.3799999925165453E-2</v>
      </c>
    </row>
    <row r="27" spans="1:7" x14ac:dyDescent="0.35">
      <c r="A27" s="4" t="s">
        <v>38</v>
      </c>
      <c r="B27" s="4" t="s">
        <v>40</v>
      </c>
      <c r="C27" s="4" t="s">
        <v>119</v>
      </c>
      <c r="D27" s="6">
        <v>41082990.759999998</v>
      </c>
      <c r="E27" s="6">
        <v>14842670.5</v>
      </c>
      <c r="F27" s="6">
        <f t="shared" si="0"/>
        <v>55925661.259999998</v>
      </c>
      <c r="G27" s="7">
        <f t="shared" si="1"/>
        <v>0.26540000002853792</v>
      </c>
    </row>
    <row r="28" spans="1:7" x14ac:dyDescent="0.35">
      <c r="A28" s="4" t="s">
        <v>41</v>
      </c>
      <c r="B28" s="18" t="s">
        <v>42</v>
      </c>
      <c r="C28" s="4" t="s">
        <v>120</v>
      </c>
      <c r="D28" s="6">
        <v>801578.96</v>
      </c>
      <c r="E28" s="6">
        <v>739919.04</v>
      </c>
      <c r="F28" s="6">
        <f t="shared" si="0"/>
        <v>1541498</v>
      </c>
      <c r="G28" s="7">
        <f t="shared" si="1"/>
        <v>0.48000000000000004</v>
      </c>
    </row>
    <row r="29" spans="1:7" x14ac:dyDescent="0.35">
      <c r="A29" s="4" t="s">
        <v>35</v>
      </c>
      <c r="B29" s="18" t="s">
        <v>153</v>
      </c>
      <c r="C29" s="4" t="s">
        <v>121</v>
      </c>
      <c r="D29" s="6">
        <v>4714674.75</v>
      </c>
      <c r="E29" s="6">
        <v>832001.43</v>
      </c>
      <c r="F29" s="6">
        <f>SUM(D29:E29)</f>
        <v>5546676.1799999997</v>
      </c>
      <c r="G29" s="7">
        <f t="shared" si="1"/>
        <v>0.15000000054086449</v>
      </c>
    </row>
    <row r="30" spans="1:7" x14ac:dyDescent="0.35">
      <c r="A30" s="4" t="s">
        <v>35</v>
      </c>
      <c r="B30" s="18" t="s">
        <v>153</v>
      </c>
      <c r="C30" s="17" t="s">
        <v>122</v>
      </c>
      <c r="D30" s="6">
        <v>615244.86</v>
      </c>
      <c r="E30" s="6">
        <v>251297.2</v>
      </c>
      <c r="F30" s="6">
        <f>SUM(D30:E30)</f>
        <v>866542.06</v>
      </c>
      <c r="G30" s="7">
        <f t="shared" si="1"/>
        <v>0.29000000300043138</v>
      </c>
    </row>
    <row r="31" spans="1:7" x14ac:dyDescent="0.35">
      <c r="A31" s="4" t="s">
        <v>43</v>
      </c>
      <c r="B31" s="18" t="s">
        <v>44</v>
      </c>
      <c r="C31" s="4" t="s">
        <v>123</v>
      </c>
      <c r="D31" s="6">
        <v>8841259.1799999997</v>
      </c>
      <c r="E31" s="6">
        <v>31346282.550000001</v>
      </c>
      <c r="F31" s="6">
        <f t="shared" si="0"/>
        <v>40187541.730000004</v>
      </c>
      <c r="G31" s="7">
        <f t="shared" ref="G31:G57" si="2">E31/F31</f>
        <v>0.78000000001492997</v>
      </c>
    </row>
    <row r="32" spans="1:7" x14ac:dyDescent="0.35">
      <c r="A32" s="4" t="s">
        <v>3</v>
      </c>
      <c r="B32" s="4" t="s">
        <v>45</v>
      </c>
      <c r="C32" s="4" t="s">
        <v>54</v>
      </c>
      <c r="D32" s="6">
        <v>55535538.759999998</v>
      </c>
      <c r="E32" s="6">
        <v>13444139.24</v>
      </c>
      <c r="F32" s="6">
        <f t="shared" si="0"/>
        <v>68979678</v>
      </c>
      <c r="G32" s="7">
        <f t="shared" si="2"/>
        <v>0.19489999996810656</v>
      </c>
    </row>
    <row r="33" spans="1:7" x14ac:dyDescent="0.35">
      <c r="A33" s="4" t="s">
        <v>46</v>
      </c>
      <c r="B33" s="4" t="s">
        <v>47</v>
      </c>
      <c r="C33" s="4" t="s">
        <v>124</v>
      </c>
      <c r="D33" s="6">
        <v>25766861.940000001</v>
      </c>
      <c r="E33" s="6">
        <v>20245391.52</v>
      </c>
      <c r="F33" s="6">
        <f t="shared" si="0"/>
        <v>46012253.460000001</v>
      </c>
      <c r="G33" s="7">
        <f t="shared" si="2"/>
        <v>0.43999999994783995</v>
      </c>
    </row>
    <row r="34" spans="1:7" x14ac:dyDescent="0.35">
      <c r="A34" s="4" t="s">
        <v>48</v>
      </c>
      <c r="B34" s="4" t="s">
        <v>49</v>
      </c>
      <c r="C34" s="4" t="s">
        <v>125</v>
      </c>
      <c r="D34" s="6">
        <v>1774614.9</v>
      </c>
      <c r="E34" s="6">
        <v>93400.78</v>
      </c>
      <c r="F34" s="6">
        <v>1868015.68</v>
      </c>
      <c r="G34" s="7">
        <f t="shared" si="2"/>
        <v>4.9999997858690352E-2</v>
      </c>
    </row>
    <row r="35" spans="1:7" x14ac:dyDescent="0.35">
      <c r="A35" s="4" t="s">
        <v>1</v>
      </c>
      <c r="B35" s="4" t="s">
        <v>50</v>
      </c>
      <c r="C35" s="4" t="s">
        <v>126</v>
      </c>
      <c r="D35" s="6">
        <v>7798922.8499999996</v>
      </c>
      <c r="E35" s="6">
        <v>4986196.57</v>
      </c>
      <c r="F35" s="6">
        <f>D35+E35</f>
        <v>12785119.42</v>
      </c>
      <c r="G35" s="7">
        <f t="shared" si="2"/>
        <v>0.38999999970277949</v>
      </c>
    </row>
    <row r="36" spans="1:7" x14ac:dyDescent="0.35">
      <c r="A36" s="4" t="s">
        <v>33</v>
      </c>
      <c r="B36" s="4" t="s">
        <v>51</v>
      </c>
      <c r="C36" s="4" t="s">
        <v>127</v>
      </c>
      <c r="D36" s="6">
        <v>1255175.6000000001</v>
      </c>
      <c r="E36" s="6">
        <v>986209.4</v>
      </c>
      <c r="F36" s="6">
        <v>2241385</v>
      </c>
      <c r="G36" s="7">
        <f t="shared" si="2"/>
        <v>0.44</v>
      </c>
    </row>
    <row r="37" spans="1:7" x14ac:dyDescent="0.35">
      <c r="A37" s="4" t="s">
        <v>52</v>
      </c>
      <c r="B37" s="4" t="s">
        <v>53</v>
      </c>
      <c r="C37" s="4" t="s">
        <v>54</v>
      </c>
      <c r="D37" s="6">
        <v>46583318.399999999</v>
      </c>
      <c r="E37" s="6">
        <v>5308536.78</v>
      </c>
      <c r="F37" s="6">
        <f t="shared" ref="F37:F43" si="3">D37+E37</f>
        <v>51891855.18</v>
      </c>
      <c r="G37" s="7">
        <f t="shared" si="2"/>
        <v>0.10229999990530306</v>
      </c>
    </row>
    <row r="38" spans="1:7" x14ac:dyDescent="0.35">
      <c r="A38" s="4" t="s">
        <v>55</v>
      </c>
      <c r="B38" s="4" t="s">
        <v>56</v>
      </c>
      <c r="C38" s="4" t="s">
        <v>128</v>
      </c>
      <c r="D38" s="6">
        <v>2048782.39</v>
      </c>
      <c r="E38" s="6">
        <v>1816844.77</v>
      </c>
      <c r="F38" s="6">
        <f t="shared" si="3"/>
        <v>3865627.16</v>
      </c>
      <c r="G38" s="7">
        <f t="shared" si="2"/>
        <v>0.47000000124171309</v>
      </c>
    </row>
    <row r="39" spans="1:7" x14ac:dyDescent="0.35">
      <c r="A39" s="4" t="s">
        <v>57</v>
      </c>
      <c r="B39" s="4" t="s">
        <v>58</v>
      </c>
      <c r="C39" s="4" t="s">
        <v>54</v>
      </c>
      <c r="D39" s="6">
        <v>52711931.079999998</v>
      </c>
      <c r="E39" s="6">
        <v>19034266.109999999</v>
      </c>
      <c r="F39" s="6">
        <f t="shared" si="3"/>
        <v>71746197.189999998</v>
      </c>
      <c r="G39" s="7">
        <f t="shared" si="2"/>
        <v>0.26529999993718134</v>
      </c>
    </row>
    <row r="40" spans="1:7" x14ac:dyDescent="0.35">
      <c r="A40" s="4" t="s">
        <v>59</v>
      </c>
      <c r="B40" s="4" t="s">
        <v>60</v>
      </c>
      <c r="C40" s="4" t="s">
        <v>54</v>
      </c>
      <c r="D40" s="6">
        <v>63960584.920000002</v>
      </c>
      <c r="E40" s="6">
        <v>10637718</v>
      </c>
      <c r="F40" s="6">
        <f t="shared" si="3"/>
        <v>74598302.920000002</v>
      </c>
      <c r="G40" s="7">
        <f t="shared" si="2"/>
        <v>0.1426000000483657</v>
      </c>
    </row>
    <row r="41" spans="1:7" x14ac:dyDescent="0.35">
      <c r="A41" s="4" t="s">
        <v>35</v>
      </c>
      <c r="B41" s="4" t="s">
        <v>61</v>
      </c>
      <c r="C41" s="4" t="s">
        <v>129</v>
      </c>
      <c r="D41" s="6">
        <v>242500.32</v>
      </c>
      <c r="E41" s="6">
        <v>593707.68000000005</v>
      </c>
      <c r="F41" s="6">
        <f t="shared" si="3"/>
        <v>836208</v>
      </c>
      <c r="G41" s="7">
        <f t="shared" si="2"/>
        <v>0.71000000000000008</v>
      </c>
    </row>
    <row r="42" spans="1:7" x14ac:dyDescent="0.35">
      <c r="A42" s="4" t="s">
        <v>27</v>
      </c>
      <c r="B42" s="4" t="s">
        <v>62</v>
      </c>
      <c r="C42" s="4" t="s">
        <v>130</v>
      </c>
      <c r="D42" s="6">
        <v>3853414.02</v>
      </c>
      <c r="E42" s="6">
        <v>100021.93</v>
      </c>
      <c r="F42" s="6">
        <f t="shared" si="3"/>
        <v>3953435.95</v>
      </c>
      <c r="G42" s="7">
        <f t="shared" si="2"/>
        <v>2.5300000117619202E-2</v>
      </c>
    </row>
    <row r="43" spans="1:7" x14ac:dyDescent="0.35">
      <c r="A43" s="4" t="s">
        <v>63</v>
      </c>
      <c r="B43" s="4" t="s">
        <v>64</v>
      </c>
      <c r="C43" s="4" t="s">
        <v>131</v>
      </c>
      <c r="D43" s="6">
        <v>12999999.869999999</v>
      </c>
      <c r="E43" s="6">
        <v>4808219.13</v>
      </c>
      <c r="F43" s="6">
        <f t="shared" si="3"/>
        <v>17808219</v>
      </c>
      <c r="G43" s="7">
        <f t="shared" si="2"/>
        <v>0.27</v>
      </c>
    </row>
    <row r="44" spans="1:7" x14ac:dyDescent="0.35">
      <c r="A44" s="4" t="s">
        <v>65</v>
      </c>
      <c r="B44" s="4" t="s">
        <v>66</v>
      </c>
      <c r="C44" s="4" t="s">
        <v>132</v>
      </c>
      <c r="D44" s="6">
        <v>3565417.99</v>
      </c>
      <c r="E44" s="6">
        <v>4357733.1100000003</v>
      </c>
      <c r="F44" s="6">
        <v>7923151.0999999996</v>
      </c>
      <c r="G44" s="7">
        <f t="shared" si="2"/>
        <v>0.55000000063106214</v>
      </c>
    </row>
    <row r="45" spans="1:7" x14ac:dyDescent="0.35">
      <c r="A45" s="4" t="s">
        <v>67</v>
      </c>
      <c r="B45" s="4" t="s">
        <v>68</v>
      </c>
      <c r="C45" s="4" t="s">
        <v>133</v>
      </c>
      <c r="D45" s="6">
        <v>838129</v>
      </c>
      <c r="E45" s="6">
        <v>431763.42</v>
      </c>
      <c r="F45" s="6">
        <f t="shared" ref="F45:F57" si="4">D45+E45</f>
        <v>1269892.42</v>
      </c>
      <c r="G45" s="7">
        <f t="shared" si="2"/>
        <v>0.33999999779508883</v>
      </c>
    </row>
    <row r="46" spans="1:7" x14ac:dyDescent="0.35">
      <c r="A46" s="4" t="s">
        <v>69</v>
      </c>
      <c r="B46" s="4" t="s">
        <v>70</v>
      </c>
      <c r="C46" s="4" t="s">
        <v>134</v>
      </c>
      <c r="D46" s="6">
        <v>2976047.17</v>
      </c>
      <c r="E46" s="6">
        <v>999967.75</v>
      </c>
      <c r="F46" s="6">
        <f t="shared" si="4"/>
        <v>3976014.92</v>
      </c>
      <c r="G46" s="7">
        <f t="shared" si="2"/>
        <v>0.25149999940141071</v>
      </c>
    </row>
    <row r="47" spans="1:7" x14ac:dyDescent="0.35">
      <c r="A47" s="4" t="s">
        <v>71</v>
      </c>
      <c r="B47" s="4" t="s">
        <v>72</v>
      </c>
      <c r="C47" s="4" t="s">
        <v>135</v>
      </c>
      <c r="D47" s="6">
        <v>433950.74</v>
      </c>
      <c r="E47" s="6">
        <v>805908.52</v>
      </c>
      <c r="F47" s="6">
        <f t="shared" si="4"/>
        <v>1239859.26</v>
      </c>
      <c r="G47" s="7">
        <f t="shared" si="2"/>
        <v>0.65000000080654319</v>
      </c>
    </row>
    <row r="48" spans="1:7" x14ac:dyDescent="0.35">
      <c r="A48" s="4" t="s">
        <v>5</v>
      </c>
      <c r="B48" s="4" t="s">
        <v>73</v>
      </c>
      <c r="C48" s="4" t="s">
        <v>136</v>
      </c>
      <c r="D48" s="6">
        <v>6427610.3700000001</v>
      </c>
      <c r="E48" s="6">
        <v>1099746.8999999999</v>
      </c>
      <c r="F48" s="6">
        <f t="shared" si="4"/>
        <v>7527357.2699999996</v>
      </c>
      <c r="G48" s="7">
        <f t="shared" si="2"/>
        <v>0.14610000037901749</v>
      </c>
    </row>
    <row r="49" spans="1:7" x14ac:dyDescent="0.35">
      <c r="A49" s="4" t="s">
        <v>152</v>
      </c>
      <c r="B49" s="4" t="s">
        <v>74</v>
      </c>
      <c r="C49" s="4" t="s">
        <v>137</v>
      </c>
      <c r="D49" s="6">
        <v>2916269.38</v>
      </c>
      <c r="E49" s="6">
        <v>871093.45</v>
      </c>
      <c r="F49" s="6">
        <f t="shared" si="4"/>
        <v>3787362.83</v>
      </c>
      <c r="G49" s="7">
        <f t="shared" si="2"/>
        <v>0.22999999976236762</v>
      </c>
    </row>
    <row r="50" spans="1:7" x14ac:dyDescent="0.35">
      <c r="A50" s="4" t="s">
        <v>1</v>
      </c>
      <c r="B50" s="4" t="s">
        <v>75</v>
      </c>
      <c r="C50" s="17" t="s">
        <v>138</v>
      </c>
      <c r="D50" s="6">
        <v>12705518.369999999</v>
      </c>
      <c r="E50" s="6">
        <v>2242150.2999999998</v>
      </c>
      <c r="F50" s="6">
        <f t="shared" si="4"/>
        <v>14947668.669999998</v>
      </c>
      <c r="G50" s="7">
        <f t="shared" si="2"/>
        <v>0.14999999996654997</v>
      </c>
    </row>
    <row r="51" spans="1:7" x14ac:dyDescent="0.35">
      <c r="A51" s="4" t="s">
        <v>69</v>
      </c>
      <c r="B51" s="4" t="s">
        <v>76</v>
      </c>
      <c r="C51" s="4" t="s">
        <v>139</v>
      </c>
      <c r="D51" s="6">
        <v>659999.85</v>
      </c>
      <c r="E51" s="6">
        <v>1339999.7</v>
      </c>
      <c r="F51" s="6">
        <f t="shared" si="4"/>
        <v>1999999.5499999998</v>
      </c>
      <c r="G51" s="7">
        <f t="shared" si="2"/>
        <v>0.67000000075000021</v>
      </c>
    </row>
    <row r="52" spans="1:7" x14ac:dyDescent="0.35">
      <c r="A52" s="4" t="s">
        <v>77</v>
      </c>
      <c r="B52" s="4" t="s">
        <v>78</v>
      </c>
      <c r="C52" s="4" t="s">
        <v>140</v>
      </c>
      <c r="D52" s="6">
        <v>3495377.81</v>
      </c>
      <c r="E52" s="6">
        <v>2052840.93</v>
      </c>
      <c r="F52" s="6">
        <f t="shared" si="4"/>
        <v>5548218.7400000002</v>
      </c>
      <c r="G52" s="7">
        <f t="shared" si="2"/>
        <v>0.36999999931509547</v>
      </c>
    </row>
    <row r="53" spans="1:7" x14ac:dyDescent="0.35">
      <c r="A53" s="4" t="s">
        <v>79</v>
      </c>
      <c r="B53" s="4" t="s">
        <v>80</v>
      </c>
      <c r="C53" s="4" t="s">
        <v>141</v>
      </c>
      <c r="D53" s="6">
        <v>1497321.53</v>
      </c>
      <c r="E53" s="6">
        <v>842243.36</v>
      </c>
      <c r="F53" s="6">
        <f t="shared" si="4"/>
        <v>2339564.89</v>
      </c>
      <c r="G53" s="7">
        <f t="shared" si="2"/>
        <v>0.35999999982902803</v>
      </c>
    </row>
    <row r="54" spans="1:7" x14ac:dyDescent="0.35">
      <c r="A54" s="4" t="s">
        <v>81</v>
      </c>
      <c r="B54" s="4" t="s">
        <v>82</v>
      </c>
      <c r="C54" s="4" t="s">
        <v>95</v>
      </c>
      <c r="D54" s="6">
        <v>9754101.25</v>
      </c>
      <c r="E54" s="6">
        <v>513373.75</v>
      </c>
      <c r="F54" s="6">
        <f t="shared" si="4"/>
        <v>10267475</v>
      </c>
      <c r="G54" s="7">
        <f t="shared" si="2"/>
        <v>0.05</v>
      </c>
    </row>
    <row r="55" spans="1:7" x14ac:dyDescent="0.35">
      <c r="A55" s="4" t="s">
        <v>13</v>
      </c>
      <c r="B55" s="4" t="s">
        <v>83</v>
      </c>
      <c r="C55" s="4" t="s">
        <v>142</v>
      </c>
      <c r="D55" s="6">
        <v>919543.9</v>
      </c>
      <c r="E55" s="6">
        <v>48397.05</v>
      </c>
      <c r="F55" s="6">
        <f t="shared" si="4"/>
        <v>967940.95000000007</v>
      </c>
      <c r="G55" s="7">
        <f t="shared" si="2"/>
        <v>5.0000002582802183E-2</v>
      </c>
    </row>
    <row r="56" spans="1:7" x14ac:dyDescent="0.35">
      <c r="A56" s="4" t="s">
        <v>35</v>
      </c>
      <c r="B56" s="4" t="s">
        <v>84</v>
      </c>
      <c r="C56" s="4" t="s">
        <v>143</v>
      </c>
      <c r="D56" s="6">
        <v>3204730.57</v>
      </c>
      <c r="E56" s="6">
        <v>5456703.4000000004</v>
      </c>
      <c r="F56" s="6">
        <f t="shared" si="4"/>
        <v>8661433.9700000007</v>
      </c>
      <c r="G56" s="7">
        <f t="shared" si="2"/>
        <v>0.62999999987300026</v>
      </c>
    </row>
    <row r="57" spans="1:7" x14ac:dyDescent="0.35">
      <c r="A57" s="4" t="s">
        <v>13</v>
      </c>
      <c r="B57" s="4" t="s">
        <v>85</v>
      </c>
      <c r="C57" s="4" t="s">
        <v>144</v>
      </c>
      <c r="D57" s="6">
        <v>822969.63</v>
      </c>
      <c r="E57" s="6">
        <v>1184273.3700000001</v>
      </c>
      <c r="F57" s="6">
        <f t="shared" si="4"/>
        <v>2007243</v>
      </c>
      <c r="G57" s="7">
        <f t="shared" si="2"/>
        <v>0.59000000000000008</v>
      </c>
    </row>
    <row r="58" spans="1:7" s="1" customFormat="1" x14ac:dyDescent="0.35">
      <c r="B58" s="1" t="s">
        <v>145</v>
      </c>
      <c r="C58" s="10" t="s">
        <v>151</v>
      </c>
      <c r="D58" s="5">
        <f>SUM(D2:D57)</f>
        <v>658716933.76999998</v>
      </c>
      <c r="E58" s="5">
        <f>SUM(E2:E57)</f>
        <v>280437818.49000001</v>
      </c>
      <c r="F58" s="5">
        <f>SUM(F2:F57)</f>
        <v>939154752.25999987</v>
      </c>
      <c r="G58" s="13">
        <f>AVERAGE(G2:G57)</f>
        <v>0.36789642868324413</v>
      </c>
    </row>
    <row r="59" spans="1:7" x14ac:dyDescent="0.35">
      <c r="A59" s="2"/>
    </row>
    <row r="60" spans="1:7" x14ac:dyDescent="0.35">
      <c r="A60" s="2"/>
      <c r="C60" s="10" t="s">
        <v>148</v>
      </c>
      <c r="D60" s="5">
        <f>SUM(D57,D55,D51,D47,D45,D41,D28,D21,D18,D17,D9,D8,D7,D6,D3,D30)</f>
        <v>9144205.7599999998</v>
      </c>
      <c r="E60" s="5">
        <f>SUM(E57,E55,E51,E47,E45,E41,E28,E21,E18,E17,E9,E8,E7,E6,E3,E30)</f>
        <v>10938829.249999998</v>
      </c>
      <c r="F60" s="5">
        <f t="shared" ref="F60" si="5">SUM(F57,F55,F51,F47,F45,F41,F28,F21,F18,F17,F9,F8,F7,F6,F3,F30)</f>
        <v>20083035.010000002</v>
      </c>
      <c r="G60" s="13">
        <f>AVERAGE(G57,G55,G51,G47,G45,G41,G28,G21,G18,G17,G9,G8,G7,G6,G3,G30)</f>
        <v>0.49250000039577779</v>
      </c>
    </row>
    <row r="61" spans="1:7" x14ac:dyDescent="0.35">
      <c r="A61" s="2"/>
      <c r="C61" s="10" t="s">
        <v>149</v>
      </c>
      <c r="D61" s="5">
        <f>SUM(D5,D10,D12,D15,D20,D22,D23,D24,D25,D29,D31,D34,D35,D36,D38,D42,D44,D46,D48,D49,D52,D53,D54,D56)</f>
        <v>97606593.760000005</v>
      </c>
      <c r="E61" s="5">
        <f>SUM(E5,E10,E12,E15,E20,E22,E23,E24,E25,E29,E31,E34,E35,E36,E38,E42,E44,E46,E48,E49,E52,E53,E54,E56)</f>
        <v>80875810.290000021</v>
      </c>
      <c r="F61" s="5">
        <f>SUM(F5,F10,F12,F15,F20,F22,F23,F24,F25,F29,F31,F34,F35,F36,F38,F42,F44,F46,F48,F49,F52,F53,F54,F56)</f>
        <v>178482404.05000001</v>
      </c>
      <c r="G61" s="13">
        <f>AVERAGE(G5,G10,G12,G15,G20,G22,G23,G24,G25,G29,G31,G34,G35,G36,G38,G42,G44,G46,G48,G49,G52,G53,G54,G56)</f>
        <v>0.35720416667104155</v>
      </c>
    </row>
    <row r="62" spans="1:7" x14ac:dyDescent="0.35">
      <c r="A62" s="2"/>
      <c r="C62" s="10" t="s">
        <v>150</v>
      </c>
      <c r="D62" s="5">
        <f>SUM(D50,D43,D16,D13,D4)</f>
        <v>72315016.760000005</v>
      </c>
      <c r="E62" s="5">
        <f>SUM(E50,E43,E16,E13,E4)</f>
        <v>43710541.270000003</v>
      </c>
      <c r="F62" s="5">
        <f t="shared" ref="F62" si="6">SUM(F50,F43,F16,F13,F4)</f>
        <v>116025558.03</v>
      </c>
      <c r="G62" s="13">
        <f>AVERAGE(G50,G43,G16,G13,G4)</f>
        <v>0.33762000002988291</v>
      </c>
    </row>
    <row r="63" spans="1:7" x14ac:dyDescent="0.35">
      <c r="A63" s="2"/>
      <c r="C63" s="10" t="s">
        <v>93</v>
      </c>
      <c r="D63" s="5">
        <f>SUM(D40,D39,D37,D11,D33,D32,D27,D26,D19,D14,D2)</f>
        <v>479651117.49000001</v>
      </c>
      <c r="E63" s="5">
        <f t="shared" ref="E63:F63" si="7">SUM(E40,E39,E37,E11,E33,E32,E27,E26,E19,E14,E2)</f>
        <v>144912637.68000001</v>
      </c>
      <c r="F63" s="5">
        <f t="shared" si="7"/>
        <v>624563755.16999996</v>
      </c>
      <c r="G63" s="13">
        <f>AVERAGE(G40,G39,G37,G11,G33,G32,G27,G26,G19,G14,G2)</f>
        <v>0.22374545451589209</v>
      </c>
    </row>
    <row r="64" spans="1:7" x14ac:dyDescent="0.35">
      <c r="C64" s="10"/>
      <c r="D64" s="5"/>
      <c r="E64" s="15"/>
      <c r="F64" s="5"/>
      <c r="G64" s="13"/>
    </row>
    <row r="65" spans="3:12" x14ac:dyDescent="0.35">
      <c r="C65" s="10" t="s">
        <v>147</v>
      </c>
      <c r="D65" s="5">
        <f>SUM(D2,D3,D4,D5,D7,D9,D10,D11,D14,D15,D16,D18:D28,D31:D33,D35,D37:D45,D47,D51:D52,D54:D57)</f>
        <v>602883633.29999995</v>
      </c>
      <c r="E65" s="5">
        <f t="shared" ref="E65:F65" si="8">SUM(E2,E3,E4,E5,E7,E9,E10,E11,E14,E15,E16,E18:E28,E31:E33,E35,E37:E45,E47,E51:E52,E54:E57)</f>
        <v>249516310.95000008</v>
      </c>
      <c r="F65" s="5">
        <f t="shared" si="8"/>
        <v>852399944.24999988</v>
      </c>
      <c r="G65" s="13">
        <f>AVERAGE(G2,G3,G4,G5,G7,G9,G10,G11,G14,G15,G16,G18:G28,G31:G33,G35,G37:G45,G47,G51:G52,G54:G57)</f>
        <v>0.39034761914258292</v>
      </c>
      <c r="L65" s="8"/>
    </row>
    <row r="66" spans="3:12" x14ac:dyDescent="0.35">
      <c r="C66" s="10" t="s">
        <v>146</v>
      </c>
      <c r="D66" s="5">
        <f>SUM(D53,D50,D49,D46,D36,D34,,D30,D29,D17,D12,D8,D6)</f>
        <v>32808231.649999995</v>
      </c>
      <c r="E66" s="5">
        <f>SUM(E53,E50,E49,E46,E36,E34,,E30,E29,E17,E12,E8,E6)</f>
        <v>9535978.0899999999</v>
      </c>
      <c r="F66" s="5">
        <f>SUM(F53,F50,F49,F46,F36,F34,,F30,F29,F17,F12,F8,F6)</f>
        <v>42344209.740000002</v>
      </c>
      <c r="G66" s="13">
        <f>AVERAGE(G53,G50,G49,G46,G36,G34,,G30,G29,G17,G12,G8,G6)</f>
        <v>0.27011538476109015</v>
      </c>
    </row>
    <row r="67" spans="3:12" x14ac:dyDescent="0.35">
      <c r="C67" s="10" t="s">
        <v>155</v>
      </c>
      <c r="D67" s="5">
        <f>D48</f>
        <v>6427610.3700000001</v>
      </c>
      <c r="E67" s="5">
        <f t="shared" ref="E67:F67" si="9">E48</f>
        <v>1099746.8999999999</v>
      </c>
      <c r="F67" s="5">
        <f t="shared" si="9"/>
        <v>7527357.2699999996</v>
      </c>
      <c r="G67" s="13">
        <f>AVERAGE(G48)</f>
        <v>0.14610000037901749</v>
      </c>
      <c r="L67" s="8"/>
    </row>
    <row r="68" spans="3:12" x14ac:dyDescent="0.35">
      <c r="C68" s="10" t="s">
        <v>92</v>
      </c>
      <c r="D68" s="5">
        <f>SUM(D13)</f>
        <v>16597458.449999999</v>
      </c>
      <c r="E68" s="5">
        <f t="shared" ref="E68:F68" si="10">SUM(E13)</f>
        <v>20285782.550000001</v>
      </c>
      <c r="F68" s="5">
        <f t="shared" si="10"/>
        <v>36883241</v>
      </c>
      <c r="G68" s="13">
        <f>AVERAGE(G13)</f>
        <v>0.55000000000000004</v>
      </c>
    </row>
    <row r="69" spans="3:12" x14ac:dyDescent="0.35">
      <c r="C69" s="10"/>
      <c r="D69" s="5"/>
      <c r="E69" s="5"/>
      <c r="F69" s="5"/>
      <c r="G69" s="13"/>
    </row>
    <row r="70" spans="3:12" x14ac:dyDescent="0.35">
      <c r="C70" s="10" t="s">
        <v>154</v>
      </c>
      <c r="D70" s="5">
        <f>SUM(D55,D42,D18)</f>
        <v>5477305.6600000001</v>
      </c>
      <c r="E70" s="5">
        <f>SUM(E55,E42,E18)</f>
        <v>748418.9</v>
      </c>
      <c r="F70" s="5">
        <f>SUM(F55,F42,F18)</f>
        <v>6225724.5600000005</v>
      </c>
      <c r="G70" s="13">
        <f>AVERAGE(G55,G42,G18)</f>
        <v>0.17843333331347366</v>
      </c>
    </row>
    <row r="71" spans="3:12" x14ac:dyDescent="0.35">
      <c r="C71" s="1"/>
      <c r="D71" s="5"/>
      <c r="E71" s="5"/>
      <c r="F71" s="5"/>
      <c r="G71" s="13"/>
    </row>
    <row r="72" spans="3:12" x14ac:dyDescent="0.35">
      <c r="C72" s="10" t="s">
        <v>94</v>
      </c>
      <c r="D72" s="5">
        <v>521706550.98000014</v>
      </c>
      <c r="E72" s="5">
        <v>241228500.95000005</v>
      </c>
      <c r="F72" s="5">
        <v>762935051.93000007</v>
      </c>
      <c r="G72" s="16">
        <v>0.3161848447515464</v>
      </c>
      <c r="L72" s="9"/>
    </row>
    <row r="73" spans="3:12" x14ac:dyDescent="0.35">
      <c r="D73" s="9"/>
    </row>
  </sheetData>
  <pageMargins left="0.7" right="0.7" top="0.75" bottom="0.75" header="0.3" footer="0.3"/>
  <pageSetup scale="41" orientation="portrait" r:id="rId1"/>
  <headerFooter>
    <oddHeader xml:space="preserve">&amp;CSummary of FY2024-25 BEST Grant Applications Received on February 5, 2024
NOTE: Information below reflects initial application submissions. Subject to change through staff review.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Hoskinson, Jay</dc:creator>
  <cp:keywords/>
  <dc:description/>
  <cp:lastModifiedBy>Stine, Andy</cp:lastModifiedBy>
  <cp:revision/>
  <dcterms:created xsi:type="dcterms:W3CDTF">2024-02-07T19:14:38Z</dcterms:created>
  <dcterms:modified xsi:type="dcterms:W3CDTF">2024-02-20T16:35:03Z</dcterms:modified>
  <cp:category/>
  <cp:contentStatus/>
</cp:coreProperties>
</file>