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tables/table109.xml" ContentType="application/vnd.openxmlformats-officedocument.spreadsheetml.table+xml"/>
  <Override PartName="/xl/tables/table110.xml" ContentType="application/vnd.openxmlformats-officedocument.spreadsheetml.table+xml"/>
  <Override PartName="/xl/tables/table111.xml" ContentType="application/vnd.openxmlformats-officedocument.spreadsheetml.table+xml"/>
  <Override PartName="/xl/tables/table112.xml" ContentType="application/vnd.openxmlformats-officedocument.spreadsheetml.table+xml"/>
  <Override PartName="/xl/tables/table113.xml" ContentType="application/vnd.openxmlformats-officedocument.spreadsheetml.table+xml"/>
  <Override PartName="/xl/tables/table114.xml" ContentType="application/vnd.openxmlformats-officedocument.spreadsheetml.table+xml"/>
  <Override PartName="/xl/tables/table115.xml" ContentType="application/vnd.openxmlformats-officedocument.spreadsheetml.table+xml"/>
  <Override PartName="/xl/tables/table116.xml" ContentType="application/vnd.openxmlformats-officedocument.spreadsheetml.table+xml"/>
  <Override PartName="/xl/tables/table117.xml" ContentType="application/vnd.openxmlformats-officedocument.spreadsheetml.table+xml"/>
  <Override PartName="/xl/tables/table118.xml" ContentType="application/vnd.openxmlformats-officedocument.spreadsheetml.table+xml"/>
  <Override PartName="/xl/tables/table119.xml" ContentType="application/vnd.openxmlformats-officedocument.spreadsheetml.table+xml"/>
  <Override PartName="/xl/tables/table120.xml" ContentType="application/vnd.openxmlformats-officedocument.spreadsheetml.table+xml"/>
  <Override PartName="/xl/tables/table121.xml" ContentType="application/vnd.openxmlformats-officedocument.spreadsheetml.table+xml"/>
  <Override PartName="/xl/tables/table122.xml" ContentType="application/vnd.openxmlformats-officedocument.spreadsheetml.table+xml"/>
  <Override PartName="/xl/tables/table123.xml" ContentType="application/vnd.openxmlformats-officedocument.spreadsheetml.table+xml"/>
  <Override PartName="/xl/tables/table124.xml" ContentType="application/vnd.openxmlformats-officedocument.spreadsheetml.table+xml"/>
  <Override PartName="/xl/tables/table125.xml" ContentType="application/vnd.openxmlformats-officedocument.spreadsheetml.table+xml"/>
  <Override PartName="/xl/tables/table126.xml" ContentType="application/vnd.openxmlformats-officedocument.spreadsheetml.table+xml"/>
  <Override PartName="/xl/tables/table127.xml" ContentType="application/vnd.openxmlformats-officedocument.spreadsheetml.table+xml"/>
  <Override PartName="/xl/tables/table128.xml" ContentType="application/vnd.openxmlformats-officedocument.spreadsheetml.table+xml"/>
  <Override PartName="/xl/tables/table129.xml" ContentType="application/vnd.openxmlformats-officedocument.spreadsheetml.table+xml"/>
  <Override PartName="/xl/tables/table130.xml" ContentType="application/vnd.openxmlformats-officedocument.spreadsheetml.table+xml"/>
  <Override PartName="/xl/tables/table131.xml" ContentType="application/vnd.openxmlformats-officedocument.spreadsheetml.table+xml"/>
  <Override PartName="/xl/tables/table132.xml" ContentType="application/vnd.openxmlformats-officedocument.spreadsheetml.table+xml"/>
  <Override PartName="/xl/tables/table133.xml" ContentType="application/vnd.openxmlformats-officedocument.spreadsheetml.table+xml"/>
  <Override PartName="/xl/tables/table134.xml" ContentType="application/vnd.openxmlformats-officedocument.spreadsheetml.table+xml"/>
  <Override PartName="/xl/tables/table135.xml" ContentType="application/vnd.openxmlformats-officedocument.spreadsheetml.table+xml"/>
  <Override PartName="/xl/tables/table136.xml" ContentType="application/vnd.openxmlformats-officedocument.spreadsheetml.table+xml"/>
  <Override PartName="/xl/tables/table137.xml" ContentType="application/vnd.openxmlformats-officedocument.spreadsheetml.table+xml"/>
  <Override PartName="/xl/tables/table138.xml" ContentType="application/vnd.openxmlformats-officedocument.spreadsheetml.table+xml"/>
  <Override PartName="/xl/tables/table139.xml" ContentType="application/vnd.openxmlformats-officedocument.spreadsheetml.table+xml"/>
  <Override PartName="/xl/tables/table140.xml" ContentType="application/vnd.openxmlformats-officedocument.spreadsheetml.table+xml"/>
  <Override PartName="/xl/tables/table141.xml" ContentType="application/vnd.openxmlformats-officedocument.spreadsheetml.table+xml"/>
  <Override PartName="/xl/tables/table142.xml" ContentType="application/vnd.openxmlformats-officedocument.spreadsheetml.table+xml"/>
  <Override PartName="/xl/tables/table143.xml" ContentType="application/vnd.openxmlformats-officedocument.spreadsheetml.table+xml"/>
  <Override PartName="/xl/tables/table144.xml" ContentType="application/vnd.openxmlformats-officedocument.spreadsheetml.table+xml"/>
  <Override PartName="/xl/tables/table145.xml" ContentType="application/vnd.openxmlformats-officedocument.spreadsheetml.table+xml"/>
  <Override PartName="/xl/tables/table146.xml" ContentType="application/vnd.openxmlformats-officedocument.spreadsheetml.table+xml"/>
  <Override PartName="/xl/tables/table147.xml" ContentType="application/vnd.openxmlformats-officedocument.spreadsheetml.table+xml"/>
  <Override PartName="/xl/tables/table148.xml" ContentType="application/vnd.openxmlformats-officedocument.spreadsheetml.table+xml"/>
  <Override PartName="/xl/tables/table149.xml" ContentType="application/vnd.openxmlformats-officedocument.spreadsheetml.table+xml"/>
  <Override PartName="/xl/tables/table150.xml" ContentType="application/vnd.openxmlformats-officedocument.spreadsheetml.table+xml"/>
  <Override PartName="/xl/tables/table151.xml" ContentType="application/vnd.openxmlformats-officedocument.spreadsheetml.table+xml"/>
  <Override PartName="/xl/tables/table152.xml" ContentType="application/vnd.openxmlformats-officedocument.spreadsheetml.table+xml"/>
  <Override PartName="/xl/tables/table153.xml" ContentType="application/vnd.openxmlformats-officedocument.spreadsheetml.table+xml"/>
  <Override PartName="/xl/tables/table154.xml" ContentType="application/vnd.openxmlformats-officedocument.spreadsheetml.table+xml"/>
  <Override PartName="/xl/tables/table155.xml" ContentType="application/vnd.openxmlformats-officedocument.spreadsheetml.table+xml"/>
  <Override PartName="/xl/tables/table156.xml" ContentType="application/vnd.openxmlformats-officedocument.spreadsheetml.table+xml"/>
  <Override PartName="/xl/tables/table157.xml" ContentType="application/vnd.openxmlformats-officedocument.spreadsheetml.table+xml"/>
  <Override PartName="/xl/tables/table158.xml" ContentType="application/vnd.openxmlformats-officedocument.spreadsheetml.table+xml"/>
  <Override PartName="/xl/tables/table159.xml" ContentType="application/vnd.openxmlformats-officedocument.spreadsheetml.table+xml"/>
  <Override PartName="/xl/tables/table160.xml" ContentType="application/vnd.openxmlformats-officedocument.spreadsheetml.table+xml"/>
  <Override PartName="/xl/tables/table161.xml" ContentType="application/vnd.openxmlformats-officedocument.spreadsheetml.table+xml"/>
  <Override PartName="/xl/tables/table162.xml" ContentType="application/vnd.openxmlformats-officedocument.spreadsheetml.table+xml"/>
  <Override PartName="/xl/tables/table163.xml" ContentType="application/vnd.openxmlformats-officedocument.spreadsheetml.table+xml"/>
  <Override PartName="/xl/tables/table164.xml" ContentType="application/vnd.openxmlformats-officedocument.spreadsheetml.table+xml"/>
  <Override PartName="/xl/tables/table165.xml" ContentType="application/vnd.openxmlformats-officedocument.spreadsheetml.table+xml"/>
  <Override PartName="/xl/tables/table166.xml" ContentType="application/vnd.openxmlformats-officedocument.spreadsheetml.table+xml"/>
  <Override PartName="/xl/tables/table167.xml" ContentType="application/vnd.openxmlformats-officedocument.spreadsheetml.table+xml"/>
  <Override PartName="/xl/tables/table168.xml" ContentType="application/vnd.openxmlformats-officedocument.spreadsheetml.table+xml"/>
  <Override PartName="/xl/tables/table169.xml" ContentType="application/vnd.openxmlformats-officedocument.spreadsheetml.table+xml"/>
  <Override PartName="/xl/tables/table170.xml" ContentType="application/vnd.openxmlformats-officedocument.spreadsheetml.table+xml"/>
  <Override PartName="/xl/tables/table171.xml" ContentType="application/vnd.openxmlformats-officedocument.spreadsheetml.table+xml"/>
  <Override PartName="/xl/tables/table172.xml" ContentType="application/vnd.openxmlformats-officedocument.spreadsheetml.table+xml"/>
  <Override PartName="/xl/tables/table173.xml" ContentType="application/vnd.openxmlformats-officedocument.spreadsheetml.table+xml"/>
  <Override PartName="/xl/tables/table174.xml" ContentType="application/vnd.openxmlformats-officedocument.spreadsheetml.table+xml"/>
  <Override PartName="/xl/tables/table175.xml" ContentType="application/vnd.openxmlformats-officedocument.spreadsheetml.table+xml"/>
  <Override PartName="/xl/tables/table176.xml" ContentType="application/vnd.openxmlformats-officedocument.spreadsheetml.table+xml"/>
  <Override PartName="/xl/tables/table177.xml" ContentType="application/vnd.openxmlformats-officedocument.spreadsheetml.table+xml"/>
  <Override PartName="/xl/tables/table178.xml" ContentType="application/vnd.openxmlformats-officedocument.spreadsheetml.table+xml"/>
  <Override PartName="/xl/tables/table179.xml" ContentType="application/vnd.openxmlformats-officedocument.spreadsheetml.table+xml"/>
  <Override PartName="/xl/tables/table180.xml" ContentType="application/vnd.openxmlformats-officedocument.spreadsheetml.table+xml"/>
  <Override PartName="/xl/tables/table181.xml" ContentType="application/vnd.openxmlformats-officedocument.spreadsheetml.table+xml"/>
  <Override PartName="/xl/tables/table182.xml" ContentType="application/vnd.openxmlformats-officedocument.spreadsheetml.table+xml"/>
  <Override PartName="/xl/tables/table183.xml" ContentType="application/vnd.openxmlformats-officedocument.spreadsheetml.table+xml"/>
  <Override PartName="/xl/tables/table184.xml" ContentType="application/vnd.openxmlformats-officedocument.spreadsheetml.table+xml"/>
  <Override PartName="/xl/tables/table185.xml" ContentType="application/vnd.openxmlformats-officedocument.spreadsheetml.table+xml"/>
  <Override PartName="/xl/tables/table186.xml" ContentType="application/vnd.openxmlformats-officedocument.spreadsheetml.table+xml"/>
  <Override PartName="/xl/tables/table187.xml" ContentType="application/vnd.openxmlformats-officedocument.spreadsheetml.table+xml"/>
  <Override PartName="/xl/tables/table188.xml" ContentType="application/vnd.openxmlformats-officedocument.spreadsheetml.table+xml"/>
  <Override PartName="/xl/tables/table189.xml" ContentType="application/vnd.openxmlformats-officedocument.spreadsheetml.table+xml"/>
  <Override PartName="/xl/tables/table19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decolorado-my.sharepoint.com/personal/hagemann_w_cde_state_co_us/Documents/Desktop/Werner Folder/EASI/AFR Template/FY25/"/>
    </mc:Choice>
  </mc:AlternateContent>
  <xr:revisionPtr revIDLastSave="33" documentId="13_ncr:1_{FCE845CC-1E6A-457D-A7E0-EDDE36C9D8F3}" xr6:coauthVersionLast="47" xr6:coauthVersionMax="47" xr10:uidLastSave="{B7391028-D31D-497C-BC69-268F50BDE889}"/>
  <workbookProtection workbookAlgorithmName="SHA-512" workbookHashValue="IOUn31IE5n2I6Bd6/JoV8MOQKRJjxYk/rIxyF86hcXGNea7F1piRtsaXafD+GWNfnmOGKxOp2u5igYpyCp3yrA==" workbookSaltValue="Gi+QBCkn+0QH+bPrsOX8lw==" workbookSpinCount="100000" lockStructure="1"/>
  <bookViews>
    <workbookView xWindow="-108" yWindow="-108" windowWidth="23256" windowHeight="13896" tabRatio="785" xr2:uid="{00000000-000D-0000-FFFF-FFFF00000000}"/>
  </bookViews>
  <sheets>
    <sheet name="Cover Page" sheetId="8" r:id="rId1"/>
    <sheet name="EASI AFR Detail" sheetId="1" r:id="rId2"/>
    <sheet name="Annual Financial Report - Fed" sheetId="11" r:id="rId3"/>
    <sheet name="Annual Financial Report - State" sheetId="12" r:id="rId4"/>
    <sheet name="Indirect Cost Rates" sheetId="13" state="hidden" r:id="rId5"/>
    <sheet name="Report Inputs" sheetId="6" state="hidden" r:id="rId6"/>
    <sheet name="Sheet1" sheetId="7" state="hidden" r:id="rId7"/>
    <sheet name="District and School Codes" sheetId="2" state="hidden" r:id="rId8"/>
    <sheet name="Tables" sheetId="4" state="hidden" r:id="rId9"/>
    <sheet name="District Codes" sheetId="3" state="hidden" r:id="rId10"/>
    <sheet name="School Codes" sheetId="5" state="hidden" r:id="rId11"/>
  </sheets>
  <externalReferences>
    <externalReference r:id="rId12"/>
    <externalReference r:id="rId13"/>
  </externalReferences>
  <definedNames>
    <definedName name="_xlnm._FilterDatabase" localSheetId="7" hidden="1">'District and School Codes'!$A$1:$N$1</definedName>
    <definedName name="_xlnm._FilterDatabase" localSheetId="9" hidden="1">'District Codes'!$A$1:$B$1</definedName>
    <definedName name="_xlnm._FilterDatabase" localSheetId="4" hidden="1">'Indirect Cost Rates'!$A$9:$D$211</definedName>
    <definedName name="_xlnm._FilterDatabase" localSheetId="10" hidden="1">'School Codes'!$A$1:$F$1</definedName>
    <definedName name="_xlnm._FilterDatabase" localSheetId="6" hidden="1">Sheet1!$A$1:$Y$522</definedName>
    <definedName name="_xlnm.Print_Titles" localSheetId="4">'Indirect Cost Rates'!$9:$9</definedName>
    <definedName name="TableName" localSheetId="2">Table1[Table Name]</definedName>
    <definedName name="TableName" localSheetId="3">Table1[Table Name]</definedName>
    <definedName name="TableName">Table1[Table Name]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9" i="1" l="1"/>
  <c r="E490" i="1"/>
  <c r="E498" i="1" l="1"/>
  <c r="E76" i="12" a="1"/>
  <c r="E76" i="12" s="1"/>
  <c r="E75" i="12" a="1"/>
  <c r="E75" i="12" s="1"/>
  <c r="D80" i="12" a="1"/>
  <c r="D80" i="12" s="1"/>
  <c r="D79" i="12" a="1"/>
  <c r="D79" i="12" s="1"/>
  <c r="D78" i="12" a="1"/>
  <c r="D78" i="12" s="1"/>
  <c r="D77" i="12" a="1"/>
  <c r="D77" i="12" s="1"/>
  <c r="D76" i="12" a="1"/>
  <c r="D76" i="12" s="1"/>
  <c r="D75" i="12" a="1"/>
  <c r="D75" i="12" s="1"/>
  <c r="F85" i="11" a="1"/>
  <c r="F85" i="11" s="1"/>
  <c r="F76" i="11" a="1"/>
  <c r="F76" i="11" s="1"/>
  <c r="E75" i="11" a="1"/>
  <c r="E75" i="11" s="1"/>
  <c r="D75" i="11" a="1"/>
  <c r="D75" i="11" s="1"/>
  <c r="D84" i="11" a="1"/>
  <c r="D84" i="11" s="1"/>
  <c r="D80" i="11" a="1"/>
  <c r="D80" i="11" s="1"/>
  <c r="D79" i="11" a="1"/>
  <c r="D79" i="11" s="1"/>
  <c r="D78" i="11" a="1"/>
  <c r="D78" i="11" s="1"/>
  <c r="D77" i="11" a="1"/>
  <c r="D77" i="11" s="1"/>
  <c r="D76" i="11" a="1"/>
  <c r="D76" i="11" s="1"/>
  <c r="D53" i="11" a="1"/>
  <c r="D53" i="11" s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1" i="1"/>
  <c r="E492" i="1"/>
  <c r="E493" i="1"/>
  <c r="E494" i="1"/>
  <c r="E495" i="1"/>
  <c r="E496" i="1"/>
  <c r="E497" i="1"/>
  <c r="E504" i="1" l="1"/>
  <c r="E503" i="1"/>
  <c r="E502" i="1"/>
  <c r="E501" i="1"/>
  <c r="D97" i="11" a="1"/>
  <c r="D97" i="11" s="1"/>
  <c r="O89" i="12" a="1"/>
  <c r="O89" i="12" s="1"/>
  <c r="N89" i="12" a="1"/>
  <c r="N89" i="12" s="1"/>
  <c r="M89" i="12" a="1"/>
  <c r="M89" i="12" s="1"/>
  <c r="L89" i="12" a="1"/>
  <c r="L89" i="12" s="1"/>
  <c r="K89" i="12" a="1"/>
  <c r="K89" i="12" s="1"/>
  <c r="J89" i="12" a="1"/>
  <c r="J89" i="12" s="1"/>
  <c r="I89" i="12" a="1"/>
  <c r="I89" i="12" s="1"/>
  <c r="H89" i="12" a="1"/>
  <c r="H89" i="12" s="1"/>
  <c r="G89" i="12" a="1"/>
  <c r="G89" i="12" s="1"/>
  <c r="F89" i="12" a="1"/>
  <c r="F89" i="12" s="1"/>
  <c r="E89" i="12" a="1"/>
  <c r="E89" i="12" s="1"/>
  <c r="D89" i="12" a="1"/>
  <c r="D89" i="12" s="1"/>
  <c r="O88" i="12" a="1"/>
  <c r="O88" i="12" s="1"/>
  <c r="N88" i="12" a="1"/>
  <c r="N88" i="12" s="1"/>
  <c r="M88" i="12" a="1"/>
  <c r="M88" i="12" s="1"/>
  <c r="L88" i="12" a="1"/>
  <c r="L88" i="12" s="1"/>
  <c r="K88" i="12" a="1"/>
  <c r="K88" i="12" s="1"/>
  <c r="J88" i="12" a="1"/>
  <c r="J88" i="12" s="1"/>
  <c r="I88" i="12" a="1"/>
  <c r="I88" i="12" s="1"/>
  <c r="H88" i="12" a="1"/>
  <c r="H88" i="12" s="1"/>
  <c r="G88" i="12" a="1"/>
  <c r="G88" i="12" s="1"/>
  <c r="F88" i="12" a="1"/>
  <c r="F88" i="12" s="1"/>
  <c r="E88" i="12" a="1"/>
  <c r="E88" i="12" s="1"/>
  <c r="D88" i="12" a="1"/>
  <c r="D88" i="12" s="1"/>
  <c r="O87" i="12" a="1"/>
  <c r="O87" i="12" s="1"/>
  <c r="N87" i="12" a="1"/>
  <c r="N87" i="12" s="1"/>
  <c r="M87" i="12" a="1"/>
  <c r="M87" i="12" s="1"/>
  <c r="L87" i="12" a="1"/>
  <c r="L87" i="12" s="1"/>
  <c r="K87" i="12" a="1"/>
  <c r="K87" i="12" s="1"/>
  <c r="J87" i="12" a="1"/>
  <c r="J87" i="12" s="1"/>
  <c r="I87" i="12" a="1"/>
  <c r="I87" i="12" s="1"/>
  <c r="H87" i="12" a="1"/>
  <c r="H87" i="12" s="1"/>
  <c r="G87" i="12" a="1"/>
  <c r="G87" i="12" s="1"/>
  <c r="F87" i="12" a="1"/>
  <c r="F87" i="12" s="1"/>
  <c r="E87" i="12" a="1"/>
  <c r="E87" i="12" s="1"/>
  <c r="D87" i="12" a="1"/>
  <c r="D87" i="12" s="1"/>
  <c r="O86" i="12" a="1"/>
  <c r="O86" i="12" s="1"/>
  <c r="N86" i="12" a="1"/>
  <c r="N86" i="12" s="1"/>
  <c r="M86" i="12" a="1"/>
  <c r="M86" i="12" s="1"/>
  <c r="L86" i="12" a="1"/>
  <c r="L86" i="12" s="1"/>
  <c r="K86" i="12" a="1"/>
  <c r="K86" i="12" s="1"/>
  <c r="J86" i="12" a="1"/>
  <c r="J86" i="12" s="1"/>
  <c r="I86" i="12" a="1"/>
  <c r="I86" i="12" s="1"/>
  <c r="H86" i="12" a="1"/>
  <c r="H86" i="12" s="1"/>
  <c r="G86" i="12" a="1"/>
  <c r="G86" i="12" s="1"/>
  <c r="F86" i="12" a="1"/>
  <c r="F86" i="12" s="1"/>
  <c r="E86" i="12" a="1"/>
  <c r="E86" i="12" s="1"/>
  <c r="D86" i="12" a="1"/>
  <c r="D86" i="12" s="1"/>
  <c r="O85" i="12" a="1"/>
  <c r="O85" i="12" s="1"/>
  <c r="N85" i="12" a="1"/>
  <c r="N85" i="12" s="1"/>
  <c r="M85" i="12" a="1"/>
  <c r="M85" i="12" s="1"/>
  <c r="L85" i="12" a="1"/>
  <c r="L85" i="12" s="1"/>
  <c r="K85" i="12" a="1"/>
  <c r="K85" i="12" s="1"/>
  <c r="J85" i="12" a="1"/>
  <c r="J85" i="12" s="1"/>
  <c r="I85" i="12" a="1"/>
  <c r="I85" i="12" s="1"/>
  <c r="H85" i="12" a="1"/>
  <c r="H85" i="12" s="1"/>
  <c r="G85" i="12" a="1"/>
  <c r="G85" i="12" s="1"/>
  <c r="F85" i="12" a="1"/>
  <c r="F85" i="12" s="1"/>
  <c r="E85" i="12" a="1"/>
  <c r="E85" i="12" s="1"/>
  <c r="D85" i="12" a="1"/>
  <c r="D85" i="12" s="1"/>
  <c r="O84" i="12" a="1"/>
  <c r="O84" i="12" s="1"/>
  <c r="N84" i="12" a="1"/>
  <c r="N84" i="12" s="1"/>
  <c r="M84" i="12" a="1"/>
  <c r="M84" i="12" s="1"/>
  <c r="L84" i="12" a="1"/>
  <c r="L84" i="12" s="1"/>
  <c r="K84" i="12" a="1"/>
  <c r="K84" i="12" s="1"/>
  <c r="J84" i="12" a="1"/>
  <c r="J84" i="12" s="1"/>
  <c r="I84" i="12" a="1"/>
  <c r="I84" i="12" s="1"/>
  <c r="H84" i="12" a="1"/>
  <c r="H84" i="12" s="1"/>
  <c r="G84" i="12" a="1"/>
  <c r="G84" i="12" s="1"/>
  <c r="F84" i="12" a="1"/>
  <c r="F84" i="12" s="1"/>
  <c r="E84" i="12" a="1"/>
  <c r="E84" i="12" s="1"/>
  <c r="D84" i="12" a="1"/>
  <c r="D84" i="12" s="1"/>
  <c r="O80" i="12" a="1"/>
  <c r="O80" i="12" s="1"/>
  <c r="N80" i="12" a="1"/>
  <c r="N80" i="12" s="1"/>
  <c r="M80" i="12" a="1"/>
  <c r="M80" i="12" s="1"/>
  <c r="L80" i="12" a="1"/>
  <c r="L80" i="12" s="1"/>
  <c r="K80" i="12" a="1"/>
  <c r="K80" i="12" s="1"/>
  <c r="J80" i="12" a="1"/>
  <c r="J80" i="12" s="1"/>
  <c r="I80" i="12" a="1"/>
  <c r="I80" i="12" s="1"/>
  <c r="H80" i="12" a="1"/>
  <c r="H80" i="12" s="1"/>
  <c r="G80" i="12" a="1"/>
  <c r="G80" i="12" s="1"/>
  <c r="F80" i="12" a="1"/>
  <c r="F80" i="12" s="1"/>
  <c r="E80" i="12" a="1"/>
  <c r="E80" i="12" s="1"/>
  <c r="O79" i="12" a="1"/>
  <c r="O79" i="12" s="1"/>
  <c r="N79" i="12" a="1"/>
  <c r="N79" i="12" s="1"/>
  <c r="M79" i="12" a="1"/>
  <c r="M79" i="12" s="1"/>
  <c r="L79" i="12" a="1"/>
  <c r="L79" i="12" s="1"/>
  <c r="K79" i="12" a="1"/>
  <c r="K79" i="12" s="1"/>
  <c r="J79" i="12" a="1"/>
  <c r="J79" i="12" s="1"/>
  <c r="I79" i="12" a="1"/>
  <c r="I79" i="12" s="1"/>
  <c r="H79" i="12" a="1"/>
  <c r="H79" i="12" s="1"/>
  <c r="G79" i="12" a="1"/>
  <c r="G79" i="12" s="1"/>
  <c r="F79" i="12" a="1"/>
  <c r="F79" i="12" s="1"/>
  <c r="E79" i="12" a="1"/>
  <c r="E79" i="12" s="1"/>
  <c r="O78" i="12" a="1"/>
  <c r="O78" i="12" s="1"/>
  <c r="N78" i="12" a="1"/>
  <c r="N78" i="12" s="1"/>
  <c r="M78" i="12" a="1"/>
  <c r="M78" i="12" s="1"/>
  <c r="L78" i="12" a="1"/>
  <c r="L78" i="12" s="1"/>
  <c r="K78" i="12" a="1"/>
  <c r="K78" i="12" s="1"/>
  <c r="J78" i="12" a="1"/>
  <c r="J78" i="12" s="1"/>
  <c r="I78" i="12" a="1"/>
  <c r="I78" i="12" s="1"/>
  <c r="H78" i="12" a="1"/>
  <c r="H78" i="12" s="1"/>
  <c r="G78" i="12" a="1"/>
  <c r="G78" i="12" s="1"/>
  <c r="F78" i="12" a="1"/>
  <c r="F78" i="12" s="1"/>
  <c r="E78" i="12" a="1"/>
  <c r="E78" i="12" s="1"/>
  <c r="O77" i="12" a="1"/>
  <c r="O77" i="12" s="1"/>
  <c r="N77" i="12" a="1"/>
  <c r="N77" i="12" s="1"/>
  <c r="M77" i="12" a="1"/>
  <c r="M77" i="12" s="1"/>
  <c r="L77" i="12" a="1"/>
  <c r="L77" i="12" s="1"/>
  <c r="K77" i="12" a="1"/>
  <c r="K77" i="12" s="1"/>
  <c r="J77" i="12" a="1"/>
  <c r="J77" i="12" s="1"/>
  <c r="I77" i="12" a="1"/>
  <c r="I77" i="12" s="1"/>
  <c r="H77" i="12" a="1"/>
  <c r="H77" i="12" s="1"/>
  <c r="G77" i="12" a="1"/>
  <c r="G77" i="12" s="1"/>
  <c r="F77" i="12" a="1"/>
  <c r="F77" i="12" s="1"/>
  <c r="E77" i="12" a="1"/>
  <c r="E77" i="12" s="1"/>
  <c r="O76" i="12" a="1"/>
  <c r="O76" i="12" s="1"/>
  <c r="N76" i="12" a="1"/>
  <c r="N76" i="12" s="1"/>
  <c r="M76" i="12" a="1"/>
  <c r="M76" i="12" s="1"/>
  <c r="L76" i="12" a="1"/>
  <c r="L76" i="12" s="1"/>
  <c r="K76" i="12" a="1"/>
  <c r="K76" i="12" s="1"/>
  <c r="J76" i="12" a="1"/>
  <c r="J76" i="12" s="1"/>
  <c r="I76" i="12" a="1"/>
  <c r="I76" i="12" s="1"/>
  <c r="H76" i="12" a="1"/>
  <c r="H76" i="12" s="1"/>
  <c r="G76" i="12" a="1"/>
  <c r="G76" i="12" s="1"/>
  <c r="F76" i="12" a="1"/>
  <c r="F76" i="12" s="1"/>
  <c r="O75" i="12" a="1"/>
  <c r="O75" i="12" s="1"/>
  <c r="N75" i="12" a="1"/>
  <c r="N75" i="12" s="1"/>
  <c r="M75" i="12" a="1"/>
  <c r="M75" i="12" s="1"/>
  <c r="L75" i="12" a="1"/>
  <c r="L75" i="12" s="1"/>
  <c r="K75" i="12" a="1"/>
  <c r="K75" i="12" s="1"/>
  <c r="J75" i="12" a="1"/>
  <c r="J75" i="12" s="1"/>
  <c r="I75" i="12" a="1"/>
  <c r="I75" i="12" s="1"/>
  <c r="H75" i="12" a="1"/>
  <c r="H75" i="12" s="1"/>
  <c r="G75" i="12" a="1"/>
  <c r="G75" i="12" s="1"/>
  <c r="F75" i="12" a="1"/>
  <c r="F75" i="12" s="1"/>
  <c r="O66" i="12" a="1"/>
  <c r="O66" i="12" s="1"/>
  <c r="N66" i="12" a="1"/>
  <c r="N66" i="12" s="1"/>
  <c r="M66" i="12" a="1"/>
  <c r="M66" i="12" s="1"/>
  <c r="L66" i="12" a="1"/>
  <c r="L66" i="12" s="1"/>
  <c r="K66" i="12" a="1"/>
  <c r="K66" i="12" s="1"/>
  <c r="J66" i="12" a="1"/>
  <c r="J66" i="12" s="1"/>
  <c r="I66" i="12" a="1"/>
  <c r="I66" i="12" s="1"/>
  <c r="H66" i="12" a="1"/>
  <c r="H66" i="12" s="1"/>
  <c r="G66" i="12" a="1"/>
  <c r="G66" i="12" s="1"/>
  <c r="F66" i="12" a="1"/>
  <c r="F66" i="12" s="1"/>
  <c r="E66" i="12" a="1"/>
  <c r="E66" i="12" s="1"/>
  <c r="D66" i="12" a="1"/>
  <c r="D66" i="12" s="1"/>
  <c r="O65" i="12" a="1"/>
  <c r="O65" i="12" s="1"/>
  <c r="N65" i="12" a="1"/>
  <c r="N65" i="12" s="1"/>
  <c r="M65" i="12" a="1"/>
  <c r="M65" i="12" s="1"/>
  <c r="L65" i="12" a="1"/>
  <c r="L65" i="12" s="1"/>
  <c r="K65" i="12" a="1"/>
  <c r="K65" i="12" s="1"/>
  <c r="J65" i="12" a="1"/>
  <c r="J65" i="12" s="1"/>
  <c r="I65" i="12" a="1"/>
  <c r="I65" i="12" s="1"/>
  <c r="H65" i="12" a="1"/>
  <c r="H65" i="12" s="1"/>
  <c r="G65" i="12" a="1"/>
  <c r="G65" i="12" s="1"/>
  <c r="F65" i="12" a="1"/>
  <c r="F65" i="12" s="1"/>
  <c r="E65" i="12" a="1"/>
  <c r="E65" i="12" s="1"/>
  <c r="D65" i="12" a="1"/>
  <c r="D65" i="12" s="1"/>
  <c r="O64" i="12" a="1"/>
  <c r="O64" i="12" s="1"/>
  <c r="N64" i="12" a="1"/>
  <c r="N64" i="12" s="1"/>
  <c r="M64" i="12" a="1"/>
  <c r="M64" i="12" s="1"/>
  <c r="L64" i="12" a="1"/>
  <c r="L64" i="12" s="1"/>
  <c r="K64" i="12" a="1"/>
  <c r="K64" i="12" s="1"/>
  <c r="J64" i="12" a="1"/>
  <c r="J64" i="12" s="1"/>
  <c r="I64" i="12" a="1"/>
  <c r="I64" i="12" s="1"/>
  <c r="H64" i="12" a="1"/>
  <c r="H64" i="12" s="1"/>
  <c r="G64" i="12" a="1"/>
  <c r="G64" i="12" s="1"/>
  <c r="F64" i="12" a="1"/>
  <c r="F64" i="12" s="1"/>
  <c r="E64" i="12" a="1"/>
  <c r="E64" i="12" s="1"/>
  <c r="D64" i="12" a="1"/>
  <c r="D64" i="12" s="1"/>
  <c r="O63" i="12" a="1"/>
  <c r="O63" i="12" s="1"/>
  <c r="N63" i="12" a="1"/>
  <c r="N63" i="12" s="1"/>
  <c r="M63" i="12" a="1"/>
  <c r="M63" i="12" s="1"/>
  <c r="L63" i="12" a="1"/>
  <c r="L63" i="12" s="1"/>
  <c r="K63" i="12" a="1"/>
  <c r="K63" i="12" s="1"/>
  <c r="J63" i="12" a="1"/>
  <c r="J63" i="12" s="1"/>
  <c r="I63" i="12" a="1"/>
  <c r="I63" i="12" s="1"/>
  <c r="H63" i="12" a="1"/>
  <c r="H63" i="12" s="1"/>
  <c r="G63" i="12" a="1"/>
  <c r="G63" i="12" s="1"/>
  <c r="F63" i="12" a="1"/>
  <c r="F63" i="12" s="1"/>
  <c r="E63" i="12" a="1"/>
  <c r="E63" i="12" s="1"/>
  <c r="D63" i="12" a="1"/>
  <c r="D63" i="12" s="1"/>
  <c r="O62" i="12" a="1"/>
  <c r="O62" i="12" s="1"/>
  <c r="N62" i="12" a="1"/>
  <c r="N62" i="12" s="1"/>
  <c r="M62" i="12" a="1"/>
  <c r="M62" i="12" s="1"/>
  <c r="L62" i="12" a="1"/>
  <c r="L62" i="12" s="1"/>
  <c r="K62" i="12" a="1"/>
  <c r="K62" i="12" s="1"/>
  <c r="J62" i="12" a="1"/>
  <c r="J62" i="12" s="1"/>
  <c r="I62" i="12" a="1"/>
  <c r="I62" i="12" s="1"/>
  <c r="H62" i="12" a="1"/>
  <c r="H62" i="12" s="1"/>
  <c r="G62" i="12" a="1"/>
  <c r="G62" i="12" s="1"/>
  <c r="F62" i="12" a="1"/>
  <c r="F62" i="12" s="1"/>
  <c r="E62" i="12" a="1"/>
  <c r="E62" i="12" s="1"/>
  <c r="D62" i="12" a="1"/>
  <c r="D62" i="12" s="1"/>
  <c r="O61" i="12" a="1"/>
  <c r="O61" i="12" s="1"/>
  <c r="N61" i="12" a="1"/>
  <c r="N61" i="12" s="1"/>
  <c r="M61" i="12" a="1"/>
  <c r="M61" i="12" s="1"/>
  <c r="L61" i="12" a="1"/>
  <c r="L61" i="12" s="1"/>
  <c r="K61" i="12" a="1"/>
  <c r="K61" i="12" s="1"/>
  <c r="J61" i="12" a="1"/>
  <c r="J61" i="12" s="1"/>
  <c r="I61" i="12" a="1"/>
  <c r="I61" i="12" s="1"/>
  <c r="H61" i="12" a="1"/>
  <c r="H61" i="12" s="1"/>
  <c r="G61" i="12" a="1"/>
  <c r="G61" i="12" s="1"/>
  <c r="F61" i="12" a="1"/>
  <c r="F61" i="12" s="1"/>
  <c r="E61" i="12" a="1"/>
  <c r="E61" i="12" s="1"/>
  <c r="D61" i="12" a="1"/>
  <c r="D61" i="12" s="1"/>
  <c r="O57" i="12" a="1"/>
  <c r="O57" i="12" s="1"/>
  <c r="N57" i="12" a="1"/>
  <c r="N57" i="12" s="1"/>
  <c r="M57" i="12" a="1"/>
  <c r="M57" i="12" s="1"/>
  <c r="L57" i="12" a="1"/>
  <c r="L57" i="12" s="1"/>
  <c r="K57" i="12" a="1"/>
  <c r="K57" i="12" s="1"/>
  <c r="J57" i="12" a="1"/>
  <c r="J57" i="12" s="1"/>
  <c r="I57" i="12" a="1"/>
  <c r="I57" i="12" s="1"/>
  <c r="H57" i="12" a="1"/>
  <c r="H57" i="12" s="1"/>
  <c r="G57" i="12" a="1"/>
  <c r="G57" i="12" s="1"/>
  <c r="F57" i="12" a="1"/>
  <c r="F57" i="12" s="1"/>
  <c r="E57" i="12" a="1"/>
  <c r="E57" i="12" s="1"/>
  <c r="D57" i="12" a="1"/>
  <c r="D57" i="12" s="1"/>
  <c r="O56" i="12" a="1"/>
  <c r="O56" i="12" s="1"/>
  <c r="N56" i="12" a="1"/>
  <c r="N56" i="12" s="1"/>
  <c r="M56" i="12" a="1"/>
  <c r="M56" i="12" s="1"/>
  <c r="L56" i="12" a="1"/>
  <c r="L56" i="12" s="1"/>
  <c r="K56" i="12" a="1"/>
  <c r="K56" i="12" s="1"/>
  <c r="J56" i="12" a="1"/>
  <c r="J56" i="12" s="1"/>
  <c r="I56" i="12" a="1"/>
  <c r="I56" i="12" s="1"/>
  <c r="H56" i="12" a="1"/>
  <c r="H56" i="12" s="1"/>
  <c r="G56" i="12" a="1"/>
  <c r="G56" i="12" s="1"/>
  <c r="F56" i="12" a="1"/>
  <c r="F56" i="12" s="1"/>
  <c r="E56" i="12" a="1"/>
  <c r="E56" i="12" s="1"/>
  <c r="D56" i="12" a="1"/>
  <c r="D56" i="12" s="1"/>
  <c r="O55" i="12" a="1"/>
  <c r="O55" i="12" s="1"/>
  <c r="N55" i="12" a="1"/>
  <c r="N55" i="12" s="1"/>
  <c r="M55" i="12" a="1"/>
  <c r="M55" i="12" s="1"/>
  <c r="L55" i="12" a="1"/>
  <c r="L55" i="12" s="1"/>
  <c r="K55" i="12" a="1"/>
  <c r="K55" i="12" s="1"/>
  <c r="J55" i="12" a="1"/>
  <c r="J55" i="12" s="1"/>
  <c r="I55" i="12" a="1"/>
  <c r="I55" i="12" s="1"/>
  <c r="H55" i="12" a="1"/>
  <c r="H55" i="12" s="1"/>
  <c r="G55" i="12" a="1"/>
  <c r="G55" i="12" s="1"/>
  <c r="F55" i="12" a="1"/>
  <c r="F55" i="12" s="1"/>
  <c r="E55" i="12" a="1"/>
  <c r="E55" i="12" s="1"/>
  <c r="D55" i="12" a="1"/>
  <c r="D55" i="12" s="1"/>
  <c r="O54" i="12" a="1"/>
  <c r="O54" i="12" s="1"/>
  <c r="N54" i="12" a="1"/>
  <c r="N54" i="12" s="1"/>
  <c r="M54" i="12" a="1"/>
  <c r="M54" i="12" s="1"/>
  <c r="L54" i="12" a="1"/>
  <c r="L54" i="12" s="1"/>
  <c r="K54" i="12" a="1"/>
  <c r="K54" i="12" s="1"/>
  <c r="J54" i="12" a="1"/>
  <c r="J54" i="12" s="1"/>
  <c r="I54" i="12" a="1"/>
  <c r="I54" i="12" s="1"/>
  <c r="H54" i="12" a="1"/>
  <c r="H54" i="12" s="1"/>
  <c r="G54" i="12" a="1"/>
  <c r="G54" i="12" s="1"/>
  <c r="F54" i="12" a="1"/>
  <c r="F54" i="12" s="1"/>
  <c r="E54" i="12" a="1"/>
  <c r="E54" i="12" s="1"/>
  <c r="D54" i="12" a="1"/>
  <c r="D54" i="12" s="1"/>
  <c r="O53" i="12" a="1"/>
  <c r="O53" i="12" s="1"/>
  <c r="N53" i="12" a="1"/>
  <c r="N53" i="12" s="1"/>
  <c r="M53" i="12" a="1"/>
  <c r="M53" i="12" s="1"/>
  <c r="L53" i="12" a="1"/>
  <c r="L53" i="12" s="1"/>
  <c r="K53" i="12" a="1"/>
  <c r="K53" i="12" s="1"/>
  <c r="J53" i="12" a="1"/>
  <c r="J53" i="12" s="1"/>
  <c r="I53" i="12" a="1"/>
  <c r="I53" i="12" s="1"/>
  <c r="H53" i="12" a="1"/>
  <c r="H53" i="12" s="1"/>
  <c r="G53" i="12" a="1"/>
  <c r="G53" i="12" s="1"/>
  <c r="F53" i="12" a="1"/>
  <c r="F53" i="12" s="1"/>
  <c r="E53" i="12" a="1"/>
  <c r="E53" i="12" s="1"/>
  <c r="D53" i="12" a="1"/>
  <c r="D53" i="12" s="1"/>
  <c r="O52" i="12" a="1"/>
  <c r="O52" i="12" s="1"/>
  <c r="N52" i="12" a="1"/>
  <c r="N52" i="12" s="1"/>
  <c r="M52" i="12" a="1"/>
  <c r="M52" i="12" s="1"/>
  <c r="L52" i="12" a="1"/>
  <c r="L52" i="12" s="1"/>
  <c r="K52" i="12" a="1"/>
  <c r="K52" i="12" s="1"/>
  <c r="J52" i="12" a="1"/>
  <c r="J52" i="12" s="1"/>
  <c r="I52" i="12" a="1"/>
  <c r="I52" i="12" s="1"/>
  <c r="H52" i="12" a="1"/>
  <c r="H52" i="12" s="1"/>
  <c r="G52" i="12" a="1"/>
  <c r="G52" i="12" s="1"/>
  <c r="F52" i="12" a="1"/>
  <c r="F52" i="12" s="1"/>
  <c r="E52" i="12" a="1"/>
  <c r="E52" i="12" s="1"/>
  <c r="D52" i="12" a="1"/>
  <c r="D52" i="12" s="1"/>
  <c r="O43" i="12" a="1"/>
  <c r="O43" i="12" s="1"/>
  <c r="N43" i="12" a="1"/>
  <c r="N43" i="12" s="1"/>
  <c r="M43" i="12" a="1"/>
  <c r="M43" i="12" s="1"/>
  <c r="L43" i="12" a="1"/>
  <c r="L43" i="12" s="1"/>
  <c r="K43" i="12" a="1"/>
  <c r="K43" i="12" s="1"/>
  <c r="J43" i="12" a="1"/>
  <c r="J43" i="12" s="1"/>
  <c r="I43" i="12" a="1"/>
  <c r="I43" i="12" s="1"/>
  <c r="H43" i="12" a="1"/>
  <c r="H43" i="12" s="1"/>
  <c r="G43" i="12" a="1"/>
  <c r="G43" i="12" s="1"/>
  <c r="F43" i="12" a="1"/>
  <c r="F43" i="12" s="1"/>
  <c r="E43" i="12" a="1"/>
  <c r="E43" i="12" s="1"/>
  <c r="D43" i="12" a="1"/>
  <c r="D43" i="12" s="1"/>
  <c r="O42" i="12" a="1"/>
  <c r="O42" i="12" s="1"/>
  <c r="N42" i="12" a="1"/>
  <c r="N42" i="12" s="1"/>
  <c r="M42" i="12" a="1"/>
  <c r="M42" i="12" s="1"/>
  <c r="L42" i="12" a="1"/>
  <c r="L42" i="12" s="1"/>
  <c r="K42" i="12" a="1"/>
  <c r="K42" i="12" s="1"/>
  <c r="J42" i="12" a="1"/>
  <c r="J42" i="12" s="1"/>
  <c r="I42" i="12" a="1"/>
  <c r="I42" i="12" s="1"/>
  <c r="H42" i="12" a="1"/>
  <c r="H42" i="12" s="1"/>
  <c r="G42" i="12" a="1"/>
  <c r="G42" i="12" s="1"/>
  <c r="F42" i="12" a="1"/>
  <c r="F42" i="12" s="1"/>
  <c r="E42" i="12" a="1"/>
  <c r="E42" i="12" s="1"/>
  <c r="D42" i="12" a="1"/>
  <c r="D42" i="12" s="1"/>
  <c r="O41" i="12" a="1"/>
  <c r="O41" i="12" s="1"/>
  <c r="N41" i="12" a="1"/>
  <c r="N41" i="12" s="1"/>
  <c r="M41" i="12" a="1"/>
  <c r="M41" i="12" s="1"/>
  <c r="L41" i="12" a="1"/>
  <c r="L41" i="12" s="1"/>
  <c r="K41" i="12" a="1"/>
  <c r="K41" i="12" s="1"/>
  <c r="J41" i="12" a="1"/>
  <c r="J41" i="12" s="1"/>
  <c r="I41" i="12" a="1"/>
  <c r="I41" i="12" s="1"/>
  <c r="H41" i="12" a="1"/>
  <c r="H41" i="12" s="1"/>
  <c r="G41" i="12" a="1"/>
  <c r="G41" i="12" s="1"/>
  <c r="F41" i="12" a="1"/>
  <c r="F41" i="12" s="1"/>
  <c r="E41" i="12" a="1"/>
  <c r="E41" i="12" s="1"/>
  <c r="D41" i="12" a="1"/>
  <c r="D41" i="12" s="1"/>
  <c r="O40" i="12" a="1"/>
  <c r="O40" i="12" s="1"/>
  <c r="N40" i="12" a="1"/>
  <c r="N40" i="12" s="1"/>
  <c r="M40" i="12" a="1"/>
  <c r="M40" i="12" s="1"/>
  <c r="L40" i="12" a="1"/>
  <c r="L40" i="12" s="1"/>
  <c r="K40" i="12" a="1"/>
  <c r="K40" i="12" s="1"/>
  <c r="J40" i="12" a="1"/>
  <c r="J40" i="12" s="1"/>
  <c r="I40" i="12" a="1"/>
  <c r="I40" i="12" s="1"/>
  <c r="H40" i="12" a="1"/>
  <c r="H40" i="12" s="1"/>
  <c r="G40" i="12" a="1"/>
  <c r="G40" i="12" s="1"/>
  <c r="F40" i="12" a="1"/>
  <c r="F40" i="12" s="1"/>
  <c r="E40" i="12" a="1"/>
  <c r="E40" i="12" s="1"/>
  <c r="D40" i="12" a="1"/>
  <c r="D40" i="12" s="1"/>
  <c r="O39" i="12" a="1"/>
  <c r="O39" i="12" s="1"/>
  <c r="N39" i="12" a="1"/>
  <c r="N39" i="12" s="1"/>
  <c r="M39" i="12" a="1"/>
  <c r="M39" i="12" s="1"/>
  <c r="L39" i="12" a="1"/>
  <c r="L39" i="12" s="1"/>
  <c r="K39" i="12" a="1"/>
  <c r="K39" i="12" s="1"/>
  <c r="J39" i="12" a="1"/>
  <c r="J39" i="12" s="1"/>
  <c r="I39" i="12" a="1"/>
  <c r="I39" i="12" s="1"/>
  <c r="H39" i="12" a="1"/>
  <c r="H39" i="12" s="1"/>
  <c r="G39" i="12" a="1"/>
  <c r="G39" i="12" s="1"/>
  <c r="F39" i="12" a="1"/>
  <c r="F39" i="12" s="1"/>
  <c r="E39" i="12" a="1"/>
  <c r="E39" i="12" s="1"/>
  <c r="D39" i="12" a="1"/>
  <c r="D39" i="12" s="1"/>
  <c r="O38" i="12" a="1"/>
  <c r="O38" i="12" s="1"/>
  <c r="N38" i="12" a="1"/>
  <c r="N38" i="12" s="1"/>
  <c r="M38" i="12" a="1"/>
  <c r="M38" i="12" s="1"/>
  <c r="L38" i="12" a="1"/>
  <c r="L38" i="12" s="1"/>
  <c r="K38" i="12" a="1"/>
  <c r="K38" i="12" s="1"/>
  <c r="J38" i="12" a="1"/>
  <c r="J38" i="12" s="1"/>
  <c r="I38" i="12" a="1"/>
  <c r="I38" i="12" s="1"/>
  <c r="H38" i="12" a="1"/>
  <c r="H38" i="12" s="1"/>
  <c r="G38" i="12" a="1"/>
  <c r="G38" i="12" s="1"/>
  <c r="F38" i="12" a="1"/>
  <c r="F38" i="12" s="1"/>
  <c r="E38" i="12" a="1"/>
  <c r="E38" i="12" s="1"/>
  <c r="D38" i="12" a="1"/>
  <c r="D38" i="12" s="1"/>
  <c r="O34" i="12" a="1"/>
  <c r="O34" i="12" s="1"/>
  <c r="N34" i="12" a="1"/>
  <c r="N34" i="12" s="1"/>
  <c r="M34" i="12" a="1"/>
  <c r="M34" i="12" s="1"/>
  <c r="L34" i="12" a="1"/>
  <c r="L34" i="12" s="1"/>
  <c r="K34" i="12" a="1"/>
  <c r="K34" i="12" s="1"/>
  <c r="J34" i="12" a="1"/>
  <c r="J34" i="12" s="1"/>
  <c r="I34" i="12" a="1"/>
  <c r="I34" i="12" s="1"/>
  <c r="H34" i="12" a="1"/>
  <c r="H34" i="12" s="1"/>
  <c r="G34" i="12" a="1"/>
  <c r="G34" i="12" s="1"/>
  <c r="F34" i="12" a="1"/>
  <c r="F34" i="12" s="1"/>
  <c r="E34" i="12" a="1"/>
  <c r="E34" i="12" s="1"/>
  <c r="D34" i="12" a="1"/>
  <c r="D34" i="12" s="1"/>
  <c r="O33" i="12" a="1"/>
  <c r="O33" i="12" s="1"/>
  <c r="N33" i="12" a="1"/>
  <c r="N33" i="12" s="1"/>
  <c r="M33" i="12" a="1"/>
  <c r="M33" i="12" s="1"/>
  <c r="L33" i="12" a="1"/>
  <c r="L33" i="12" s="1"/>
  <c r="K33" i="12" a="1"/>
  <c r="K33" i="12" s="1"/>
  <c r="J33" i="12" a="1"/>
  <c r="J33" i="12" s="1"/>
  <c r="I33" i="12" a="1"/>
  <c r="I33" i="12" s="1"/>
  <c r="H33" i="12" a="1"/>
  <c r="H33" i="12" s="1"/>
  <c r="G33" i="12" a="1"/>
  <c r="G33" i="12" s="1"/>
  <c r="F33" i="12" a="1"/>
  <c r="F33" i="12" s="1"/>
  <c r="E33" i="12" a="1"/>
  <c r="E33" i="12" s="1"/>
  <c r="D33" i="12" a="1"/>
  <c r="D33" i="12" s="1"/>
  <c r="O32" i="12" a="1"/>
  <c r="O32" i="12" s="1"/>
  <c r="N32" i="12" a="1"/>
  <c r="N32" i="12" s="1"/>
  <c r="M32" i="12" a="1"/>
  <c r="M32" i="12" s="1"/>
  <c r="L32" i="12" a="1"/>
  <c r="L32" i="12" s="1"/>
  <c r="K32" i="12" a="1"/>
  <c r="K32" i="12" s="1"/>
  <c r="J32" i="12" a="1"/>
  <c r="J32" i="12" s="1"/>
  <c r="I32" i="12" a="1"/>
  <c r="I32" i="12" s="1"/>
  <c r="H32" i="12" a="1"/>
  <c r="H32" i="12" s="1"/>
  <c r="G32" i="12" a="1"/>
  <c r="G32" i="12" s="1"/>
  <c r="F32" i="12" a="1"/>
  <c r="F32" i="12" s="1"/>
  <c r="E32" i="12" a="1"/>
  <c r="E32" i="12" s="1"/>
  <c r="D32" i="12" a="1"/>
  <c r="D32" i="12" s="1"/>
  <c r="O31" i="12" a="1"/>
  <c r="O31" i="12" s="1"/>
  <c r="N31" i="12" a="1"/>
  <c r="N31" i="12" s="1"/>
  <c r="M31" i="12" a="1"/>
  <c r="M31" i="12" s="1"/>
  <c r="L31" i="12" a="1"/>
  <c r="L31" i="12" s="1"/>
  <c r="K31" i="12" a="1"/>
  <c r="K31" i="12" s="1"/>
  <c r="J31" i="12" a="1"/>
  <c r="J31" i="12" s="1"/>
  <c r="I31" i="12" a="1"/>
  <c r="I31" i="12" s="1"/>
  <c r="H31" i="12" a="1"/>
  <c r="H31" i="12" s="1"/>
  <c r="G31" i="12" a="1"/>
  <c r="G31" i="12" s="1"/>
  <c r="F31" i="12" a="1"/>
  <c r="F31" i="12" s="1"/>
  <c r="E31" i="12" a="1"/>
  <c r="E31" i="12" s="1"/>
  <c r="D31" i="12" a="1"/>
  <c r="D31" i="12" s="1"/>
  <c r="O30" i="12" a="1"/>
  <c r="O30" i="12" s="1"/>
  <c r="N30" i="12" a="1"/>
  <c r="N30" i="12" s="1"/>
  <c r="M30" i="12" a="1"/>
  <c r="M30" i="12" s="1"/>
  <c r="L30" i="12" a="1"/>
  <c r="L30" i="12" s="1"/>
  <c r="K30" i="12" a="1"/>
  <c r="K30" i="12" s="1"/>
  <c r="J30" i="12" a="1"/>
  <c r="J30" i="12" s="1"/>
  <c r="I30" i="12" a="1"/>
  <c r="I30" i="12" s="1"/>
  <c r="H30" i="12" a="1"/>
  <c r="H30" i="12" s="1"/>
  <c r="G30" i="12" a="1"/>
  <c r="G30" i="12" s="1"/>
  <c r="F30" i="12" a="1"/>
  <c r="F30" i="12" s="1"/>
  <c r="E30" i="12" a="1"/>
  <c r="E30" i="12" s="1"/>
  <c r="D30" i="12" a="1"/>
  <c r="D30" i="12" s="1"/>
  <c r="O29" i="12" a="1"/>
  <c r="O29" i="12" s="1"/>
  <c r="N29" i="12" a="1"/>
  <c r="N29" i="12" s="1"/>
  <c r="M29" i="12" a="1"/>
  <c r="M29" i="12" s="1"/>
  <c r="L29" i="12" a="1"/>
  <c r="L29" i="12" s="1"/>
  <c r="K29" i="12" a="1"/>
  <c r="K29" i="12" s="1"/>
  <c r="J29" i="12" a="1"/>
  <c r="J29" i="12" s="1"/>
  <c r="I29" i="12" a="1"/>
  <c r="I29" i="12" s="1"/>
  <c r="H29" i="12" a="1"/>
  <c r="H29" i="12" s="1"/>
  <c r="G29" i="12" a="1"/>
  <c r="G29" i="12" s="1"/>
  <c r="F29" i="12" a="1"/>
  <c r="F29" i="12" s="1"/>
  <c r="E29" i="12" a="1"/>
  <c r="E29" i="12" s="1"/>
  <c r="D29" i="12" a="1"/>
  <c r="D29" i="12" s="1"/>
  <c r="O21" i="12" a="1"/>
  <c r="O21" i="12" s="1"/>
  <c r="N21" i="12" a="1"/>
  <c r="N21" i="12" s="1"/>
  <c r="M21" i="12" a="1"/>
  <c r="M21" i="12" s="1"/>
  <c r="L21" i="12" a="1"/>
  <c r="L21" i="12" s="1"/>
  <c r="K21" i="12" a="1"/>
  <c r="K21" i="12" s="1"/>
  <c r="J21" i="12" a="1"/>
  <c r="J21" i="12" s="1"/>
  <c r="I21" i="12" a="1"/>
  <c r="I21" i="12" s="1"/>
  <c r="H21" i="12" a="1"/>
  <c r="H21" i="12" s="1"/>
  <c r="G21" i="12" a="1"/>
  <c r="G21" i="12" s="1"/>
  <c r="F21" i="12" a="1"/>
  <c r="F21" i="12" s="1"/>
  <c r="E21" i="12" a="1"/>
  <c r="E21" i="12" s="1"/>
  <c r="D21" i="12" a="1"/>
  <c r="D21" i="12" s="1"/>
  <c r="O20" i="12" a="1"/>
  <c r="O20" i="12" s="1"/>
  <c r="N20" i="12" a="1"/>
  <c r="N20" i="12" s="1"/>
  <c r="M20" i="12" a="1"/>
  <c r="M20" i="12" s="1"/>
  <c r="L20" i="12" a="1"/>
  <c r="L20" i="12" s="1"/>
  <c r="K20" i="12" a="1"/>
  <c r="K20" i="12" s="1"/>
  <c r="J20" i="12" a="1"/>
  <c r="J20" i="12" s="1"/>
  <c r="I20" i="12" a="1"/>
  <c r="I20" i="12" s="1"/>
  <c r="H20" i="12" a="1"/>
  <c r="H20" i="12" s="1"/>
  <c r="G20" i="12" a="1"/>
  <c r="G20" i="12" s="1"/>
  <c r="F20" i="12" a="1"/>
  <c r="F20" i="12" s="1"/>
  <c r="E20" i="12" a="1"/>
  <c r="E20" i="12" s="1"/>
  <c r="D20" i="12" a="1"/>
  <c r="D20" i="12" s="1"/>
  <c r="O19" i="12" a="1"/>
  <c r="O19" i="12" s="1"/>
  <c r="N19" i="12" a="1"/>
  <c r="N19" i="12" s="1"/>
  <c r="M19" i="12" a="1"/>
  <c r="M19" i="12" s="1"/>
  <c r="L19" i="12" a="1"/>
  <c r="L19" i="12" s="1"/>
  <c r="K19" i="12" a="1"/>
  <c r="K19" i="12" s="1"/>
  <c r="J19" i="12" a="1"/>
  <c r="J19" i="12" s="1"/>
  <c r="I19" i="12" a="1"/>
  <c r="I19" i="12" s="1"/>
  <c r="H19" i="12" a="1"/>
  <c r="H19" i="12" s="1"/>
  <c r="G19" i="12" a="1"/>
  <c r="G19" i="12" s="1"/>
  <c r="F19" i="12" a="1"/>
  <c r="F19" i="12" s="1"/>
  <c r="E19" i="12" a="1"/>
  <c r="E19" i="12" s="1"/>
  <c r="D19" i="12" a="1"/>
  <c r="D19" i="12" s="1"/>
  <c r="O18" i="12" a="1"/>
  <c r="O18" i="12" s="1"/>
  <c r="N18" i="12" a="1"/>
  <c r="N18" i="12" s="1"/>
  <c r="M18" i="12" a="1"/>
  <c r="M18" i="12" s="1"/>
  <c r="L18" i="12" a="1"/>
  <c r="L18" i="12" s="1"/>
  <c r="K18" i="12" a="1"/>
  <c r="K18" i="12" s="1"/>
  <c r="J18" i="12" a="1"/>
  <c r="J18" i="12" s="1"/>
  <c r="I18" i="12" a="1"/>
  <c r="I18" i="12" s="1"/>
  <c r="H18" i="12" a="1"/>
  <c r="H18" i="12" s="1"/>
  <c r="G18" i="12" a="1"/>
  <c r="G18" i="12" s="1"/>
  <c r="F18" i="12" a="1"/>
  <c r="F18" i="12" s="1"/>
  <c r="E18" i="12" a="1"/>
  <c r="E18" i="12" s="1"/>
  <c r="D18" i="12" a="1"/>
  <c r="D18" i="12" s="1"/>
  <c r="O17" i="12" a="1"/>
  <c r="O17" i="12" s="1"/>
  <c r="N17" i="12" a="1"/>
  <c r="N17" i="12" s="1"/>
  <c r="M17" i="12" a="1"/>
  <c r="M17" i="12" s="1"/>
  <c r="L17" i="12" a="1"/>
  <c r="L17" i="12" s="1"/>
  <c r="K17" i="12" a="1"/>
  <c r="K17" i="12" s="1"/>
  <c r="J17" i="12" a="1"/>
  <c r="J17" i="12" s="1"/>
  <c r="I17" i="12" a="1"/>
  <c r="I17" i="12" s="1"/>
  <c r="H17" i="12" a="1"/>
  <c r="H17" i="12" s="1"/>
  <c r="G17" i="12" a="1"/>
  <c r="G17" i="12" s="1"/>
  <c r="F17" i="12" a="1"/>
  <c r="F17" i="12" s="1"/>
  <c r="E17" i="12" a="1"/>
  <c r="E17" i="12" s="1"/>
  <c r="D17" i="12" a="1"/>
  <c r="D17" i="12" s="1"/>
  <c r="O16" i="12" a="1"/>
  <c r="O16" i="12" s="1"/>
  <c r="N16" i="12" a="1"/>
  <c r="N16" i="12" s="1"/>
  <c r="M16" i="12" a="1"/>
  <c r="M16" i="12" s="1"/>
  <c r="L16" i="12" a="1"/>
  <c r="L16" i="12" s="1"/>
  <c r="K16" i="12" a="1"/>
  <c r="K16" i="12" s="1"/>
  <c r="J16" i="12" a="1"/>
  <c r="J16" i="12" s="1"/>
  <c r="I16" i="12" a="1"/>
  <c r="I16" i="12" s="1"/>
  <c r="H16" i="12" a="1"/>
  <c r="H16" i="12" s="1"/>
  <c r="G16" i="12" a="1"/>
  <c r="G16" i="12" s="1"/>
  <c r="F16" i="12" a="1"/>
  <c r="F16" i="12" s="1"/>
  <c r="E16" i="12" a="1"/>
  <c r="E16" i="12" s="1"/>
  <c r="D16" i="12" a="1"/>
  <c r="D16" i="12" s="1"/>
  <c r="O12" i="12" a="1"/>
  <c r="O12" i="12" s="1"/>
  <c r="N12" i="12" a="1"/>
  <c r="N12" i="12" s="1"/>
  <c r="M12" i="12" a="1"/>
  <c r="M12" i="12" s="1"/>
  <c r="L12" i="12" a="1"/>
  <c r="L12" i="12" s="1"/>
  <c r="K12" i="12" a="1"/>
  <c r="K12" i="12" s="1"/>
  <c r="J12" i="12" a="1"/>
  <c r="J12" i="12" s="1"/>
  <c r="I12" i="12" a="1"/>
  <c r="I12" i="12" s="1"/>
  <c r="H12" i="12" a="1"/>
  <c r="H12" i="12" s="1"/>
  <c r="G12" i="12" a="1"/>
  <c r="G12" i="12" s="1"/>
  <c r="F12" i="12" a="1"/>
  <c r="F12" i="12" s="1"/>
  <c r="E12" i="12" a="1"/>
  <c r="E12" i="12" s="1"/>
  <c r="D12" i="12" a="1"/>
  <c r="D12" i="12" s="1"/>
  <c r="O11" i="12" a="1"/>
  <c r="O11" i="12" s="1"/>
  <c r="N11" i="12" a="1"/>
  <c r="N11" i="12" s="1"/>
  <c r="M11" i="12" a="1"/>
  <c r="M11" i="12" s="1"/>
  <c r="L11" i="12" a="1"/>
  <c r="L11" i="12" s="1"/>
  <c r="K11" i="12" a="1"/>
  <c r="K11" i="12" s="1"/>
  <c r="J11" i="12" a="1"/>
  <c r="J11" i="12" s="1"/>
  <c r="I11" i="12" a="1"/>
  <c r="I11" i="12" s="1"/>
  <c r="H11" i="12" a="1"/>
  <c r="H11" i="12" s="1"/>
  <c r="G11" i="12" a="1"/>
  <c r="G11" i="12" s="1"/>
  <c r="F11" i="12" a="1"/>
  <c r="F11" i="12" s="1"/>
  <c r="E11" i="12" a="1"/>
  <c r="E11" i="12" s="1"/>
  <c r="D11" i="12" a="1"/>
  <c r="D11" i="12" s="1"/>
  <c r="O10" i="12" a="1"/>
  <c r="O10" i="12" s="1"/>
  <c r="N10" i="12" a="1"/>
  <c r="N10" i="12" s="1"/>
  <c r="M10" i="12" a="1"/>
  <c r="M10" i="12" s="1"/>
  <c r="L10" i="12" a="1"/>
  <c r="L10" i="12" s="1"/>
  <c r="K10" i="12" a="1"/>
  <c r="K10" i="12" s="1"/>
  <c r="J10" i="12" a="1"/>
  <c r="J10" i="12" s="1"/>
  <c r="I10" i="12" a="1"/>
  <c r="I10" i="12" s="1"/>
  <c r="H10" i="12" a="1"/>
  <c r="H10" i="12" s="1"/>
  <c r="G10" i="12" a="1"/>
  <c r="G10" i="12" s="1"/>
  <c r="F10" i="12" a="1"/>
  <c r="F10" i="12" s="1"/>
  <c r="E10" i="12" a="1"/>
  <c r="E10" i="12" s="1"/>
  <c r="D10" i="12" a="1"/>
  <c r="D10" i="12" s="1"/>
  <c r="O9" i="12" a="1"/>
  <c r="O9" i="12" s="1"/>
  <c r="N9" i="12" a="1"/>
  <c r="N9" i="12" s="1"/>
  <c r="M9" i="12" a="1"/>
  <c r="M9" i="12" s="1"/>
  <c r="L9" i="12" a="1"/>
  <c r="L9" i="12" s="1"/>
  <c r="K9" i="12" a="1"/>
  <c r="K9" i="12" s="1"/>
  <c r="J9" i="12" a="1"/>
  <c r="J9" i="12" s="1"/>
  <c r="I9" i="12" a="1"/>
  <c r="I9" i="12" s="1"/>
  <c r="H9" i="12" a="1"/>
  <c r="H9" i="12" s="1"/>
  <c r="G9" i="12" a="1"/>
  <c r="G9" i="12" s="1"/>
  <c r="F9" i="12" a="1"/>
  <c r="F9" i="12" s="1"/>
  <c r="E9" i="12" a="1"/>
  <c r="E9" i="12" s="1"/>
  <c r="D9" i="12" a="1"/>
  <c r="D9" i="12" s="1"/>
  <c r="O8" i="12" a="1"/>
  <c r="O8" i="12" s="1"/>
  <c r="N8" i="12" a="1"/>
  <c r="N8" i="12" s="1"/>
  <c r="M8" i="12" a="1"/>
  <c r="M8" i="12" s="1"/>
  <c r="L8" i="12" a="1"/>
  <c r="L8" i="12" s="1"/>
  <c r="K8" i="12" a="1"/>
  <c r="K8" i="12" s="1"/>
  <c r="J8" i="12" a="1"/>
  <c r="J8" i="12" s="1"/>
  <c r="I8" i="12" a="1"/>
  <c r="I8" i="12" s="1"/>
  <c r="H8" i="12" a="1"/>
  <c r="H8" i="12" s="1"/>
  <c r="G8" i="12" a="1"/>
  <c r="G8" i="12" s="1"/>
  <c r="F8" i="12" a="1"/>
  <c r="F8" i="12" s="1"/>
  <c r="E8" i="12" a="1"/>
  <c r="E8" i="12" s="1"/>
  <c r="D8" i="12" a="1"/>
  <c r="D8" i="12" s="1"/>
  <c r="O7" i="12" a="1"/>
  <c r="O7" i="12" s="1"/>
  <c r="N7" i="12" a="1"/>
  <c r="N7" i="12" s="1"/>
  <c r="M7" i="12" a="1"/>
  <c r="M7" i="12" s="1"/>
  <c r="L7" i="12" a="1"/>
  <c r="L7" i="12" s="1"/>
  <c r="K7" i="12" a="1"/>
  <c r="K7" i="12" s="1"/>
  <c r="J7" i="12" a="1"/>
  <c r="J7" i="12" s="1"/>
  <c r="I7" i="12" a="1"/>
  <c r="I7" i="12" s="1"/>
  <c r="H7" i="12" a="1"/>
  <c r="H7" i="12" s="1"/>
  <c r="G7" i="12" a="1"/>
  <c r="G7" i="12" s="1"/>
  <c r="F7" i="12" a="1"/>
  <c r="F7" i="12" s="1"/>
  <c r="E7" i="12" a="1"/>
  <c r="E7" i="12" s="1"/>
  <c r="D7" i="12" a="1"/>
  <c r="D7" i="12" s="1"/>
  <c r="P92" i="12"/>
  <c r="P69" i="12"/>
  <c r="P46" i="12"/>
  <c r="P24" i="12"/>
  <c r="A4" i="12"/>
  <c r="A3" i="12"/>
  <c r="A1" i="12"/>
  <c r="O89" i="11" a="1"/>
  <c r="O89" i="11" s="1"/>
  <c r="N89" i="11" a="1"/>
  <c r="N89" i="11" s="1"/>
  <c r="M89" i="11" a="1"/>
  <c r="M89" i="11" s="1"/>
  <c r="L89" i="11" a="1"/>
  <c r="L89" i="11" s="1"/>
  <c r="K89" i="11" a="1"/>
  <c r="K89" i="11" s="1"/>
  <c r="J89" i="11" a="1"/>
  <c r="J89" i="11" s="1"/>
  <c r="I89" i="11" a="1"/>
  <c r="I89" i="11" s="1"/>
  <c r="H89" i="11" a="1"/>
  <c r="H89" i="11" s="1"/>
  <c r="G89" i="11" a="1"/>
  <c r="G89" i="11" s="1"/>
  <c r="F89" i="11" a="1"/>
  <c r="F89" i="11" s="1"/>
  <c r="E89" i="11" a="1"/>
  <c r="E89" i="11" s="1"/>
  <c r="D89" i="11" a="1"/>
  <c r="D89" i="11" s="1"/>
  <c r="O88" i="11" a="1"/>
  <c r="O88" i="11" s="1"/>
  <c r="N88" i="11" a="1"/>
  <c r="N88" i="11" s="1"/>
  <c r="M88" i="11" a="1"/>
  <c r="M88" i="11" s="1"/>
  <c r="L88" i="11" a="1"/>
  <c r="L88" i="11" s="1"/>
  <c r="K88" i="11" a="1"/>
  <c r="K88" i="11" s="1"/>
  <c r="J88" i="11" a="1"/>
  <c r="J88" i="11" s="1"/>
  <c r="I88" i="11" a="1"/>
  <c r="I88" i="11" s="1"/>
  <c r="H88" i="11" a="1"/>
  <c r="H88" i="11" s="1"/>
  <c r="G88" i="11" a="1"/>
  <c r="G88" i="11" s="1"/>
  <c r="F88" i="11" a="1"/>
  <c r="F88" i="11" s="1"/>
  <c r="E88" i="11" a="1"/>
  <c r="E88" i="11" s="1"/>
  <c r="D88" i="11" a="1"/>
  <c r="D88" i="11" s="1"/>
  <c r="O87" i="11" a="1"/>
  <c r="O87" i="11" s="1"/>
  <c r="N87" i="11" a="1"/>
  <c r="N87" i="11" s="1"/>
  <c r="M87" i="11" a="1"/>
  <c r="M87" i="11" s="1"/>
  <c r="L87" i="11" a="1"/>
  <c r="L87" i="11" s="1"/>
  <c r="K87" i="11" a="1"/>
  <c r="K87" i="11" s="1"/>
  <c r="J87" i="11" a="1"/>
  <c r="J87" i="11" s="1"/>
  <c r="I87" i="11" a="1"/>
  <c r="I87" i="11" s="1"/>
  <c r="H87" i="11" a="1"/>
  <c r="H87" i="11" s="1"/>
  <c r="G87" i="11" a="1"/>
  <c r="G87" i="11" s="1"/>
  <c r="F87" i="11" a="1"/>
  <c r="F87" i="11" s="1"/>
  <c r="E87" i="11" a="1"/>
  <c r="E87" i="11" s="1"/>
  <c r="D87" i="11" a="1"/>
  <c r="D87" i="11" s="1"/>
  <c r="O86" i="11" a="1"/>
  <c r="O86" i="11" s="1"/>
  <c r="N86" i="11" a="1"/>
  <c r="N86" i="11" s="1"/>
  <c r="M86" i="11" a="1"/>
  <c r="M86" i="11" s="1"/>
  <c r="L86" i="11" a="1"/>
  <c r="L86" i="11" s="1"/>
  <c r="K86" i="11" a="1"/>
  <c r="K86" i="11" s="1"/>
  <c r="J86" i="11" a="1"/>
  <c r="J86" i="11" s="1"/>
  <c r="I86" i="11" a="1"/>
  <c r="I86" i="11" s="1"/>
  <c r="H86" i="11" a="1"/>
  <c r="H86" i="11" s="1"/>
  <c r="G86" i="11" a="1"/>
  <c r="G86" i="11" s="1"/>
  <c r="F86" i="11" a="1"/>
  <c r="F86" i="11" s="1"/>
  <c r="E86" i="11" a="1"/>
  <c r="E86" i="11" s="1"/>
  <c r="D86" i="11" a="1"/>
  <c r="D86" i="11" s="1"/>
  <c r="O85" i="11" a="1"/>
  <c r="O85" i="11" s="1"/>
  <c r="N85" i="11" a="1"/>
  <c r="N85" i="11" s="1"/>
  <c r="M85" i="11" a="1"/>
  <c r="M85" i="11" s="1"/>
  <c r="L85" i="11" a="1"/>
  <c r="L85" i="11" s="1"/>
  <c r="K85" i="11" a="1"/>
  <c r="K85" i="11" s="1"/>
  <c r="J85" i="11" a="1"/>
  <c r="J85" i="11" s="1"/>
  <c r="I85" i="11" a="1"/>
  <c r="I85" i="11" s="1"/>
  <c r="H85" i="11" a="1"/>
  <c r="H85" i="11" s="1"/>
  <c r="G85" i="11" a="1"/>
  <c r="G85" i="11" s="1"/>
  <c r="E85" i="11" a="1"/>
  <c r="E85" i="11" s="1"/>
  <c r="D85" i="11" a="1"/>
  <c r="D85" i="11" s="1"/>
  <c r="O84" i="11" a="1"/>
  <c r="O84" i="11" s="1"/>
  <c r="N84" i="11" a="1"/>
  <c r="N84" i="11" s="1"/>
  <c r="M84" i="11" a="1"/>
  <c r="M84" i="11" s="1"/>
  <c r="L84" i="11" a="1"/>
  <c r="L84" i="11" s="1"/>
  <c r="K84" i="11" a="1"/>
  <c r="K84" i="11" s="1"/>
  <c r="J84" i="11" a="1"/>
  <c r="J84" i="11" s="1"/>
  <c r="I84" i="11" a="1"/>
  <c r="I84" i="11" s="1"/>
  <c r="H84" i="11" a="1"/>
  <c r="H84" i="11" s="1"/>
  <c r="G84" i="11" a="1"/>
  <c r="G84" i="11" s="1"/>
  <c r="F84" i="11" a="1"/>
  <c r="F84" i="11" s="1"/>
  <c r="E84" i="11" a="1"/>
  <c r="E84" i="11" s="1"/>
  <c r="O80" i="11" a="1"/>
  <c r="O80" i="11" s="1"/>
  <c r="N80" i="11" a="1"/>
  <c r="N80" i="11" s="1"/>
  <c r="M80" i="11" a="1"/>
  <c r="M80" i="11" s="1"/>
  <c r="L80" i="11" a="1"/>
  <c r="L80" i="11" s="1"/>
  <c r="K80" i="11" a="1"/>
  <c r="K80" i="11" s="1"/>
  <c r="J80" i="11" a="1"/>
  <c r="J80" i="11" s="1"/>
  <c r="I80" i="11" a="1"/>
  <c r="I80" i="11" s="1"/>
  <c r="H80" i="11" a="1"/>
  <c r="H80" i="11" s="1"/>
  <c r="G80" i="11" a="1"/>
  <c r="G80" i="11" s="1"/>
  <c r="F80" i="11" a="1"/>
  <c r="F80" i="11" s="1"/>
  <c r="E80" i="11" a="1"/>
  <c r="E80" i="11" s="1"/>
  <c r="O79" i="11" a="1"/>
  <c r="O79" i="11" s="1"/>
  <c r="N79" i="11" a="1"/>
  <c r="N79" i="11" s="1"/>
  <c r="M79" i="11" a="1"/>
  <c r="M79" i="11" s="1"/>
  <c r="L79" i="11" a="1"/>
  <c r="L79" i="11" s="1"/>
  <c r="K79" i="11" a="1"/>
  <c r="K79" i="11" s="1"/>
  <c r="J79" i="11" a="1"/>
  <c r="J79" i="11" s="1"/>
  <c r="I79" i="11" a="1"/>
  <c r="I79" i="11" s="1"/>
  <c r="H79" i="11" a="1"/>
  <c r="H79" i="11" s="1"/>
  <c r="G79" i="11" a="1"/>
  <c r="G79" i="11" s="1"/>
  <c r="F79" i="11" a="1"/>
  <c r="F79" i="11" s="1"/>
  <c r="E79" i="11" a="1"/>
  <c r="E79" i="11" s="1"/>
  <c r="O78" i="11" a="1"/>
  <c r="O78" i="11" s="1"/>
  <c r="N78" i="11" a="1"/>
  <c r="N78" i="11" s="1"/>
  <c r="M78" i="11" a="1"/>
  <c r="M78" i="11" s="1"/>
  <c r="L78" i="11" a="1"/>
  <c r="L78" i="11" s="1"/>
  <c r="K78" i="11" a="1"/>
  <c r="K78" i="11" s="1"/>
  <c r="J78" i="11" a="1"/>
  <c r="J78" i="11" s="1"/>
  <c r="I78" i="11" a="1"/>
  <c r="I78" i="11" s="1"/>
  <c r="H78" i="11" a="1"/>
  <c r="H78" i="11" s="1"/>
  <c r="G78" i="11" a="1"/>
  <c r="G78" i="11" s="1"/>
  <c r="F78" i="11" a="1"/>
  <c r="F78" i="11" s="1"/>
  <c r="E78" i="11" a="1"/>
  <c r="E78" i="11" s="1"/>
  <c r="O77" i="11" a="1"/>
  <c r="O77" i="11" s="1"/>
  <c r="N77" i="11" a="1"/>
  <c r="N77" i="11" s="1"/>
  <c r="M77" i="11" a="1"/>
  <c r="M77" i="11" s="1"/>
  <c r="L77" i="11" a="1"/>
  <c r="L77" i="11" s="1"/>
  <c r="K77" i="11" a="1"/>
  <c r="K77" i="11" s="1"/>
  <c r="J77" i="11" a="1"/>
  <c r="J77" i="11" s="1"/>
  <c r="I77" i="11" a="1"/>
  <c r="I77" i="11" s="1"/>
  <c r="H77" i="11" a="1"/>
  <c r="H77" i="11" s="1"/>
  <c r="G77" i="11" a="1"/>
  <c r="G77" i="11" s="1"/>
  <c r="F77" i="11" a="1"/>
  <c r="F77" i="11" s="1"/>
  <c r="E77" i="11" a="1"/>
  <c r="E77" i="11" s="1"/>
  <c r="O76" i="11" a="1"/>
  <c r="O76" i="11" s="1"/>
  <c r="N76" i="11" a="1"/>
  <c r="N76" i="11" s="1"/>
  <c r="M76" i="11" a="1"/>
  <c r="M76" i="11" s="1"/>
  <c r="L76" i="11" a="1"/>
  <c r="L76" i="11" s="1"/>
  <c r="K76" i="11" a="1"/>
  <c r="K76" i="11" s="1"/>
  <c r="J76" i="11" a="1"/>
  <c r="J76" i="11" s="1"/>
  <c r="I76" i="11" a="1"/>
  <c r="I76" i="11" s="1"/>
  <c r="H76" i="11" a="1"/>
  <c r="H76" i="11" s="1"/>
  <c r="G76" i="11" a="1"/>
  <c r="G76" i="11" s="1"/>
  <c r="E76" i="11" a="1"/>
  <c r="E76" i="11" s="1"/>
  <c r="O75" i="11" a="1"/>
  <c r="O75" i="11" s="1"/>
  <c r="N75" i="11" a="1"/>
  <c r="N75" i="11" s="1"/>
  <c r="M75" i="11" a="1"/>
  <c r="M75" i="11" s="1"/>
  <c r="L75" i="11" a="1"/>
  <c r="L75" i="11" s="1"/>
  <c r="K75" i="11" a="1"/>
  <c r="K75" i="11" s="1"/>
  <c r="J75" i="11" a="1"/>
  <c r="J75" i="11" s="1"/>
  <c r="I75" i="11" a="1"/>
  <c r="I75" i="11" s="1"/>
  <c r="H75" i="11" a="1"/>
  <c r="H75" i="11" s="1"/>
  <c r="G75" i="11" a="1"/>
  <c r="G75" i="11" s="1"/>
  <c r="F75" i="11" a="1"/>
  <c r="F75" i="11" s="1"/>
  <c r="O66" i="11" a="1"/>
  <c r="O66" i="11" s="1"/>
  <c r="N66" i="11" a="1"/>
  <c r="N66" i="11" s="1"/>
  <c r="M66" i="11" a="1"/>
  <c r="M66" i="11" s="1"/>
  <c r="L66" i="11" a="1"/>
  <c r="L66" i="11" s="1"/>
  <c r="K66" i="11" a="1"/>
  <c r="K66" i="11" s="1"/>
  <c r="J66" i="11" a="1"/>
  <c r="J66" i="11" s="1"/>
  <c r="I66" i="11" a="1"/>
  <c r="I66" i="11" s="1"/>
  <c r="H66" i="11" a="1"/>
  <c r="H66" i="11" s="1"/>
  <c r="G66" i="11" a="1"/>
  <c r="G66" i="11" s="1"/>
  <c r="F66" i="11" a="1"/>
  <c r="F66" i="11" s="1"/>
  <c r="E66" i="11" a="1"/>
  <c r="E66" i="11" s="1"/>
  <c r="D66" i="11" a="1"/>
  <c r="D66" i="11" s="1"/>
  <c r="O65" i="11" a="1"/>
  <c r="O65" i="11" s="1"/>
  <c r="N65" i="11" a="1"/>
  <c r="N65" i="11" s="1"/>
  <c r="M65" i="11" a="1"/>
  <c r="M65" i="11" s="1"/>
  <c r="L65" i="11" a="1"/>
  <c r="L65" i="11" s="1"/>
  <c r="K65" i="11" a="1"/>
  <c r="K65" i="11" s="1"/>
  <c r="J65" i="11" a="1"/>
  <c r="J65" i="11" s="1"/>
  <c r="I65" i="11" a="1"/>
  <c r="I65" i="11" s="1"/>
  <c r="H65" i="11" a="1"/>
  <c r="H65" i="11" s="1"/>
  <c r="G65" i="11" a="1"/>
  <c r="G65" i="11" s="1"/>
  <c r="F65" i="11" a="1"/>
  <c r="F65" i="11" s="1"/>
  <c r="E65" i="11" a="1"/>
  <c r="E65" i="11" s="1"/>
  <c r="D65" i="11" a="1"/>
  <c r="D65" i="11" s="1"/>
  <c r="O64" i="11" a="1"/>
  <c r="O64" i="11" s="1"/>
  <c r="N64" i="11" a="1"/>
  <c r="N64" i="11" s="1"/>
  <c r="M64" i="11" a="1"/>
  <c r="M64" i="11" s="1"/>
  <c r="L64" i="11" a="1"/>
  <c r="L64" i="11" s="1"/>
  <c r="K64" i="11" a="1"/>
  <c r="K64" i="11" s="1"/>
  <c r="J64" i="11" a="1"/>
  <c r="J64" i="11" s="1"/>
  <c r="I64" i="11" a="1"/>
  <c r="I64" i="11" s="1"/>
  <c r="H64" i="11" a="1"/>
  <c r="H64" i="11" s="1"/>
  <c r="G64" i="11" a="1"/>
  <c r="G64" i="11" s="1"/>
  <c r="F64" i="11" a="1"/>
  <c r="F64" i="11" s="1"/>
  <c r="E64" i="11" a="1"/>
  <c r="E64" i="11" s="1"/>
  <c r="D64" i="11" a="1"/>
  <c r="D64" i="11" s="1"/>
  <c r="O63" i="11" a="1"/>
  <c r="O63" i="11" s="1"/>
  <c r="N63" i="11" a="1"/>
  <c r="N63" i="11" s="1"/>
  <c r="M63" i="11" a="1"/>
  <c r="M63" i="11" s="1"/>
  <c r="L63" i="11" a="1"/>
  <c r="L63" i="11" s="1"/>
  <c r="K63" i="11" a="1"/>
  <c r="K63" i="11" s="1"/>
  <c r="J63" i="11" a="1"/>
  <c r="J63" i="11" s="1"/>
  <c r="I63" i="11" a="1"/>
  <c r="I63" i="11" s="1"/>
  <c r="H63" i="11" a="1"/>
  <c r="H63" i="11" s="1"/>
  <c r="G63" i="11" a="1"/>
  <c r="G63" i="11" s="1"/>
  <c r="F63" i="11" a="1"/>
  <c r="F63" i="11" s="1"/>
  <c r="E63" i="11" a="1"/>
  <c r="E63" i="11" s="1"/>
  <c r="D63" i="11" a="1"/>
  <c r="D63" i="11" s="1"/>
  <c r="O62" i="11" a="1"/>
  <c r="O62" i="11" s="1"/>
  <c r="N62" i="11" a="1"/>
  <c r="N62" i="11" s="1"/>
  <c r="M62" i="11" a="1"/>
  <c r="M62" i="11" s="1"/>
  <c r="L62" i="11" a="1"/>
  <c r="L62" i="11" s="1"/>
  <c r="K62" i="11" a="1"/>
  <c r="K62" i="11" s="1"/>
  <c r="J62" i="11" a="1"/>
  <c r="J62" i="11" s="1"/>
  <c r="I62" i="11" a="1"/>
  <c r="I62" i="11" s="1"/>
  <c r="H62" i="11" a="1"/>
  <c r="H62" i="11" s="1"/>
  <c r="G62" i="11" a="1"/>
  <c r="G62" i="11" s="1"/>
  <c r="F62" i="11" a="1"/>
  <c r="F62" i="11" s="1"/>
  <c r="E62" i="11" a="1"/>
  <c r="E62" i="11" s="1"/>
  <c r="D62" i="11" a="1"/>
  <c r="D62" i="11" s="1"/>
  <c r="O61" i="11" a="1"/>
  <c r="O61" i="11" s="1"/>
  <c r="N61" i="11" a="1"/>
  <c r="N61" i="11" s="1"/>
  <c r="M61" i="11" a="1"/>
  <c r="M61" i="11" s="1"/>
  <c r="L61" i="11" a="1"/>
  <c r="L61" i="11" s="1"/>
  <c r="K61" i="11" a="1"/>
  <c r="K61" i="11" s="1"/>
  <c r="J61" i="11" a="1"/>
  <c r="J61" i="11" s="1"/>
  <c r="I61" i="11" a="1"/>
  <c r="I61" i="11" s="1"/>
  <c r="H61" i="11" a="1"/>
  <c r="H61" i="11" s="1"/>
  <c r="G61" i="11" a="1"/>
  <c r="G61" i="11" s="1"/>
  <c r="F61" i="11" a="1"/>
  <c r="F61" i="11" s="1"/>
  <c r="E61" i="11" a="1"/>
  <c r="E61" i="11" s="1"/>
  <c r="D61" i="11" a="1"/>
  <c r="D61" i="11" s="1"/>
  <c r="O57" i="11" a="1"/>
  <c r="O57" i="11" s="1"/>
  <c r="N57" i="11" a="1"/>
  <c r="N57" i="11" s="1"/>
  <c r="M57" i="11" a="1"/>
  <c r="M57" i="11" s="1"/>
  <c r="L57" i="11" a="1"/>
  <c r="L57" i="11" s="1"/>
  <c r="K57" i="11" a="1"/>
  <c r="K57" i="11" s="1"/>
  <c r="J57" i="11" a="1"/>
  <c r="J57" i="11" s="1"/>
  <c r="I57" i="11" a="1"/>
  <c r="I57" i="11" s="1"/>
  <c r="H57" i="11" a="1"/>
  <c r="H57" i="11" s="1"/>
  <c r="G57" i="11" a="1"/>
  <c r="G57" i="11" s="1"/>
  <c r="F57" i="11" a="1"/>
  <c r="F57" i="11" s="1"/>
  <c r="E57" i="11" a="1"/>
  <c r="E57" i="11" s="1"/>
  <c r="D57" i="11" a="1"/>
  <c r="D57" i="11" s="1"/>
  <c r="O56" i="11" a="1"/>
  <c r="O56" i="11" s="1"/>
  <c r="N56" i="11" a="1"/>
  <c r="N56" i="11" s="1"/>
  <c r="M56" i="11" a="1"/>
  <c r="M56" i="11" s="1"/>
  <c r="L56" i="11" a="1"/>
  <c r="L56" i="11" s="1"/>
  <c r="K56" i="11" a="1"/>
  <c r="K56" i="11" s="1"/>
  <c r="J56" i="11" a="1"/>
  <c r="J56" i="11" s="1"/>
  <c r="I56" i="11" a="1"/>
  <c r="I56" i="11" s="1"/>
  <c r="H56" i="11" a="1"/>
  <c r="H56" i="11" s="1"/>
  <c r="G56" i="11" a="1"/>
  <c r="G56" i="11" s="1"/>
  <c r="F56" i="11" a="1"/>
  <c r="F56" i="11" s="1"/>
  <c r="E56" i="11" a="1"/>
  <c r="E56" i="11" s="1"/>
  <c r="D56" i="11" a="1"/>
  <c r="D56" i="11" s="1"/>
  <c r="O55" i="11" a="1"/>
  <c r="O55" i="11" s="1"/>
  <c r="N55" i="11" a="1"/>
  <c r="N55" i="11" s="1"/>
  <c r="M55" i="11" a="1"/>
  <c r="M55" i="11" s="1"/>
  <c r="L55" i="11" a="1"/>
  <c r="L55" i="11" s="1"/>
  <c r="K55" i="11" a="1"/>
  <c r="K55" i="11" s="1"/>
  <c r="J55" i="11" a="1"/>
  <c r="J55" i="11" s="1"/>
  <c r="I55" i="11" a="1"/>
  <c r="I55" i="11" s="1"/>
  <c r="H55" i="11" a="1"/>
  <c r="H55" i="11" s="1"/>
  <c r="G55" i="11" a="1"/>
  <c r="G55" i="11" s="1"/>
  <c r="F55" i="11" a="1"/>
  <c r="F55" i="11" s="1"/>
  <c r="E55" i="11" a="1"/>
  <c r="E55" i="11" s="1"/>
  <c r="D55" i="11" a="1"/>
  <c r="D55" i="11" s="1"/>
  <c r="O54" i="11" a="1"/>
  <c r="O54" i="11" s="1"/>
  <c r="N54" i="11" a="1"/>
  <c r="N54" i="11" s="1"/>
  <c r="M54" i="11" a="1"/>
  <c r="M54" i="11" s="1"/>
  <c r="L54" i="11" a="1"/>
  <c r="L54" i="11" s="1"/>
  <c r="K54" i="11" a="1"/>
  <c r="K54" i="11" s="1"/>
  <c r="J54" i="11" a="1"/>
  <c r="J54" i="11" s="1"/>
  <c r="I54" i="11" a="1"/>
  <c r="I54" i="11" s="1"/>
  <c r="H54" i="11" a="1"/>
  <c r="H54" i="11" s="1"/>
  <c r="G54" i="11" a="1"/>
  <c r="G54" i="11" s="1"/>
  <c r="F54" i="11" a="1"/>
  <c r="F54" i="11" s="1"/>
  <c r="E54" i="11" a="1"/>
  <c r="E54" i="11" s="1"/>
  <c r="D54" i="11" a="1"/>
  <c r="D54" i="11" s="1"/>
  <c r="O53" i="11" a="1"/>
  <c r="O53" i="11" s="1"/>
  <c r="N53" i="11" a="1"/>
  <c r="N53" i="11" s="1"/>
  <c r="M53" i="11" a="1"/>
  <c r="M53" i="11" s="1"/>
  <c r="L53" i="11" a="1"/>
  <c r="L53" i="11" s="1"/>
  <c r="K53" i="11" a="1"/>
  <c r="K53" i="11" s="1"/>
  <c r="J53" i="11" a="1"/>
  <c r="J53" i="11" s="1"/>
  <c r="I53" i="11" a="1"/>
  <c r="I53" i="11" s="1"/>
  <c r="H53" i="11" a="1"/>
  <c r="H53" i="11" s="1"/>
  <c r="G53" i="11" a="1"/>
  <c r="G53" i="11" s="1"/>
  <c r="F53" i="11" a="1"/>
  <c r="F53" i="11" s="1"/>
  <c r="E53" i="11" a="1"/>
  <c r="E53" i="11" s="1"/>
  <c r="O52" i="11" a="1"/>
  <c r="O52" i="11" s="1"/>
  <c r="N52" i="11" a="1"/>
  <c r="N52" i="11" s="1"/>
  <c r="M52" i="11" a="1"/>
  <c r="M52" i="11" s="1"/>
  <c r="L52" i="11" a="1"/>
  <c r="L52" i="11" s="1"/>
  <c r="K52" i="11" a="1"/>
  <c r="K52" i="11" s="1"/>
  <c r="J52" i="11" a="1"/>
  <c r="J52" i="11" s="1"/>
  <c r="I52" i="11" a="1"/>
  <c r="I52" i="11" s="1"/>
  <c r="H52" i="11" a="1"/>
  <c r="H52" i="11" s="1"/>
  <c r="G52" i="11" a="1"/>
  <c r="G52" i="11" s="1"/>
  <c r="F52" i="11" a="1"/>
  <c r="F52" i="11" s="1"/>
  <c r="E52" i="11" a="1"/>
  <c r="E52" i="11" s="1"/>
  <c r="D52" i="11" a="1"/>
  <c r="D52" i="11" s="1"/>
  <c r="O43" i="11" a="1"/>
  <c r="O43" i="11" s="1"/>
  <c r="N43" i="11" a="1"/>
  <c r="N43" i="11" s="1"/>
  <c r="M43" i="11" a="1"/>
  <c r="M43" i="11" s="1"/>
  <c r="L43" i="11" a="1"/>
  <c r="L43" i="11" s="1"/>
  <c r="K43" i="11" a="1"/>
  <c r="K43" i="11" s="1"/>
  <c r="J43" i="11" a="1"/>
  <c r="J43" i="11" s="1"/>
  <c r="I43" i="11" a="1"/>
  <c r="I43" i="11" s="1"/>
  <c r="H43" i="11" a="1"/>
  <c r="H43" i="11" s="1"/>
  <c r="G43" i="11" a="1"/>
  <c r="G43" i="11" s="1"/>
  <c r="F43" i="11" a="1"/>
  <c r="F43" i="11" s="1"/>
  <c r="E43" i="11" a="1"/>
  <c r="E43" i="11" s="1"/>
  <c r="D43" i="11" a="1"/>
  <c r="D43" i="11" s="1"/>
  <c r="O42" i="11" a="1"/>
  <c r="O42" i="11" s="1"/>
  <c r="N42" i="11" a="1"/>
  <c r="N42" i="11" s="1"/>
  <c r="M42" i="11" a="1"/>
  <c r="M42" i="11" s="1"/>
  <c r="L42" i="11" a="1"/>
  <c r="L42" i="11" s="1"/>
  <c r="K42" i="11" a="1"/>
  <c r="K42" i="11" s="1"/>
  <c r="J42" i="11" a="1"/>
  <c r="J42" i="11" s="1"/>
  <c r="I42" i="11" a="1"/>
  <c r="I42" i="11" s="1"/>
  <c r="H42" i="11" a="1"/>
  <c r="H42" i="11" s="1"/>
  <c r="G42" i="11" a="1"/>
  <c r="G42" i="11" s="1"/>
  <c r="F42" i="11" a="1"/>
  <c r="F42" i="11" s="1"/>
  <c r="E42" i="11" a="1"/>
  <c r="E42" i="11" s="1"/>
  <c r="D42" i="11" a="1"/>
  <c r="D42" i="11" s="1"/>
  <c r="O41" i="11" a="1"/>
  <c r="O41" i="11" s="1"/>
  <c r="N41" i="11" a="1"/>
  <c r="N41" i="11" s="1"/>
  <c r="M41" i="11" a="1"/>
  <c r="M41" i="11" s="1"/>
  <c r="L41" i="11" a="1"/>
  <c r="L41" i="11" s="1"/>
  <c r="K41" i="11" a="1"/>
  <c r="K41" i="11" s="1"/>
  <c r="J41" i="11" a="1"/>
  <c r="J41" i="11" s="1"/>
  <c r="I41" i="11" a="1"/>
  <c r="I41" i="11" s="1"/>
  <c r="H41" i="11" a="1"/>
  <c r="H41" i="11" s="1"/>
  <c r="G41" i="11" a="1"/>
  <c r="G41" i="11" s="1"/>
  <c r="F41" i="11" a="1"/>
  <c r="F41" i="11" s="1"/>
  <c r="E41" i="11" a="1"/>
  <c r="E41" i="11" s="1"/>
  <c r="D41" i="11" a="1"/>
  <c r="D41" i="11" s="1"/>
  <c r="O40" i="11" a="1"/>
  <c r="O40" i="11" s="1"/>
  <c r="N40" i="11" a="1"/>
  <c r="N40" i="11" s="1"/>
  <c r="M40" i="11" a="1"/>
  <c r="M40" i="11" s="1"/>
  <c r="L40" i="11" a="1"/>
  <c r="L40" i="11" s="1"/>
  <c r="K40" i="11" a="1"/>
  <c r="K40" i="11" s="1"/>
  <c r="J40" i="11" a="1"/>
  <c r="J40" i="11" s="1"/>
  <c r="I40" i="11" a="1"/>
  <c r="I40" i="11" s="1"/>
  <c r="H40" i="11" a="1"/>
  <c r="H40" i="11" s="1"/>
  <c r="G40" i="11" a="1"/>
  <c r="G40" i="11" s="1"/>
  <c r="F40" i="11" a="1"/>
  <c r="F40" i="11" s="1"/>
  <c r="E40" i="11" a="1"/>
  <c r="E40" i="11" s="1"/>
  <c r="D40" i="11" a="1"/>
  <c r="D40" i="11" s="1"/>
  <c r="O39" i="11" a="1"/>
  <c r="O39" i="11" s="1"/>
  <c r="N39" i="11" a="1"/>
  <c r="N39" i="11" s="1"/>
  <c r="M39" i="11" a="1"/>
  <c r="M39" i="11" s="1"/>
  <c r="L39" i="11" a="1"/>
  <c r="L39" i="11" s="1"/>
  <c r="K39" i="11" a="1"/>
  <c r="K39" i="11" s="1"/>
  <c r="J39" i="11" a="1"/>
  <c r="J39" i="11" s="1"/>
  <c r="I39" i="11" a="1"/>
  <c r="I39" i="11" s="1"/>
  <c r="H39" i="11" a="1"/>
  <c r="H39" i="11" s="1"/>
  <c r="G39" i="11" a="1"/>
  <c r="G39" i="11" s="1"/>
  <c r="F39" i="11" a="1"/>
  <c r="F39" i="11" s="1"/>
  <c r="E39" i="11" a="1"/>
  <c r="E39" i="11" s="1"/>
  <c r="D39" i="11" a="1"/>
  <c r="D39" i="11" s="1"/>
  <c r="O38" i="11" a="1"/>
  <c r="O38" i="11" s="1"/>
  <c r="N38" i="11" a="1"/>
  <c r="N38" i="11" s="1"/>
  <c r="M38" i="11" a="1"/>
  <c r="M38" i="11" s="1"/>
  <c r="L38" i="11" a="1"/>
  <c r="L38" i="11" s="1"/>
  <c r="K38" i="11" a="1"/>
  <c r="K38" i="11" s="1"/>
  <c r="J38" i="11" a="1"/>
  <c r="J38" i="11" s="1"/>
  <c r="I38" i="11" a="1"/>
  <c r="I38" i="11" s="1"/>
  <c r="H38" i="11" a="1"/>
  <c r="H38" i="11" s="1"/>
  <c r="G38" i="11" a="1"/>
  <c r="G38" i="11" s="1"/>
  <c r="F38" i="11" a="1"/>
  <c r="F38" i="11" s="1"/>
  <c r="E38" i="11" a="1"/>
  <c r="E38" i="11" s="1"/>
  <c r="D38" i="11" a="1"/>
  <c r="D38" i="11" s="1"/>
  <c r="O34" i="11" a="1"/>
  <c r="O34" i="11" s="1"/>
  <c r="N34" i="11" a="1"/>
  <c r="N34" i="11" s="1"/>
  <c r="M34" i="11" a="1"/>
  <c r="M34" i="11" s="1"/>
  <c r="L34" i="11" a="1"/>
  <c r="L34" i="11" s="1"/>
  <c r="K34" i="11" a="1"/>
  <c r="K34" i="11" s="1"/>
  <c r="J34" i="11" a="1"/>
  <c r="J34" i="11" s="1"/>
  <c r="I34" i="11" a="1"/>
  <c r="I34" i="11" s="1"/>
  <c r="H34" i="11" a="1"/>
  <c r="H34" i="11" s="1"/>
  <c r="G34" i="11" a="1"/>
  <c r="G34" i="11" s="1"/>
  <c r="F34" i="11" a="1"/>
  <c r="F34" i="11" s="1"/>
  <c r="E34" i="11" a="1"/>
  <c r="E34" i="11" s="1"/>
  <c r="D34" i="11" a="1"/>
  <c r="D34" i="11" s="1"/>
  <c r="O33" i="11" a="1"/>
  <c r="O33" i="11" s="1"/>
  <c r="N33" i="11" a="1"/>
  <c r="N33" i="11" s="1"/>
  <c r="M33" i="11" a="1"/>
  <c r="M33" i="11" s="1"/>
  <c r="L33" i="11" a="1"/>
  <c r="L33" i="11" s="1"/>
  <c r="K33" i="11" a="1"/>
  <c r="K33" i="11" s="1"/>
  <c r="J33" i="11" a="1"/>
  <c r="J33" i="11" s="1"/>
  <c r="I33" i="11" a="1"/>
  <c r="I33" i="11" s="1"/>
  <c r="H33" i="11" a="1"/>
  <c r="H33" i="11" s="1"/>
  <c r="G33" i="11" a="1"/>
  <c r="G33" i="11" s="1"/>
  <c r="F33" i="11" a="1"/>
  <c r="F33" i="11" s="1"/>
  <c r="E33" i="11" a="1"/>
  <c r="E33" i="11" s="1"/>
  <c r="D33" i="11" a="1"/>
  <c r="D33" i="11" s="1"/>
  <c r="O32" i="11" a="1"/>
  <c r="O32" i="11" s="1"/>
  <c r="N32" i="11" a="1"/>
  <c r="N32" i="11" s="1"/>
  <c r="M32" i="11" a="1"/>
  <c r="M32" i="11" s="1"/>
  <c r="L32" i="11" a="1"/>
  <c r="L32" i="11" s="1"/>
  <c r="K32" i="11" a="1"/>
  <c r="K32" i="11" s="1"/>
  <c r="J32" i="11" a="1"/>
  <c r="J32" i="11" s="1"/>
  <c r="I32" i="11" a="1"/>
  <c r="I32" i="11" s="1"/>
  <c r="H32" i="11" a="1"/>
  <c r="H32" i="11" s="1"/>
  <c r="G32" i="11" a="1"/>
  <c r="G32" i="11" s="1"/>
  <c r="F32" i="11" a="1"/>
  <c r="F32" i="11" s="1"/>
  <c r="E32" i="11" a="1"/>
  <c r="E32" i="11" s="1"/>
  <c r="D32" i="11" a="1"/>
  <c r="D32" i="11" s="1"/>
  <c r="O31" i="11" a="1"/>
  <c r="O31" i="11" s="1"/>
  <c r="N31" i="11" a="1"/>
  <c r="N31" i="11" s="1"/>
  <c r="M31" i="11" a="1"/>
  <c r="M31" i="11" s="1"/>
  <c r="L31" i="11" a="1"/>
  <c r="L31" i="11" s="1"/>
  <c r="K31" i="11" a="1"/>
  <c r="K31" i="11" s="1"/>
  <c r="J31" i="11" a="1"/>
  <c r="J31" i="11" s="1"/>
  <c r="I31" i="11" a="1"/>
  <c r="I31" i="11" s="1"/>
  <c r="H31" i="11" a="1"/>
  <c r="H31" i="11" s="1"/>
  <c r="G31" i="11" a="1"/>
  <c r="G31" i="11" s="1"/>
  <c r="F31" i="11" a="1"/>
  <c r="F31" i="11" s="1"/>
  <c r="E31" i="11" a="1"/>
  <c r="E31" i="11" s="1"/>
  <c r="D31" i="11" a="1"/>
  <c r="D31" i="11" s="1"/>
  <c r="O30" i="11" a="1"/>
  <c r="O30" i="11" s="1"/>
  <c r="N30" i="11" a="1"/>
  <c r="N30" i="11" s="1"/>
  <c r="M30" i="11" a="1"/>
  <c r="M30" i="11" s="1"/>
  <c r="L30" i="11" a="1"/>
  <c r="L30" i="11" s="1"/>
  <c r="K30" i="11" a="1"/>
  <c r="K30" i="11" s="1"/>
  <c r="J30" i="11" a="1"/>
  <c r="J30" i="11" s="1"/>
  <c r="I30" i="11" a="1"/>
  <c r="I30" i="11" s="1"/>
  <c r="H30" i="11" a="1"/>
  <c r="H30" i="11" s="1"/>
  <c r="G30" i="11" a="1"/>
  <c r="G30" i="11" s="1"/>
  <c r="F30" i="11" a="1"/>
  <c r="F30" i="11" s="1"/>
  <c r="E30" i="11" a="1"/>
  <c r="E30" i="11" s="1"/>
  <c r="D30" i="11" a="1"/>
  <c r="D30" i="11" s="1"/>
  <c r="O29" i="11" a="1"/>
  <c r="O29" i="11" s="1"/>
  <c r="N29" i="11" a="1"/>
  <c r="N29" i="11" s="1"/>
  <c r="M29" i="11" a="1"/>
  <c r="M29" i="11" s="1"/>
  <c r="L29" i="11" a="1"/>
  <c r="L29" i="11" s="1"/>
  <c r="K29" i="11" a="1"/>
  <c r="K29" i="11" s="1"/>
  <c r="J29" i="11" a="1"/>
  <c r="J29" i="11" s="1"/>
  <c r="I29" i="11" a="1"/>
  <c r="I29" i="11" s="1"/>
  <c r="H29" i="11" a="1"/>
  <c r="H29" i="11" s="1"/>
  <c r="G29" i="11" a="1"/>
  <c r="G29" i="11" s="1"/>
  <c r="F29" i="11" a="1"/>
  <c r="F29" i="11" s="1"/>
  <c r="E29" i="11" a="1"/>
  <c r="E29" i="11" s="1"/>
  <c r="D29" i="11" a="1"/>
  <c r="D29" i="11" s="1"/>
  <c r="O21" i="11" a="1"/>
  <c r="O21" i="11" s="1"/>
  <c r="N21" i="11" a="1"/>
  <c r="N21" i="11" s="1"/>
  <c r="M21" i="11" a="1"/>
  <c r="M21" i="11" s="1"/>
  <c r="L21" i="11" a="1"/>
  <c r="L21" i="11" s="1"/>
  <c r="K21" i="11" a="1"/>
  <c r="K21" i="11" s="1"/>
  <c r="J21" i="11" a="1"/>
  <c r="J21" i="11" s="1"/>
  <c r="I21" i="11" a="1"/>
  <c r="I21" i="11" s="1"/>
  <c r="H21" i="11" a="1"/>
  <c r="H21" i="11" s="1"/>
  <c r="G21" i="11" a="1"/>
  <c r="G21" i="11" s="1"/>
  <c r="F21" i="11" a="1"/>
  <c r="F21" i="11" s="1"/>
  <c r="E21" i="11" a="1"/>
  <c r="E21" i="11" s="1"/>
  <c r="D21" i="11" a="1"/>
  <c r="D21" i="11" s="1"/>
  <c r="O20" i="11" a="1"/>
  <c r="O20" i="11" s="1"/>
  <c r="N20" i="11" a="1"/>
  <c r="N20" i="11" s="1"/>
  <c r="M20" i="11" a="1"/>
  <c r="M20" i="11" s="1"/>
  <c r="L20" i="11" a="1"/>
  <c r="L20" i="11" s="1"/>
  <c r="K20" i="11" a="1"/>
  <c r="K20" i="11" s="1"/>
  <c r="J20" i="11" a="1"/>
  <c r="J20" i="11" s="1"/>
  <c r="I20" i="11" a="1"/>
  <c r="I20" i="11" s="1"/>
  <c r="H20" i="11" a="1"/>
  <c r="H20" i="11" s="1"/>
  <c r="G20" i="11" a="1"/>
  <c r="G20" i="11" s="1"/>
  <c r="F20" i="11" a="1"/>
  <c r="F20" i="11" s="1"/>
  <c r="E20" i="11" a="1"/>
  <c r="E20" i="11" s="1"/>
  <c r="D20" i="11" a="1"/>
  <c r="D20" i="11" s="1"/>
  <c r="O19" i="11" a="1"/>
  <c r="O19" i="11" s="1"/>
  <c r="N19" i="11" a="1"/>
  <c r="N19" i="11" s="1"/>
  <c r="M19" i="11" a="1"/>
  <c r="M19" i="11" s="1"/>
  <c r="L19" i="11" a="1"/>
  <c r="L19" i="11" s="1"/>
  <c r="K19" i="11" a="1"/>
  <c r="K19" i="11" s="1"/>
  <c r="J19" i="11" a="1"/>
  <c r="J19" i="11" s="1"/>
  <c r="I19" i="11" a="1"/>
  <c r="I19" i="11" s="1"/>
  <c r="H19" i="11" a="1"/>
  <c r="H19" i="11" s="1"/>
  <c r="G19" i="11" a="1"/>
  <c r="G19" i="11" s="1"/>
  <c r="F19" i="11" a="1"/>
  <c r="F19" i="11" s="1"/>
  <c r="E19" i="11" a="1"/>
  <c r="E19" i="11" s="1"/>
  <c r="D19" i="11" a="1"/>
  <c r="D19" i="11" s="1"/>
  <c r="O18" i="11" a="1"/>
  <c r="O18" i="11" s="1"/>
  <c r="N18" i="11" a="1"/>
  <c r="N18" i="11" s="1"/>
  <c r="M18" i="11" a="1"/>
  <c r="M18" i="11" s="1"/>
  <c r="L18" i="11" a="1"/>
  <c r="L18" i="11" s="1"/>
  <c r="K18" i="11" a="1"/>
  <c r="K18" i="11" s="1"/>
  <c r="J18" i="11" a="1"/>
  <c r="J18" i="11" s="1"/>
  <c r="I18" i="11" a="1"/>
  <c r="I18" i="11" s="1"/>
  <c r="H18" i="11" a="1"/>
  <c r="H18" i="11" s="1"/>
  <c r="G18" i="11" a="1"/>
  <c r="G18" i="11" s="1"/>
  <c r="F18" i="11" a="1"/>
  <c r="F18" i="11" s="1"/>
  <c r="E18" i="11" a="1"/>
  <c r="E18" i="11" s="1"/>
  <c r="D18" i="11" a="1"/>
  <c r="D18" i="11" s="1"/>
  <c r="O17" i="11" a="1"/>
  <c r="O17" i="11" s="1"/>
  <c r="N17" i="11" a="1"/>
  <c r="N17" i="11" s="1"/>
  <c r="M17" i="11" a="1"/>
  <c r="M17" i="11" s="1"/>
  <c r="L17" i="11" a="1"/>
  <c r="L17" i="11" s="1"/>
  <c r="K17" i="11" a="1"/>
  <c r="K17" i="11" s="1"/>
  <c r="J17" i="11" a="1"/>
  <c r="J17" i="11" s="1"/>
  <c r="I17" i="11" a="1"/>
  <c r="I17" i="11" s="1"/>
  <c r="H17" i="11" a="1"/>
  <c r="H17" i="11" s="1"/>
  <c r="G17" i="11" a="1"/>
  <c r="G17" i="11" s="1"/>
  <c r="F17" i="11" a="1"/>
  <c r="F17" i="11" s="1"/>
  <c r="E17" i="11" a="1"/>
  <c r="E17" i="11" s="1"/>
  <c r="D17" i="11" a="1"/>
  <c r="D17" i="11" s="1"/>
  <c r="O16" i="11" a="1"/>
  <c r="O16" i="11" s="1"/>
  <c r="N16" i="11" a="1"/>
  <c r="N16" i="11" s="1"/>
  <c r="M16" i="11" a="1"/>
  <c r="M16" i="11" s="1"/>
  <c r="L16" i="11" a="1"/>
  <c r="L16" i="11" s="1"/>
  <c r="K16" i="11" a="1"/>
  <c r="K16" i="11" s="1"/>
  <c r="J16" i="11" a="1"/>
  <c r="J16" i="11" s="1"/>
  <c r="I16" i="11" a="1"/>
  <c r="I16" i="11" s="1"/>
  <c r="H16" i="11" a="1"/>
  <c r="H16" i="11" s="1"/>
  <c r="G16" i="11" a="1"/>
  <c r="G16" i="11" s="1"/>
  <c r="F16" i="11" a="1"/>
  <c r="F16" i="11" s="1"/>
  <c r="E16" i="11" a="1"/>
  <c r="E16" i="11" s="1"/>
  <c r="D16" i="11" a="1"/>
  <c r="D16" i="11" s="1"/>
  <c r="O12" i="11" a="1"/>
  <c r="O12" i="11" s="1"/>
  <c r="N12" i="11" a="1"/>
  <c r="N12" i="11" s="1"/>
  <c r="M12" i="11" a="1"/>
  <c r="M12" i="11" s="1"/>
  <c r="L12" i="11" a="1"/>
  <c r="L12" i="11" s="1"/>
  <c r="K12" i="11" a="1"/>
  <c r="K12" i="11" s="1"/>
  <c r="J12" i="11" a="1"/>
  <c r="J12" i="11" s="1"/>
  <c r="I12" i="11" a="1"/>
  <c r="I12" i="11" s="1"/>
  <c r="H12" i="11" a="1"/>
  <c r="H12" i="11" s="1"/>
  <c r="G12" i="11" a="1"/>
  <c r="G12" i="11" s="1"/>
  <c r="F12" i="11" a="1"/>
  <c r="F12" i="11" s="1"/>
  <c r="E12" i="11" a="1"/>
  <c r="E12" i="11" s="1"/>
  <c r="D12" i="11" a="1"/>
  <c r="D12" i="11" s="1"/>
  <c r="O11" i="11" a="1"/>
  <c r="O11" i="11" s="1"/>
  <c r="N11" i="11" a="1"/>
  <c r="N11" i="11" s="1"/>
  <c r="M11" i="11" a="1"/>
  <c r="M11" i="11" s="1"/>
  <c r="L11" i="11" a="1"/>
  <c r="L11" i="11" s="1"/>
  <c r="K11" i="11" a="1"/>
  <c r="K11" i="11" s="1"/>
  <c r="J11" i="11" a="1"/>
  <c r="J11" i="11" s="1"/>
  <c r="I11" i="11" a="1"/>
  <c r="I11" i="11" s="1"/>
  <c r="H11" i="11" a="1"/>
  <c r="H11" i="11" s="1"/>
  <c r="G11" i="11" a="1"/>
  <c r="G11" i="11" s="1"/>
  <c r="F11" i="11" a="1"/>
  <c r="F11" i="11" s="1"/>
  <c r="E11" i="11" a="1"/>
  <c r="E11" i="11" s="1"/>
  <c r="D11" i="11" a="1"/>
  <c r="D11" i="11" s="1"/>
  <c r="O10" i="11" a="1"/>
  <c r="O10" i="11" s="1"/>
  <c r="N10" i="11" a="1"/>
  <c r="N10" i="11" s="1"/>
  <c r="M10" i="11" a="1"/>
  <c r="M10" i="11" s="1"/>
  <c r="L10" i="11" a="1"/>
  <c r="L10" i="11" s="1"/>
  <c r="K10" i="11" a="1"/>
  <c r="K10" i="11" s="1"/>
  <c r="J10" i="11" a="1"/>
  <c r="J10" i="11" s="1"/>
  <c r="I10" i="11" a="1"/>
  <c r="I10" i="11" s="1"/>
  <c r="H10" i="11" a="1"/>
  <c r="H10" i="11" s="1"/>
  <c r="G10" i="11" a="1"/>
  <c r="G10" i="11" s="1"/>
  <c r="F10" i="11" a="1"/>
  <c r="F10" i="11" s="1"/>
  <c r="E10" i="11" a="1"/>
  <c r="E10" i="11" s="1"/>
  <c r="D10" i="11" a="1"/>
  <c r="D10" i="11" s="1"/>
  <c r="O9" i="11" a="1"/>
  <c r="O9" i="11" s="1"/>
  <c r="N9" i="11" a="1"/>
  <c r="N9" i="11" s="1"/>
  <c r="M9" i="11" a="1"/>
  <c r="M9" i="11" s="1"/>
  <c r="L9" i="11" a="1"/>
  <c r="L9" i="11" s="1"/>
  <c r="K9" i="11" a="1"/>
  <c r="K9" i="11" s="1"/>
  <c r="J9" i="11" a="1"/>
  <c r="J9" i="11" s="1"/>
  <c r="I9" i="11" a="1"/>
  <c r="I9" i="11" s="1"/>
  <c r="H9" i="11" a="1"/>
  <c r="H9" i="11" s="1"/>
  <c r="G9" i="11" a="1"/>
  <c r="G9" i="11" s="1"/>
  <c r="F9" i="11" a="1"/>
  <c r="F9" i="11" s="1"/>
  <c r="E9" i="11" a="1"/>
  <c r="E9" i="11" s="1"/>
  <c r="D9" i="11" a="1"/>
  <c r="D9" i="11" s="1"/>
  <c r="O8" i="11" a="1"/>
  <c r="O8" i="11" s="1"/>
  <c r="N8" i="11" a="1"/>
  <c r="N8" i="11" s="1"/>
  <c r="M8" i="11" a="1"/>
  <c r="M8" i="11" s="1"/>
  <c r="L8" i="11" a="1"/>
  <c r="L8" i="11" s="1"/>
  <c r="K8" i="11" a="1"/>
  <c r="K8" i="11" s="1"/>
  <c r="J8" i="11" a="1"/>
  <c r="J8" i="11" s="1"/>
  <c r="I8" i="11" a="1"/>
  <c r="I8" i="11" s="1"/>
  <c r="H8" i="11" a="1"/>
  <c r="H8" i="11" s="1"/>
  <c r="G8" i="11" a="1"/>
  <c r="G8" i="11" s="1"/>
  <c r="F8" i="11" a="1"/>
  <c r="F8" i="11" s="1"/>
  <c r="E8" i="11" a="1"/>
  <c r="E8" i="11" s="1"/>
  <c r="D8" i="11" a="1"/>
  <c r="D8" i="11" s="1"/>
  <c r="O7" i="11" a="1"/>
  <c r="O7" i="11" s="1"/>
  <c r="N7" i="11" a="1"/>
  <c r="N7" i="11" s="1"/>
  <c r="M7" i="11" a="1"/>
  <c r="M7" i="11" s="1"/>
  <c r="L7" i="11" a="1"/>
  <c r="L7" i="11" s="1"/>
  <c r="K7" i="11" a="1"/>
  <c r="K7" i="11" s="1"/>
  <c r="J7" i="11" a="1"/>
  <c r="J7" i="11" s="1"/>
  <c r="I7" i="11" a="1"/>
  <c r="I7" i="11" s="1"/>
  <c r="H7" i="11" a="1"/>
  <c r="H7" i="11" s="1"/>
  <c r="G7" i="11" a="1"/>
  <c r="G7" i="11" s="1"/>
  <c r="F7" i="11" a="1"/>
  <c r="F7" i="11" s="1"/>
  <c r="E7" i="11" a="1"/>
  <c r="E7" i="11" s="1"/>
  <c r="D7" i="11" a="1"/>
  <c r="D7" i="11" s="1"/>
  <c r="D100" i="11" a="1"/>
  <c r="D100" i="11" s="1"/>
  <c r="D108" i="11" a="1"/>
  <c r="D108" i="11" s="1"/>
  <c r="D107" i="11" a="1"/>
  <c r="D107" i="11" s="1"/>
  <c r="D106" i="11" a="1"/>
  <c r="D106" i="11" s="1"/>
  <c r="P114" i="11"/>
  <c r="O111" i="11" a="1"/>
  <c r="O111" i="11" s="1"/>
  <c r="N111" i="11" a="1"/>
  <c r="N111" i="11" s="1"/>
  <c r="M111" i="11" a="1"/>
  <c r="M111" i="11" s="1"/>
  <c r="L111" i="11" a="1"/>
  <c r="L111" i="11" s="1"/>
  <c r="K111" i="11" a="1"/>
  <c r="K111" i="11" s="1"/>
  <c r="J111" i="11" a="1"/>
  <c r="J111" i="11" s="1"/>
  <c r="I111" i="11" a="1"/>
  <c r="I111" i="11" s="1"/>
  <c r="H111" i="11" a="1"/>
  <c r="H111" i="11" s="1"/>
  <c r="G111" i="11" a="1"/>
  <c r="G111" i="11" s="1"/>
  <c r="F111" i="11" a="1"/>
  <c r="F111" i="11" s="1"/>
  <c r="E111" i="11" a="1"/>
  <c r="E111" i="11" s="1"/>
  <c r="D111" i="11" a="1"/>
  <c r="D111" i="11" s="1"/>
  <c r="O110" i="11" a="1"/>
  <c r="O110" i="11" s="1"/>
  <c r="N110" i="11" a="1"/>
  <c r="N110" i="11" s="1"/>
  <c r="M110" i="11" a="1"/>
  <c r="M110" i="11" s="1"/>
  <c r="L110" i="11" a="1"/>
  <c r="L110" i="11" s="1"/>
  <c r="K110" i="11" a="1"/>
  <c r="K110" i="11" s="1"/>
  <c r="J110" i="11" a="1"/>
  <c r="J110" i="11" s="1"/>
  <c r="I110" i="11" a="1"/>
  <c r="I110" i="11" s="1"/>
  <c r="H110" i="11" a="1"/>
  <c r="H110" i="11" s="1"/>
  <c r="G110" i="11" a="1"/>
  <c r="G110" i="11" s="1"/>
  <c r="F110" i="11" a="1"/>
  <c r="F110" i="11" s="1"/>
  <c r="E110" i="11" a="1"/>
  <c r="E110" i="11" s="1"/>
  <c r="D110" i="11" a="1"/>
  <c r="D110" i="11" s="1"/>
  <c r="O109" i="11" a="1"/>
  <c r="O109" i="11" s="1"/>
  <c r="N109" i="11" a="1"/>
  <c r="N109" i="11" s="1"/>
  <c r="M109" i="11" a="1"/>
  <c r="M109" i="11" s="1"/>
  <c r="L109" i="11" a="1"/>
  <c r="L109" i="11" s="1"/>
  <c r="K109" i="11" a="1"/>
  <c r="K109" i="11" s="1"/>
  <c r="J109" i="11" a="1"/>
  <c r="J109" i="11" s="1"/>
  <c r="I109" i="11" a="1"/>
  <c r="I109" i="11" s="1"/>
  <c r="H109" i="11" a="1"/>
  <c r="H109" i="11" s="1"/>
  <c r="G109" i="11" a="1"/>
  <c r="G109" i="11" s="1"/>
  <c r="F109" i="11" a="1"/>
  <c r="F109" i="11" s="1"/>
  <c r="E109" i="11" a="1"/>
  <c r="E109" i="11" s="1"/>
  <c r="D109" i="11" a="1"/>
  <c r="D109" i="11" s="1"/>
  <c r="O108" i="11" a="1"/>
  <c r="O108" i="11" s="1"/>
  <c r="N108" i="11" a="1"/>
  <c r="N108" i="11" s="1"/>
  <c r="M108" i="11" a="1"/>
  <c r="M108" i="11" s="1"/>
  <c r="L108" i="11" a="1"/>
  <c r="L108" i="11" s="1"/>
  <c r="K108" i="11" a="1"/>
  <c r="K108" i="11" s="1"/>
  <c r="J108" i="11" a="1"/>
  <c r="J108" i="11" s="1"/>
  <c r="I108" i="11" a="1"/>
  <c r="I108" i="11" s="1"/>
  <c r="H108" i="11" a="1"/>
  <c r="H108" i="11" s="1"/>
  <c r="G108" i="11" a="1"/>
  <c r="G108" i="11" s="1"/>
  <c r="F108" i="11" a="1"/>
  <c r="F108" i="11" s="1"/>
  <c r="E108" i="11" a="1"/>
  <c r="E108" i="11" s="1"/>
  <c r="O107" i="11" a="1"/>
  <c r="O107" i="11" s="1"/>
  <c r="N107" i="11" a="1"/>
  <c r="N107" i="11" s="1"/>
  <c r="M107" i="11" a="1"/>
  <c r="M107" i="11" s="1"/>
  <c r="L107" i="11" a="1"/>
  <c r="L107" i="11" s="1"/>
  <c r="K107" i="11" a="1"/>
  <c r="K107" i="11" s="1"/>
  <c r="J107" i="11" a="1"/>
  <c r="J107" i="11" s="1"/>
  <c r="I107" i="11" a="1"/>
  <c r="I107" i="11" s="1"/>
  <c r="H107" i="11" a="1"/>
  <c r="H107" i="11" s="1"/>
  <c r="G107" i="11" a="1"/>
  <c r="G107" i="11" s="1"/>
  <c r="F107" i="11" a="1"/>
  <c r="F107" i="11" s="1"/>
  <c r="E107" i="11" a="1"/>
  <c r="E107" i="11" s="1"/>
  <c r="O106" i="11" a="1"/>
  <c r="O106" i="11" s="1"/>
  <c r="N106" i="11" a="1"/>
  <c r="N106" i="11" s="1"/>
  <c r="M106" i="11" a="1"/>
  <c r="M106" i="11" s="1"/>
  <c r="L106" i="11" a="1"/>
  <c r="L106" i="11" s="1"/>
  <c r="K106" i="11" a="1"/>
  <c r="K106" i="11" s="1"/>
  <c r="J106" i="11" a="1"/>
  <c r="J106" i="11" s="1"/>
  <c r="I106" i="11" a="1"/>
  <c r="I106" i="11" s="1"/>
  <c r="H106" i="11" a="1"/>
  <c r="H106" i="11" s="1"/>
  <c r="G106" i="11" a="1"/>
  <c r="G106" i="11" s="1"/>
  <c r="F106" i="11" a="1"/>
  <c r="F106" i="11" s="1"/>
  <c r="E106" i="11" a="1"/>
  <c r="E106" i="11" s="1"/>
  <c r="O102" i="11" a="1"/>
  <c r="O102" i="11" s="1"/>
  <c r="N102" i="11" a="1"/>
  <c r="N102" i="11" s="1"/>
  <c r="M102" i="11" a="1"/>
  <c r="M102" i="11" s="1"/>
  <c r="L102" i="11" a="1"/>
  <c r="L102" i="11" s="1"/>
  <c r="K102" i="11" a="1"/>
  <c r="K102" i="11" s="1"/>
  <c r="J102" i="11" a="1"/>
  <c r="J102" i="11" s="1"/>
  <c r="I102" i="11" a="1"/>
  <c r="I102" i="11" s="1"/>
  <c r="H102" i="11" a="1"/>
  <c r="H102" i="11" s="1"/>
  <c r="G102" i="11" a="1"/>
  <c r="G102" i="11" s="1"/>
  <c r="F102" i="11" a="1"/>
  <c r="F102" i="11" s="1"/>
  <c r="E102" i="11" a="1"/>
  <c r="E102" i="11" s="1"/>
  <c r="D102" i="11" a="1"/>
  <c r="D102" i="11" s="1"/>
  <c r="O101" i="11" a="1"/>
  <c r="O101" i="11" s="1"/>
  <c r="N101" i="11" a="1"/>
  <c r="N101" i="11" s="1"/>
  <c r="M101" i="11" a="1"/>
  <c r="M101" i="11" s="1"/>
  <c r="L101" i="11" a="1"/>
  <c r="L101" i="11" s="1"/>
  <c r="K101" i="11" a="1"/>
  <c r="K101" i="11" s="1"/>
  <c r="J101" i="11" a="1"/>
  <c r="J101" i="11" s="1"/>
  <c r="I101" i="11" a="1"/>
  <c r="I101" i="11" s="1"/>
  <c r="H101" i="11" a="1"/>
  <c r="H101" i="11" s="1"/>
  <c r="G101" i="11" a="1"/>
  <c r="G101" i="11" s="1"/>
  <c r="F101" i="11" a="1"/>
  <c r="F101" i="11" s="1"/>
  <c r="E101" i="11" a="1"/>
  <c r="E101" i="11" s="1"/>
  <c r="D101" i="11" a="1"/>
  <c r="D101" i="11" s="1"/>
  <c r="O100" i="11" a="1"/>
  <c r="O100" i="11" s="1"/>
  <c r="N100" i="11" a="1"/>
  <c r="N100" i="11" s="1"/>
  <c r="M100" i="11" a="1"/>
  <c r="M100" i="11" s="1"/>
  <c r="L100" i="11" a="1"/>
  <c r="L100" i="11" s="1"/>
  <c r="K100" i="11" a="1"/>
  <c r="K100" i="11" s="1"/>
  <c r="J100" i="11" a="1"/>
  <c r="J100" i="11" s="1"/>
  <c r="I100" i="11" a="1"/>
  <c r="I100" i="11" s="1"/>
  <c r="H100" i="11" a="1"/>
  <c r="H100" i="11" s="1"/>
  <c r="G100" i="11" a="1"/>
  <c r="G100" i="11" s="1"/>
  <c r="F100" i="11" a="1"/>
  <c r="F100" i="11" s="1"/>
  <c r="E100" i="11" a="1"/>
  <c r="E100" i="11" s="1"/>
  <c r="O99" i="11" a="1"/>
  <c r="O99" i="11" s="1"/>
  <c r="N99" i="11" a="1"/>
  <c r="N99" i="11" s="1"/>
  <c r="M99" i="11" a="1"/>
  <c r="M99" i="11" s="1"/>
  <c r="L99" i="11" a="1"/>
  <c r="L99" i="11" s="1"/>
  <c r="K99" i="11" a="1"/>
  <c r="K99" i="11" s="1"/>
  <c r="J99" i="11" a="1"/>
  <c r="J99" i="11" s="1"/>
  <c r="I99" i="11" a="1"/>
  <c r="I99" i="11" s="1"/>
  <c r="H99" i="11" a="1"/>
  <c r="H99" i="11" s="1"/>
  <c r="G99" i="11" a="1"/>
  <c r="G99" i="11" s="1"/>
  <c r="F99" i="11" a="1"/>
  <c r="F99" i="11" s="1"/>
  <c r="E99" i="11" a="1"/>
  <c r="E99" i="11" s="1"/>
  <c r="D99" i="11" a="1"/>
  <c r="D99" i="11" s="1"/>
  <c r="O98" i="11" a="1"/>
  <c r="O98" i="11" s="1"/>
  <c r="N98" i="11" a="1"/>
  <c r="N98" i="11" s="1"/>
  <c r="M98" i="11" a="1"/>
  <c r="M98" i="11" s="1"/>
  <c r="L98" i="11" a="1"/>
  <c r="L98" i="11" s="1"/>
  <c r="K98" i="11" a="1"/>
  <c r="K98" i="11" s="1"/>
  <c r="J98" i="11" a="1"/>
  <c r="J98" i="11" s="1"/>
  <c r="I98" i="11" a="1"/>
  <c r="I98" i="11" s="1"/>
  <c r="H98" i="11" a="1"/>
  <c r="H98" i="11" s="1"/>
  <c r="G98" i="11" a="1"/>
  <c r="G98" i="11" s="1"/>
  <c r="F98" i="11" a="1"/>
  <c r="F98" i="11" s="1"/>
  <c r="E98" i="11" a="1"/>
  <c r="E98" i="11" s="1"/>
  <c r="D98" i="11" a="1"/>
  <c r="D98" i="11" s="1"/>
  <c r="O97" i="11" a="1"/>
  <c r="O97" i="11" s="1"/>
  <c r="N97" i="11" a="1"/>
  <c r="N97" i="11" s="1"/>
  <c r="M97" i="11" a="1"/>
  <c r="M97" i="11" s="1"/>
  <c r="L97" i="11" a="1"/>
  <c r="L97" i="11" s="1"/>
  <c r="K97" i="11" a="1"/>
  <c r="K97" i="11" s="1"/>
  <c r="J97" i="11" a="1"/>
  <c r="J97" i="11" s="1"/>
  <c r="I97" i="11" a="1"/>
  <c r="I97" i="11" s="1"/>
  <c r="H97" i="11" a="1"/>
  <c r="H97" i="11" s="1"/>
  <c r="G97" i="11" a="1"/>
  <c r="G97" i="11" s="1"/>
  <c r="F97" i="11" a="1"/>
  <c r="F97" i="11" s="1"/>
  <c r="E97" i="11" a="1"/>
  <c r="E97" i="11" s="1"/>
  <c r="P92" i="11"/>
  <c r="P69" i="11"/>
  <c r="P46" i="11"/>
  <c r="P24" i="11"/>
  <c r="A4" i="11"/>
  <c r="A3" i="11"/>
  <c r="A1" i="11"/>
  <c r="K90" i="12" l="1"/>
  <c r="F67" i="12"/>
  <c r="N67" i="12"/>
  <c r="K13" i="12"/>
  <c r="L58" i="12"/>
  <c r="L81" i="12"/>
  <c r="H81" i="12"/>
  <c r="J81" i="12"/>
  <c r="J90" i="12"/>
  <c r="L35" i="12"/>
  <c r="P33" i="12"/>
  <c r="P42" i="12"/>
  <c r="M35" i="12"/>
  <c r="E44" i="12"/>
  <c r="M44" i="12"/>
  <c r="E58" i="12"/>
  <c r="M58" i="12"/>
  <c r="M67" i="12"/>
  <c r="E81" i="12"/>
  <c r="F35" i="12"/>
  <c r="F44" i="12"/>
  <c r="F58" i="12"/>
  <c r="E13" i="12"/>
  <c r="M13" i="12"/>
  <c r="O44" i="12"/>
  <c r="G58" i="12"/>
  <c r="O67" i="12"/>
  <c r="P86" i="12"/>
  <c r="N90" i="12"/>
  <c r="E90" i="12"/>
  <c r="G81" i="12"/>
  <c r="O81" i="12"/>
  <c r="P85" i="12"/>
  <c r="P87" i="12"/>
  <c r="P89" i="12"/>
  <c r="I90" i="12"/>
  <c r="P54" i="12"/>
  <c r="H58" i="12"/>
  <c r="H67" i="12"/>
  <c r="I58" i="12"/>
  <c r="I67" i="12"/>
  <c r="K58" i="12"/>
  <c r="H35" i="12"/>
  <c r="I44" i="12"/>
  <c r="J35" i="12"/>
  <c r="J44" i="12"/>
  <c r="K35" i="12"/>
  <c r="K44" i="12"/>
  <c r="K22" i="12"/>
  <c r="P11" i="12"/>
  <c r="M22" i="12"/>
  <c r="F13" i="12"/>
  <c r="F22" i="12"/>
  <c r="G13" i="12"/>
  <c r="O13" i="12"/>
  <c r="O22" i="12"/>
  <c r="P12" i="12"/>
  <c r="L13" i="12"/>
  <c r="P16" i="12"/>
  <c r="J22" i="12"/>
  <c r="G44" i="12"/>
  <c r="E22" i="12"/>
  <c r="P17" i="12"/>
  <c r="P21" i="12"/>
  <c r="G35" i="12"/>
  <c r="H44" i="12"/>
  <c r="N44" i="12"/>
  <c r="H13" i="12"/>
  <c r="N13" i="12"/>
  <c r="P9" i="12"/>
  <c r="P18" i="12"/>
  <c r="N35" i="12"/>
  <c r="P39" i="12"/>
  <c r="I13" i="12"/>
  <c r="P10" i="12"/>
  <c r="G22" i="12"/>
  <c r="L22" i="12"/>
  <c r="P29" i="12"/>
  <c r="D35" i="12"/>
  <c r="I35" i="12"/>
  <c r="P31" i="12"/>
  <c r="D44" i="12"/>
  <c r="P38" i="12"/>
  <c r="J13" i="12"/>
  <c r="O35" i="12"/>
  <c r="P32" i="12"/>
  <c r="D13" i="12"/>
  <c r="P7" i="12"/>
  <c r="P8" i="12"/>
  <c r="H22" i="12"/>
  <c r="N22" i="12"/>
  <c r="P19" i="12"/>
  <c r="E35" i="12"/>
  <c r="P30" i="12"/>
  <c r="P34" i="12"/>
  <c r="L44" i="12"/>
  <c r="P40" i="12"/>
  <c r="I22" i="12"/>
  <c r="P20" i="12"/>
  <c r="P41" i="12"/>
  <c r="P52" i="12"/>
  <c r="J67" i="12"/>
  <c r="F81" i="12"/>
  <c r="P78" i="12"/>
  <c r="F90" i="12"/>
  <c r="O90" i="12"/>
  <c r="P55" i="12"/>
  <c r="D22" i="12"/>
  <c r="P43" i="12"/>
  <c r="N58" i="12"/>
  <c r="K67" i="12"/>
  <c r="P62" i="12"/>
  <c r="P79" i="12"/>
  <c r="G90" i="12"/>
  <c r="J58" i="12"/>
  <c r="O58" i="12"/>
  <c r="G67" i="12"/>
  <c r="L67" i="12"/>
  <c r="P63" i="12"/>
  <c r="P66" i="12"/>
  <c r="M81" i="12"/>
  <c r="L90" i="12"/>
  <c r="P56" i="12"/>
  <c r="I81" i="12"/>
  <c r="H90" i="12"/>
  <c r="P53" i="12"/>
  <c r="P57" i="12"/>
  <c r="P75" i="12"/>
  <c r="N81" i="12"/>
  <c r="P80" i="12"/>
  <c r="P84" i="12"/>
  <c r="D90" i="12"/>
  <c r="M90" i="12"/>
  <c r="P88" i="12"/>
  <c r="D67" i="12"/>
  <c r="P61" i="12"/>
  <c r="P64" i="12"/>
  <c r="P77" i="12"/>
  <c r="E67" i="12"/>
  <c r="P65" i="12"/>
  <c r="K81" i="12"/>
  <c r="P76" i="12"/>
  <c r="D81" i="12"/>
  <c r="D58" i="12"/>
  <c r="H44" i="11"/>
  <c r="J13" i="11"/>
  <c r="J44" i="11"/>
  <c r="O67" i="11"/>
  <c r="N35" i="11"/>
  <c r="N13" i="11"/>
  <c r="N81" i="11"/>
  <c r="G112" i="11"/>
  <c r="O103" i="11"/>
  <c r="G35" i="11"/>
  <c r="J103" i="11"/>
  <c r="H58" i="11"/>
  <c r="K22" i="11"/>
  <c r="K35" i="11"/>
  <c r="M44" i="11"/>
  <c r="F67" i="11"/>
  <c r="P63" i="11"/>
  <c r="G90" i="11"/>
  <c r="F103" i="11"/>
  <c r="P107" i="11"/>
  <c r="F22" i="11"/>
  <c r="P19" i="11"/>
  <c r="L35" i="11"/>
  <c r="P31" i="11"/>
  <c r="P53" i="11"/>
  <c r="L67" i="11"/>
  <c r="I44" i="11"/>
  <c r="P54" i="11"/>
  <c r="I13" i="11"/>
  <c r="O13" i="11"/>
  <c r="M22" i="11"/>
  <c r="H67" i="11"/>
  <c r="M67" i="11"/>
  <c r="K81" i="11"/>
  <c r="P79" i="11"/>
  <c r="L103" i="11"/>
  <c r="M112" i="11"/>
  <c r="I35" i="11"/>
  <c r="E44" i="11"/>
  <c r="M58" i="11"/>
  <c r="K44" i="11"/>
  <c r="N58" i="11"/>
  <c r="P110" i="11"/>
  <c r="J35" i="11"/>
  <c r="I58" i="11"/>
  <c r="F90" i="11"/>
  <c r="I103" i="11"/>
  <c r="J58" i="11"/>
  <c r="G13" i="11"/>
  <c r="M13" i="11"/>
  <c r="P11" i="11"/>
  <c r="P30" i="11"/>
  <c r="G22" i="11"/>
  <c r="L22" i="11"/>
  <c r="P20" i="11"/>
  <c r="H35" i="11"/>
  <c r="P12" i="11"/>
  <c r="P21" i="11"/>
  <c r="M35" i="11"/>
  <c r="P34" i="11"/>
  <c r="O44" i="11"/>
  <c r="D13" i="11"/>
  <c r="P7" i="11"/>
  <c r="P8" i="11"/>
  <c r="H22" i="11"/>
  <c r="P29" i="11"/>
  <c r="D35" i="11"/>
  <c r="P39" i="11"/>
  <c r="P40" i="11"/>
  <c r="K13" i="11"/>
  <c r="I22" i="11"/>
  <c r="N22" i="11"/>
  <c r="E35" i="11"/>
  <c r="P32" i="11"/>
  <c r="P42" i="11"/>
  <c r="P55" i="11"/>
  <c r="H13" i="11"/>
  <c r="E13" i="11"/>
  <c r="L13" i="11"/>
  <c r="P9" i="11"/>
  <c r="P16" i="11"/>
  <c r="O22" i="11"/>
  <c r="P33" i="11"/>
  <c r="P43" i="11"/>
  <c r="F13" i="11"/>
  <c r="P10" i="11"/>
  <c r="E22" i="11"/>
  <c r="J22" i="11"/>
  <c r="P17" i="11"/>
  <c r="P18" i="11"/>
  <c r="F35" i="11"/>
  <c r="O35" i="11"/>
  <c r="G44" i="11"/>
  <c r="P41" i="11"/>
  <c r="D44" i="11"/>
  <c r="L44" i="11"/>
  <c r="F58" i="11"/>
  <c r="K58" i="11"/>
  <c r="K67" i="11"/>
  <c r="P62" i="11"/>
  <c r="D22" i="11"/>
  <c r="G58" i="11"/>
  <c r="P57" i="11"/>
  <c r="J81" i="11"/>
  <c r="P77" i="11"/>
  <c r="L90" i="11"/>
  <c r="P88" i="11"/>
  <c r="K103" i="11"/>
  <c r="P98" i="11"/>
  <c r="H112" i="11"/>
  <c r="L112" i="11"/>
  <c r="P109" i="11"/>
  <c r="L58" i="11"/>
  <c r="G67" i="11"/>
  <c r="P65" i="11"/>
  <c r="F81" i="11"/>
  <c r="O81" i="11"/>
  <c r="H90" i="11"/>
  <c r="G103" i="11"/>
  <c r="D112" i="11"/>
  <c r="P106" i="11"/>
  <c r="P64" i="11"/>
  <c r="P76" i="11"/>
  <c r="M90" i="11"/>
  <c r="P87" i="11"/>
  <c r="P100" i="11"/>
  <c r="P101" i="11"/>
  <c r="I112" i="11"/>
  <c r="P111" i="11"/>
  <c r="F44" i="11"/>
  <c r="N44" i="11"/>
  <c r="P56" i="11"/>
  <c r="G81" i="11"/>
  <c r="L81" i="11"/>
  <c r="E81" i="11"/>
  <c r="P84" i="11"/>
  <c r="D90" i="11"/>
  <c r="I90" i="11"/>
  <c r="N90" i="11"/>
  <c r="H103" i="11"/>
  <c r="E112" i="11"/>
  <c r="P52" i="11"/>
  <c r="D58" i="11"/>
  <c r="D67" i="11"/>
  <c r="P61" i="11"/>
  <c r="I67" i="11"/>
  <c r="N67" i="11"/>
  <c r="H81" i="11"/>
  <c r="M81" i="11"/>
  <c r="P78" i="11"/>
  <c r="E90" i="11"/>
  <c r="J90" i="11"/>
  <c r="P89" i="11"/>
  <c r="P97" i="11"/>
  <c r="D103" i="11"/>
  <c r="M103" i="11"/>
  <c r="F112" i="11"/>
  <c r="J112" i="11"/>
  <c r="N112" i="11"/>
  <c r="P108" i="11"/>
  <c r="J67" i="11"/>
  <c r="P75" i="11"/>
  <c r="D81" i="11"/>
  <c r="O90" i="11"/>
  <c r="N103" i="11"/>
  <c r="P102" i="11"/>
  <c r="P38" i="11"/>
  <c r="E58" i="11"/>
  <c r="O58" i="11"/>
  <c r="E67" i="11"/>
  <c r="P66" i="11"/>
  <c r="I81" i="11"/>
  <c r="P80" i="11"/>
  <c r="K90" i="11"/>
  <c r="P85" i="11"/>
  <c r="P86" i="11"/>
  <c r="E103" i="11"/>
  <c r="P99" i="11"/>
  <c r="K112" i="11"/>
  <c r="O112" i="11"/>
  <c r="K94" i="12" l="1"/>
  <c r="J26" i="12"/>
  <c r="I94" i="12"/>
  <c r="F26" i="11"/>
  <c r="L48" i="12"/>
  <c r="L116" i="11"/>
  <c r="K71" i="12"/>
  <c r="I48" i="12"/>
  <c r="L71" i="12"/>
  <c r="K26" i="12"/>
  <c r="N94" i="12"/>
  <c r="H94" i="12"/>
  <c r="E26" i="12"/>
  <c r="G94" i="12"/>
  <c r="N71" i="12"/>
  <c r="G71" i="12"/>
  <c r="F71" i="12"/>
  <c r="E71" i="12"/>
  <c r="L94" i="12"/>
  <c r="O94" i="12"/>
  <c r="M26" i="12"/>
  <c r="E94" i="12"/>
  <c r="E48" i="12"/>
  <c r="J94" i="12"/>
  <c r="M48" i="12"/>
  <c r="G26" i="12"/>
  <c r="M71" i="12"/>
  <c r="O71" i="12"/>
  <c r="N48" i="12"/>
  <c r="K48" i="12"/>
  <c r="F48" i="12"/>
  <c r="H48" i="12"/>
  <c r="O48" i="12"/>
  <c r="F26" i="12"/>
  <c r="P81" i="12"/>
  <c r="D94" i="12"/>
  <c r="I71" i="12"/>
  <c r="H71" i="12"/>
  <c r="D71" i="12"/>
  <c r="J48" i="12"/>
  <c r="O26" i="12"/>
  <c r="I26" i="12"/>
  <c r="H26" i="12"/>
  <c r="P58" i="12"/>
  <c r="P44" i="12"/>
  <c r="P67" i="12"/>
  <c r="P90" i="12"/>
  <c r="P13" i="12"/>
  <c r="D26" i="12"/>
  <c r="J71" i="12"/>
  <c r="D48" i="12"/>
  <c r="P22" i="12"/>
  <c r="M94" i="12"/>
  <c r="P35" i="12"/>
  <c r="G48" i="12"/>
  <c r="L26" i="12"/>
  <c r="F94" i="12"/>
  <c r="N26" i="12"/>
  <c r="M116" i="11"/>
  <c r="N48" i="11"/>
  <c r="H71" i="11"/>
  <c r="I71" i="11"/>
  <c r="M94" i="11"/>
  <c r="O71" i="11"/>
  <c r="O26" i="11"/>
  <c r="I116" i="11"/>
  <c r="J26" i="11"/>
  <c r="H48" i="11"/>
  <c r="N94" i="11"/>
  <c r="M48" i="11"/>
  <c r="J71" i="11"/>
  <c r="F71" i="11"/>
  <c r="G116" i="11"/>
  <c r="D116" i="11"/>
  <c r="N71" i="11"/>
  <c r="L71" i="11"/>
  <c r="N26" i="11"/>
  <c r="K94" i="11"/>
  <c r="D71" i="11"/>
  <c r="L26" i="11"/>
  <c r="I26" i="11"/>
  <c r="O116" i="11"/>
  <c r="I94" i="11"/>
  <c r="H94" i="11"/>
  <c r="G94" i="11"/>
  <c r="G48" i="11"/>
  <c r="D94" i="11"/>
  <c r="H116" i="11"/>
  <c r="F94" i="11"/>
  <c r="J48" i="11"/>
  <c r="O48" i="11"/>
  <c r="E116" i="11"/>
  <c r="M26" i="11"/>
  <c r="E48" i="11"/>
  <c r="P90" i="11"/>
  <c r="L48" i="11"/>
  <c r="J116" i="11"/>
  <c r="P58" i="11"/>
  <c r="K26" i="11"/>
  <c r="N116" i="11"/>
  <c r="P35" i="11"/>
  <c r="F116" i="11"/>
  <c r="M71" i="11"/>
  <c r="E26" i="11"/>
  <c r="I48" i="11"/>
  <c r="K48" i="11"/>
  <c r="P44" i="11"/>
  <c r="E94" i="11"/>
  <c r="P112" i="11"/>
  <c r="L94" i="11"/>
  <c r="J94" i="11"/>
  <c r="F48" i="11"/>
  <c r="K71" i="11"/>
  <c r="H26" i="11"/>
  <c r="P81" i="11"/>
  <c r="G71" i="11"/>
  <c r="P13" i="11"/>
  <c r="E71" i="11"/>
  <c r="P103" i="11"/>
  <c r="O94" i="11"/>
  <c r="D26" i="11"/>
  <c r="P67" i="11"/>
  <c r="K116" i="11"/>
  <c r="P22" i="11"/>
  <c r="D48" i="11"/>
  <c r="G26" i="11"/>
  <c r="K103" i="12" l="1"/>
  <c r="P26" i="11"/>
  <c r="D24" i="8" s="1"/>
  <c r="L103" i="12"/>
  <c r="E103" i="12"/>
  <c r="I103" i="12"/>
  <c r="E125" i="11"/>
  <c r="O125" i="11"/>
  <c r="G103" i="12"/>
  <c r="H103" i="12"/>
  <c r="M103" i="12"/>
  <c r="N103" i="12"/>
  <c r="J103" i="12"/>
  <c r="O103" i="12"/>
  <c r="G125" i="11"/>
  <c r="M125" i="11"/>
  <c r="D125" i="11"/>
  <c r="H125" i="11"/>
  <c r="N125" i="11"/>
  <c r="K125" i="11"/>
  <c r="J125" i="11"/>
  <c r="F103" i="12"/>
  <c r="I125" i="11"/>
  <c r="F125" i="11"/>
  <c r="L125" i="11"/>
  <c r="P94" i="12"/>
  <c r="E27" i="8" s="1"/>
  <c r="P71" i="12"/>
  <c r="E26" i="8" s="1"/>
  <c r="P26" i="12"/>
  <c r="E24" i="8" s="1"/>
  <c r="D103" i="12"/>
  <c r="P48" i="12"/>
  <c r="P94" i="11"/>
  <c r="D27" i="8" s="1"/>
  <c r="P116" i="11"/>
  <c r="D28" i="8" s="1"/>
  <c r="P71" i="11"/>
  <c r="D26" i="8" s="1"/>
  <c r="P48" i="11"/>
  <c r="D25" i="8" s="1"/>
  <c r="P103" i="12" l="1"/>
  <c r="E25" i="8"/>
  <c r="P125" i="11"/>
  <c r="A27" i="8"/>
  <c r="F27" i="8"/>
  <c r="F28" i="8"/>
  <c r="F26" i="8"/>
  <c r="A28" i="8"/>
  <c r="A26" i="8"/>
  <c r="F24" i="8" l="1"/>
  <c r="A24" i="8"/>
  <c r="F25" i="8"/>
  <c r="A25" i="8"/>
  <c r="O3" i="1"/>
  <c r="Q103" i="12" s="1"/>
  <c r="D5" i="8"/>
  <c r="J518" i="7"/>
  <c r="H3" i="7"/>
  <c r="H4" i="7"/>
  <c r="J4" i="7" s="1"/>
  <c r="H7" i="7"/>
  <c r="J7" i="7" s="1"/>
  <c r="H13" i="7"/>
  <c r="J13" i="7" s="1"/>
  <c r="H15" i="7"/>
  <c r="J15" i="7" s="1"/>
  <c r="H11" i="7"/>
  <c r="J11" i="7" s="1"/>
  <c r="H21" i="7"/>
  <c r="J21" i="7" s="1"/>
  <c r="H27" i="7"/>
  <c r="J27" i="7" s="1"/>
  <c r="H35" i="7"/>
  <c r="J35" i="7" s="1"/>
  <c r="H36" i="7"/>
  <c r="J36" i="7" s="1"/>
  <c r="H47" i="7"/>
  <c r="J47" i="7" s="1"/>
  <c r="H61" i="7"/>
  <c r="J61" i="7" s="1"/>
  <c r="H51" i="7"/>
  <c r="J51" i="7" s="1"/>
  <c r="H53" i="7"/>
  <c r="J53" i="7" s="1"/>
  <c r="H86" i="7"/>
  <c r="J86" i="7" s="1"/>
  <c r="H95" i="7"/>
  <c r="J95" i="7" s="1"/>
  <c r="H270" i="7"/>
  <c r="J270" i="7" s="1"/>
  <c r="H276" i="7"/>
  <c r="J276" i="7" s="1"/>
  <c r="H284" i="7"/>
  <c r="J284" i="7" s="1"/>
  <c r="H300" i="7"/>
  <c r="J300" i="7" s="1"/>
  <c r="H290" i="7"/>
  <c r="J290" i="7" s="1"/>
  <c r="H293" i="7"/>
  <c r="J293" i="7" s="1"/>
  <c r="H297" i="7"/>
  <c r="J297" i="7" s="1"/>
  <c r="H298" i="7"/>
  <c r="J298" i="7" s="1"/>
  <c r="H304" i="7"/>
  <c r="J304" i="7" s="1"/>
  <c r="H316" i="7"/>
  <c r="J316" i="7" s="1"/>
  <c r="H319" i="7"/>
  <c r="J319" i="7" s="1"/>
  <c r="H329" i="7"/>
  <c r="J329" i="7" s="1"/>
  <c r="H347" i="7"/>
  <c r="J347" i="7" s="1"/>
  <c r="H354" i="7"/>
  <c r="J354" i="7" s="1"/>
  <c r="H364" i="7"/>
  <c r="J364" i="7" s="1"/>
  <c r="H379" i="7"/>
  <c r="J379" i="7" s="1"/>
  <c r="H381" i="7"/>
  <c r="J381" i="7" s="1"/>
  <c r="H411" i="7"/>
  <c r="J411" i="7" s="1"/>
  <c r="H414" i="7"/>
  <c r="J414" i="7" s="1"/>
  <c r="H426" i="7"/>
  <c r="J426" i="7" s="1"/>
  <c r="H427" i="7"/>
  <c r="J427" i="7" s="1"/>
  <c r="H455" i="7"/>
  <c r="J455" i="7" s="1"/>
  <c r="H422" i="7"/>
  <c r="J422" i="7" s="1"/>
  <c r="H419" i="7"/>
  <c r="J419" i="7" s="1"/>
  <c r="H432" i="7"/>
  <c r="J432" i="7" s="1"/>
  <c r="H436" i="7"/>
  <c r="J436" i="7" s="1"/>
  <c r="H440" i="7"/>
  <c r="J440" i="7" s="1"/>
  <c r="H447" i="7"/>
  <c r="J447" i="7" s="1"/>
  <c r="H459" i="7"/>
  <c r="J459" i="7" s="1"/>
  <c r="H466" i="7"/>
  <c r="J466" i="7" s="1"/>
  <c r="H469" i="7"/>
  <c r="J469" i="7" s="1"/>
  <c r="H467" i="7"/>
  <c r="J467" i="7" s="1"/>
  <c r="H468" i="7"/>
  <c r="J468" i="7" s="1"/>
  <c r="H473" i="7"/>
  <c r="J473" i="7" s="1"/>
  <c r="H497" i="7"/>
  <c r="J497" i="7" s="1"/>
  <c r="H514" i="7"/>
  <c r="J514" i="7" s="1"/>
  <c r="H515" i="7"/>
  <c r="J515" i="7" s="1"/>
  <c r="H516" i="7"/>
  <c r="J516" i="7" s="1"/>
  <c r="H518" i="7"/>
  <c r="H521" i="7"/>
  <c r="J521" i="7" s="1"/>
  <c r="H239" i="7"/>
  <c r="J239" i="7" s="1"/>
  <c r="H130" i="7"/>
  <c r="J130" i="7" s="1"/>
  <c r="H127" i="7"/>
  <c r="J127" i="7" s="1"/>
  <c r="H139" i="7"/>
  <c r="J139" i="7" s="1"/>
  <c r="H137" i="7"/>
  <c r="J137" i="7" s="1"/>
  <c r="H148" i="7"/>
  <c r="J148" i="7" s="1"/>
  <c r="H151" i="7"/>
  <c r="J151" i="7" s="1"/>
  <c r="H165" i="7"/>
  <c r="J165" i="7" s="1"/>
  <c r="H160" i="7"/>
  <c r="J160" i="7" s="1"/>
  <c r="H198" i="7"/>
  <c r="J198" i="7" s="1"/>
  <c r="H223" i="7"/>
  <c r="J223" i="7" s="1"/>
  <c r="H131" i="7"/>
  <c r="J131" i="7" s="1"/>
  <c r="H356" i="7"/>
  <c r="J356" i="7" s="1"/>
  <c r="H355" i="7"/>
  <c r="J355" i="7" s="1"/>
  <c r="H478" i="7"/>
  <c r="J478" i="7" s="1"/>
  <c r="F4" i="7"/>
  <c r="F7" i="7"/>
  <c r="F13" i="7"/>
  <c r="F15" i="7"/>
  <c r="F11" i="7"/>
  <c r="F21" i="7"/>
  <c r="F27" i="7"/>
  <c r="F35" i="7"/>
  <c r="F36" i="7"/>
  <c r="F47" i="7"/>
  <c r="F61" i="7"/>
  <c r="F51" i="7"/>
  <c r="F53" i="7"/>
  <c r="F86" i="7"/>
  <c r="F95" i="7"/>
  <c r="F270" i="7"/>
  <c r="F276" i="7"/>
  <c r="F284" i="7"/>
  <c r="F300" i="7"/>
  <c r="F290" i="7"/>
  <c r="F293" i="7"/>
  <c r="F297" i="7"/>
  <c r="F298" i="7"/>
  <c r="F304" i="7"/>
  <c r="F316" i="7"/>
  <c r="F319" i="7"/>
  <c r="F329" i="7"/>
  <c r="F347" i="7"/>
  <c r="F354" i="7"/>
  <c r="F364" i="7"/>
  <c r="F379" i="7"/>
  <c r="F381" i="7"/>
  <c r="F411" i="7"/>
  <c r="F414" i="7"/>
  <c r="F426" i="7"/>
  <c r="F427" i="7"/>
  <c r="F455" i="7"/>
  <c r="F422" i="7"/>
  <c r="F419" i="7"/>
  <c r="F432" i="7"/>
  <c r="F436" i="7"/>
  <c r="F440" i="7"/>
  <c r="F447" i="7"/>
  <c r="F459" i="7"/>
  <c r="F466" i="7"/>
  <c r="F469" i="7"/>
  <c r="F467" i="7"/>
  <c r="F468" i="7"/>
  <c r="F473" i="7"/>
  <c r="F497" i="7"/>
  <c r="F514" i="7"/>
  <c r="F515" i="7"/>
  <c r="F516" i="7"/>
  <c r="F518" i="7"/>
  <c r="F521" i="7"/>
  <c r="F239" i="7"/>
  <c r="F130" i="7"/>
  <c r="F127" i="7"/>
  <c r="F139" i="7"/>
  <c r="F137" i="7"/>
  <c r="F148" i="7"/>
  <c r="F151" i="7"/>
  <c r="F165" i="7"/>
  <c r="F160" i="7"/>
  <c r="F198" i="7"/>
  <c r="F223" i="7"/>
  <c r="F131" i="7"/>
  <c r="F356" i="7"/>
  <c r="F355" i="7"/>
  <c r="F478" i="7"/>
  <c r="J3" i="7"/>
  <c r="U524" i="7"/>
  <c r="V524" i="7"/>
  <c r="W524" i="7"/>
  <c r="X524" i="7"/>
  <c r="F3" i="7"/>
  <c r="L524" i="7"/>
  <c r="L526" i="7" s="1"/>
  <c r="M524" i="7"/>
  <c r="M526" i="7" s="1"/>
  <c r="Q524" i="7"/>
  <c r="Q526" i="7" s="1"/>
  <c r="R524" i="7"/>
  <c r="R526" i="7" s="1"/>
  <c r="S524" i="7"/>
  <c r="S526" i="7" s="1"/>
  <c r="T524" i="7"/>
  <c r="T526" i="7" s="1"/>
  <c r="H502" i="7"/>
  <c r="J502" i="7" s="1"/>
  <c r="F502" i="7"/>
  <c r="H503" i="7"/>
  <c r="J503" i="7" s="1"/>
  <c r="F503" i="7"/>
  <c r="H496" i="7"/>
  <c r="J496" i="7" s="1"/>
  <c r="F496" i="7"/>
  <c r="H495" i="7"/>
  <c r="J495" i="7" s="1"/>
  <c r="F495" i="7"/>
  <c r="H491" i="7"/>
  <c r="J491" i="7" s="1"/>
  <c r="F491" i="7"/>
  <c r="H493" i="7"/>
  <c r="J493" i="7" s="1"/>
  <c r="F493" i="7"/>
  <c r="H492" i="7"/>
  <c r="J492" i="7" s="1"/>
  <c r="F492" i="7"/>
  <c r="H490" i="7"/>
  <c r="J490" i="7" s="1"/>
  <c r="F490" i="7"/>
  <c r="H489" i="7"/>
  <c r="J489" i="7" s="1"/>
  <c r="F489" i="7"/>
  <c r="H488" i="7"/>
  <c r="J488" i="7" s="1"/>
  <c r="F488" i="7"/>
  <c r="H484" i="7"/>
  <c r="J484" i="7" s="1"/>
  <c r="F484" i="7"/>
  <c r="H483" i="7"/>
  <c r="J483" i="7" s="1"/>
  <c r="F483" i="7"/>
  <c r="H452" i="7"/>
  <c r="J452" i="7" s="1"/>
  <c r="F452" i="7"/>
  <c r="H450" i="7"/>
  <c r="J450" i="7" s="1"/>
  <c r="F450" i="7"/>
  <c r="H442" i="7"/>
  <c r="J442" i="7" s="1"/>
  <c r="F442" i="7"/>
  <c r="H443" i="7"/>
  <c r="J443" i="7" s="1"/>
  <c r="F443" i="7"/>
  <c r="H441" i="7"/>
  <c r="J441" i="7" s="1"/>
  <c r="F441" i="7"/>
  <c r="H434" i="7"/>
  <c r="J434" i="7" s="1"/>
  <c r="F434" i="7"/>
  <c r="H435" i="7"/>
  <c r="J435" i="7" s="1"/>
  <c r="F435" i="7"/>
  <c r="H433" i="7"/>
  <c r="J433" i="7" s="1"/>
  <c r="F433" i="7"/>
  <c r="H430" i="7"/>
  <c r="J430" i="7" s="1"/>
  <c r="F430" i="7"/>
  <c r="H431" i="7"/>
  <c r="J431" i="7" s="1"/>
  <c r="F431" i="7"/>
  <c r="H429" i="7"/>
  <c r="J429" i="7" s="1"/>
  <c r="F429" i="7"/>
  <c r="H424" i="7"/>
  <c r="J424" i="7" s="1"/>
  <c r="F424" i="7"/>
  <c r="H423" i="7"/>
  <c r="J423" i="7" s="1"/>
  <c r="F423" i="7"/>
  <c r="H396" i="7"/>
  <c r="J396" i="7" s="1"/>
  <c r="F396" i="7"/>
  <c r="H390" i="7"/>
  <c r="J390" i="7" s="1"/>
  <c r="F390" i="7"/>
  <c r="H389" i="7"/>
  <c r="J389" i="7" s="1"/>
  <c r="F389" i="7"/>
  <c r="H384" i="7"/>
  <c r="J384" i="7" s="1"/>
  <c r="F384" i="7"/>
  <c r="H383" i="7"/>
  <c r="J383" i="7" s="1"/>
  <c r="F383" i="7"/>
  <c r="H399" i="7"/>
  <c r="J399" i="7" s="1"/>
  <c r="F399" i="7"/>
  <c r="H359" i="7"/>
  <c r="J359" i="7" s="1"/>
  <c r="F359" i="7"/>
  <c r="H344" i="7"/>
  <c r="J344" i="7" s="1"/>
  <c r="F344" i="7"/>
  <c r="H346" i="7"/>
  <c r="J346" i="7" s="1"/>
  <c r="F346" i="7"/>
  <c r="H345" i="7"/>
  <c r="J345" i="7" s="1"/>
  <c r="F345" i="7"/>
  <c r="H343" i="7"/>
  <c r="J343" i="7" s="1"/>
  <c r="F343" i="7"/>
  <c r="H342" i="7"/>
  <c r="J342" i="7" s="1"/>
  <c r="F342" i="7"/>
  <c r="H339" i="7"/>
  <c r="J339" i="7" s="1"/>
  <c r="F339" i="7"/>
  <c r="H336" i="7"/>
  <c r="J336" i="7" s="1"/>
  <c r="F336" i="7"/>
  <c r="H335" i="7"/>
  <c r="J335" i="7" s="1"/>
  <c r="F335" i="7"/>
  <c r="H333" i="7"/>
  <c r="J333" i="7" s="1"/>
  <c r="F333" i="7"/>
  <c r="H334" i="7"/>
  <c r="J334" i="7" s="1"/>
  <c r="F334" i="7"/>
  <c r="H332" i="7"/>
  <c r="J332" i="7" s="1"/>
  <c r="F332" i="7"/>
  <c r="H330" i="7"/>
  <c r="J330" i="7" s="1"/>
  <c r="F330" i="7"/>
  <c r="H331" i="7"/>
  <c r="J331" i="7" s="1"/>
  <c r="F331" i="7"/>
  <c r="H328" i="7"/>
  <c r="J328" i="7" s="1"/>
  <c r="F328" i="7"/>
  <c r="H327" i="7"/>
  <c r="J327" i="7" s="1"/>
  <c r="F327" i="7"/>
  <c r="H307" i="7"/>
  <c r="J307" i="7" s="1"/>
  <c r="F307" i="7"/>
  <c r="H303" i="7"/>
  <c r="J303" i="7" s="1"/>
  <c r="F303" i="7"/>
  <c r="H302" i="7"/>
  <c r="J302" i="7" s="1"/>
  <c r="F302" i="7"/>
  <c r="H296" i="7"/>
  <c r="J296" i="7" s="1"/>
  <c r="F296" i="7"/>
  <c r="H295" i="7"/>
  <c r="J295" i="7" s="1"/>
  <c r="F295" i="7"/>
  <c r="H294" i="7"/>
  <c r="J294" i="7" s="1"/>
  <c r="F294" i="7"/>
  <c r="H292" i="7"/>
  <c r="J292" i="7" s="1"/>
  <c r="F292" i="7"/>
  <c r="H287" i="7"/>
  <c r="J287" i="7" s="1"/>
  <c r="F287" i="7"/>
  <c r="H286" i="7"/>
  <c r="J286" i="7" s="1"/>
  <c r="F286" i="7"/>
  <c r="H281" i="7"/>
  <c r="J281" i="7" s="1"/>
  <c r="F281" i="7"/>
  <c r="H280" i="7"/>
  <c r="J280" i="7" s="1"/>
  <c r="F280" i="7"/>
  <c r="H269" i="7"/>
  <c r="J269" i="7" s="1"/>
  <c r="F269" i="7"/>
  <c r="H267" i="7"/>
  <c r="J267" i="7" s="1"/>
  <c r="F267" i="7"/>
  <c r="H264" i="7"/>
  <c r="J264" i="7" s="1"/>
  <c r="F264" i="7"/>
  <c r="K263" i="7"/>
  <c r="K524" i="7" s="1"/>
  <c r="K526" i="7" s="1"/>
  <c r="H263" i="7"/>
  <c r="J263" i="7" s="1"/>
  <c r="F263" i="7"/>
  <c r="H260" i="7"/>
  <c r="J260" i="7" s="1"/>
  <c r="F260" i="7"/>
  <c r="H388" i="7"/>
  <c r="J388" i="7" s="1"/>
  <c r="H387" i="7"/>
  <c r="J387" i="7" s="1"/>
  <c r="H382" i="7"/>
  <c r="J382" i="7" s="1"/>
  <c r="H193" i="7"/>
  <c r="J193" i="7" s="1"/>
  <c r="H259" i="7"/>
  <c r="J259" i="7" s="1"/>
  <c r="F259" i="7"/>
  <c r="H257" i="7"/>
  <c r="J257" i="7" s="1"/>
  <c r="F257" i="7"/>
  <c r="H256" i="7"/>
  <c r="J256" i="7" s="1"/>
  <c r="F256" i="7"/>
  <c r="H253" i="7"/>
  <c r="J253" i="7" s="1"/>
  <c r="F253" i="7"/>
  <c r="H246" i="7"/>
  <c r="J246" i="7" s="1"/>
  <c r="F246" i="7"/>
  <c r="H245" i="7"/>
  <c r="J245" i="7" s="1"/>
  <c r="F245" i="7"/>
  <c r="H84" i="7"/>
  <c r="J84" i="7" s="1"/>
  <c r="F84" i="7"/>
  <c r="H82" i="7"/>
  <c r="J82" i="7" s="1"/>
  <c r="F82" i="7"/>
  <c r="H80" i="7"/>
  <c r="J80" i="7" s="1"/>
  <c r="F80" i="7"/>
  <c r="H79" i="7"/>
  <c r="J79" i="7" s="1"/>
  <c r="F79" i="7"/>
  <c r="H76" i="7"/>
  <c r="J76" i="7" s="1"/>
  <c r="F76" i="7"/>
  <c r="H75" i="7"/>
  <c r="J75" i="7" s="1"/>
  <c r="F75" i="7"/>
  <c r="H70" i="7"/>
  <c r="J70" i="7" s="1"/>
  <c r="F70" i="7"/>
  <c r="H69" i="7"/>
  <c r="J69" i="7" s="1"/>
  <c r="F69" i="7"/>
  <c r="N40" i="7"/>
  <c r="N524" i="7" s="1"/>
  <c r="N526" i="7" s="1"/>
  <c r="H40" i="7"/>
  <c r="J40" i="7" s="1"/>
  <c r="F40" i="7"/>
  <c r="H24" i="7"/>
  <c r="J24" i="7" s="1"/>
  <c r="F24" i="7"/>
  <c r="H19" i="7"/>
  <c r="J19" i="7" s="1"/>
  <c r="F19" i="7"/>
  <c r="H9" i="7"/>
  <c r="J9" i="7" s="1"/>
  <c r="F9" i="7"/>
  <c r="H8" i="7"/>
  <c r="J8" i="7" s="1"/>
  <c r="F8" i="7"/>
  <c r="H501" i="7"/>
  <c r="J501" i="7" s="1"/>
  <c r="F501" i="7"/>
  <c r="P501" i="7" s="1"/>
  <c r="H266" i="7"/>
  <c r="J266" i="7" s="1"/>
  <c r="F266" i="7"/>
  <c r="P266" i="7" s="1"/>
  <c r="H487" i="7"/>
  <c r="J487" i="7" s="1"/>
  <c r="F487" i="7"/>
  <c r="H461" i="7"/>
  <c r="J461" i="7" s="1"/>
  <c r="F461" i="7"/>
  <c r="H449" i="7"/>
  <c r="J449" i="7" s="1"/>
  <c r="F449" i="7"/>
  <c r="H454" i="7"/>
  <c r="J454" i="7" s="1"/>
  <c r="H446" i="7"/>
  <c r="J446" i="7" s="1"/>
  <c r="H394" i="7"/>
  <c r="J394" i="7" s="1"/>
  <c r="F394" i="7"/>
  <c r="H358" i="7"/>
  <c r="J358" i="7" s="1"/>
  <c r="F358" i="7"/>
  <c r="H357" i="7"/>
  <c r="J357" i="7" s="1"/>
  <c r="H306" i="7"/>
  <c r="J306" i="7" s="1"/>
  <c r="F306" i="7"/>
  <c r="H240" i="7"/>
  <c r="J240" i="7" s="1"/>
  <c r="F240" i="7"/>
  <c r="H238" i="7"/>
  <c r="J238" i="7" s="1"/>
  <c r="F238" i="7"/>
  <c r="H232" i="7"/>
  <c r="J232" i="7" s="1"/>
  <c r="H231" i="7"/>
  <c r="J231" i="7" s="1"/>
  <c r="H221" i="7"/>
  <c r="J221" i="7" s="1"/>
  <c r="F221" i="7"/>
  <c r="H218" i="7"/>
  <c r="J218" i="7" s="1"/>
  <c r="F218" i="7"/>
  <c r="H215" i="7"/>
  <c r="J215" i="7" s="1"/>
  <c r="F215" i="7"/>
  <c r="H211" i="7"/>
  <c r="J211" i="7" s="1"/>
  <c r="F211" i="7"/>
  <c r="H210" i="7"/>
  <c r="J210" i="7" s="1"/>
  <c r="H202" i="7"/>
  <c r="J202" i="7" s="1"/>
  <c r="H199" i="7"/>
  <c r="J199" i="7" s="1"/>
  <c r="F199" i="7"/>
  <c r="H194" i="7"/>
  <c r="J194" i="7" s="1"/>
  <c r="F194" i="7"/>
  <c r="H184" i="7"/>
  <c r="J184" i="7" s="1"/>
  <c r="F184" i="7"/>
  <c r="H181" i="7"/>
  <c r="J181" i="7" s="1"/>
  <c r="F181" i="7"/>
  <c r="H183" i="7"/>
  <c r="J183" i="7" s="1"/>
  <c r="H177" i="7"/>
  <c r="J177" i="7" s="1"/>
  <c r="F177" i="7"/>
  <c r="H167" i="7"/>
  <c r="J167" i="7" s="1"/>
  <c r="F167" i="7"/>
  <c r="H157" i="7"/>
  <c r="J157" i="7" s="1"/>
  <c r="F157" i="7"/>
  <c r="H152" i="7"/>
  <c r="J152" i="7" s="1"/>
  <c r="H146" i="7"/>
  <c r="J146" i="7" s="1"/>
  <c r="H143" i="7"/>
  <c r="J143" i="7" s="1"/>
  <c r="F143" i="7"/>
  <c r="H138" i="7"/>
  <c r="J138" i="7" s="1"/>
  <c r="F138" i="7"/>
  <c r="H135" i="7"/>
  <c r="J135" i="7" s="1"/>
  <c r="F135" i="7"/>
  <c r="H129" i="7"/>
  <c r="J129" i="7" s="1"/>
  <c r="H128" i="7"/>
  <c r="J128" i="7" s="1"/>
  <c r="F128" i="7"/>
  <c r="H116" i="7"/>
  <c r="J116" i="7" s="1"/>
  <c r="F116" i="7"/>
  <c r="H110" i="7"/>
  <c r="J110" i="7" s="1"/>
  <c r="F110" i="7"/>
  <c r="H108" i="7"/>
  <c r="J108" i="7" s="1"/>
  <c r="H107" i="7"/>
  <c r="J107" i="7" s="1"/>
  <c r="F107" i="7"/>
  <c r="H92" i="7"/>
  <c r="J92" i="7" s="1"/>
  <c r="F92" i="7"/>
  <c r="H91" i="7"/>
  <c r="J91" i="7" s="1"/>
  <c r="H87" i="7"/>
  <c r="J87" i="7" s="1"/>
  <c r="H63" i="7"/>
  <c r="J63" i="7" s="1"/>
  <c r="H2" i="7"/>
  <c r="J2" i="7" s="1"/>
  <c r="H513" i="7"/>
  <c r="J513" i="7" s="1"/>
  <c r="F513" i="7"/>
  <c r="H505" i="7"/>
  <c r="J505" i="7" s="1"/>
  <c r="F505" i="7"/>
  <c r="H506" i="7"/>
  <c r="J506" i="7" s="1"/>
  <c r="H417" i="7"/>
  <c r="J417" i="7" s="1"/>
  <c r="H341" i="7"/>
  <c r="J341" i="7" s="1"/>
  <c r="F341" i="7"/>
  <c r="H271" i="7"/>
  <c r="J271" i="7" s="1"/>
  <c r="H243" i="7"/>
  <c r="J243" i="7" s="1"/>
  <c r="F243" i="7"/>
  <c r="H241" i="7"/>
  <c r="J241" i="7" s="1"/>
  <c r="F241" i="7"/>
  <c r="H83" i="7"/>
  <c r="J83" i="7" s="1"/>
  <c r="F83" i="7"/>
  <c r="H451" i="7"/>
  <c r="J451" i="7" s="1"/>
  <c r="F451" i="7"/>
  <c r="H377" i="7"/>
  <c r="J377" i="7" s="1"/>
  <c r="F377" i="7"/>
  <c r="H372" i="7"/>
  <c r="J372" i="7" s="1"/>
  <c r="F372" i="7"/>
  <c r="H370" i="7"/>
  <c r="J370" i="7" s="1"/>
  <c r="F370" i="7"/>
  <c r="H368" i="7"/>
  <c r="J368" i="7" s="1"/>
  <c r="H367" i="7"/>
  <c r="J367" i="7" s="1"/>
  <c r="F367" i="7"/>
  <c r="H308" i="7"/>
  <c r="J308" i="7" s="1"/>
  <c r="F308" i="7"/>
  <c r="H222" i="7"/>
  <c r="J222" i="7" s="1"/>
  <c r="F222" i="7"/>
  <c r="H197" i="7"/>
  <c r="J197" i="7" s="1"/>
  <c r="F197" i="7"/>
  <c r="H190" i="7"/>
  <c r="J190" i="7" s="1"/>
  <c r="F190" i="7"/>
  <c r="H172" i="7"/>
  <c r="J172" i="7" s="1"/>
  <c r="F172" i="7"/>
  <c r="H106" i="7"/>
  <c r="J106" i="7" s="1"/>
  <c r="F106" i="7"/>
  <c r="H485" i="7"/>
  <c r="J485" i="7" s="1"/>
  <c r="F485" i="7"/>
  <c r="H486" i="7"/>
  <c r="J486" i="7" s="1"/>
  <c r="F486" i="7"/>
  <c r="H393" i="7"/>
  <c r="J393" i="7" s="1"/>
  <c r="F393" i="7"/>
  <c r="H522" i="7"/>
  <c r="J522" i="7" s="1"/>
  <c r="F522" i="7"/>
  <c r="H520" i="7"/>
  <c r="J520" i="7" s="1"/>
  <c r="F520" i="7"/>
  <c r="H517" i="7"/>
  <c r="J517" i="7" s="1"/>
  <c r="F517" i="7"/>
  <c r="H500" i="7"/>
  <c r="J500" i="7" s="1"/>
  <c r="F500" i="7"/>
  <c r="H498" i="7"/>
  <c r="J498" i="7" s="1"/>
  <c r="H482" i="7"/>
  <c r="J482" i="7" s="1"/>
  <c r="F482" i="7"/>
  <c r="H480" i="7"/>
  <c r="J480" i="7" s="1"/>
  <c r="F480" i="7"/>
  <c r="H476" i="7"/>
  <c r="J476" i="7" s="1"/>
  <c r="F476" i="7"/>
  <c r="H475" i="7"/>
  <c r="J475" i="7" s="1"/>
  <c r="F475" i="7"/>
  <c r="H474" i="7"/>
  <c r="J474" i="7" s="1"/>
  <c r="F474" i="7"/>
  <c r="H472" i="7"/>
  <c r="J472" i="7" s="1"/>
  <c r="F472" i="7"/>
  <c r="H462" i="7"/>
  <c r="J462" i="7" s="1"/>
  <c r="H456" i="7"/>
  <c r="J456" i="7" s="1"/>
  <c r="H448" i="7"/>
  <c r="J448" i="7" s="1"/>
  <c r="F448" i="7"/>
  <c r="H453" i="7"/>
  <c r="J453" i="7" s="1"/>
  <c r="H444" i="7"/>
  <c r="J444" i="7" s="1"/>
  <c r="F444" i="7"/>
  <c r="H445" i="7"/>
  <c r="J445" i="7" s="1"/>
  <c r="H438" i="7"/>
  <c r="J438" i="7" s="1"/>
  <c r="F438" i="7"/>
  <c r="H439" i="7"/>
  <c r="J439" i="7" s="1"/>
  <c r="H437" i="7"/>
  <c r="J437" i="7" s="1"/>
  <c r="H420" i="7"/>
  <c r="J420" i="7" s="1"/>
  <c r="F420" i="7"/>
  <c r="H421" i="7"/>
  <c r="J421" i="7" s="1"/>
  <c r="H418" i="7"/>
  <c r="J418" i="7" s="1"/>
  <c r="F418" i="7"/>
  <c r="H409" i="7"/>
  <c r="J409" i="7" s="1"/>
  <c r="F409" i="7"/>
  <c r="H407" i="7"/>
  <c r="J407" i="7" s="1"/>
  <c r="F407" i="7"/>
  <c r="H406" i="7"/>
  <c r="J406" i="7" s="1"/>
  <c r="F406" i="7"/>
  <c r="H404" i="7"/>
  <c r="J404" i="7" s="1"/>
  <c r="F404" i="7"/>
  <c r="H402" i="7"/>
  <c r="J402" i="7" s="1"/>
  <c r="F402" i="7"/>
  <c r="H400" i="7"/>
  <c r="J400" i="7" s="1"/>
  <c r="F400" i="7"/>
  <c r="H395" i="7"/>
  <c r="J395" i="7" s="1"/>
  <c r="F395" i="7"/>
  <c r="H398" i="7"/>
  <c r="J398" i="7" s="1"/>
  <c r="F398" i="7"/>
  <c r="H397" i="7"/>
  <c r="J397" i="7" s="1"/>
  <c r="F397" i="7"/>
  <c r="H391" i="7"/>
  <c r="J391" i="7" s="1"/>
  <c r="F391" i="7"/>
  <c r="H386" i="7"/>
  <c r="J386" i="7" s="1"/>
  <c r="F386" i="7"/>
  <c r="H385" i="7"/>
  <c r="J385" i="7" s="1"/>
  <c r="F385" i="7"/>
  <c r="H380" i="7"/>
  <c r="J380" i="7" s="1"/>
  <c r="F380" i="7"/>
  <c r="H375" i="7"/>
  <c r="J375" i="7" s="1"/>
  <c r="F375" i="7"/>
  <c r="H376" i="7"/>
  <c r="J376" i="7" s="1"/>
  <c r="F376" i="7"/>
  <c r="H373" i="7"/>
  <c r="J373" i="7" s="1"/>
  <c r="F373" i="7"/>
  <c r="H374" i="7"/>
  <c r="J374" i="7" s="1"/>
  <c r="F374" i="7"/>
  <c r="H371" i="7"/>
  <c r="J371" i="7" s="1"/>
  <c r="F371" i="7"/>
  <c r="H369" i="7"/>
  <c r="J369" i="7" s="1"/>
  <c r="F369" i="7"/>
  <c r="H366" i="7"/>
  <c r="J366" i="7" s="1"/>
  <c r="F366" i="7"/>
  <c r="H361" i="7"/>
  <c r="J361" i="7" s="1"/>
  <c r="F361" i="7"/>
  <c r="H353" i="7"/>
  <c r="J353" i="7" s="1"/>
  <c r="F353" i="7"/>
  <c r="H352" i="7"/>
  <c r="J352" i="7" s="1"/>
  <c r="F352" i="7"/>
  <c r="H326" i="7"/>
  <c r="J326" i="7" s="1"/>
  <c r="F326" i="7"/>
  <c r="H325" i="7"/>
  <c r="J325" i="7" s="1"/>
  <c r="F325" i="7"/>
  <c r="H324" i="7"/>
  <c r="J324" i="7" s="1"/>
  <c r="F324" i="7"/>
  <c r="H323" i="7"/>
  <c r="J323" i="7" s="1"/>
  <c r="F323" i="7"/>
  <c r="H322" i="7"/>
  <c r="J322" i="7" s="1"/>
  <c r="F322" i="7"/>
  <c r="H320" i="7"/>
  <c r="J320" i="7" s="1"/>
  <c r="F320" i="7"/>
  <c r="H318" i="7"/>
  <c r="J318" i="7" s="1"/>
  <c r="F318" i="7"/>
  <c r="H317" i="7"/>
  <c r="J317" i="7" s="1"/>
  <c r="F317" i="7"/>
  <c r="H315" i="7"/>
  <c r="J315" i="7" s="1"/>
  <c r="F315" i="7"/>
  <c r="H313" i="7"/>
  <c r="J313" i="7" s="1"/>
  <c r="H312" i="7"/>
  <c r="J312" i="7" s="1"/>
  <c r="F312" i="7"/>
  <c r="H310" i="7"/>
  <c r="J310" i="7" s="1"/>
  <c r="F310" i="7"/>
  <c r="H305" i="7"/>
  <c r="J305" i="7" s="1"/>
  <c r="F305" i="7"/>
  <c r="H309" i="7"/>
  <c r="J309" i="7" s="1"/>
  <c r="H282" i="7"/>
  <c r="J282" i="7" s="1"/>
  <c r="F282" i="7"/>
  <c r="H278" i="7"/>
  <c r="J278" i="7" s="1"/>
  <c r="H275" i="7"/>
  <c r="J275" i="7" s="1"/>
  <c r="F275" i="7"/>
  <c r="H273" i="7"/>
  <c r="J273" i="7" s="1"/>
  <c r="F273" i="7"/>
  <c r="H265" i="7"/>
  <c r="J265" i="7" s="1"/>
  <c r="F265" i="7"/>
  <c r="H262" i="7"/>
  <c r="J262" i="7" s="1"/>
  <c r="F262" i="7"/>
  <c r="H258" i="7"/>
  <c r="J258" i="7" s="1"/>
  <c r="F258" i="7"/>
  <c r="H251" i="7"/>
  <c r="J251" i="7" s="1"/>
  <c r="F251" i="7"/>
  <c r="H250" i="7"/>
  <c r="J250" i="7" s="1"/>
  <c r="F250" i="7"/>
  <c r="H244" i="7"/>
  <c r="J244" i="7" s="1"/>
  <c r="H234" i="7"/>
  <c r="J234" i="7" s="1"/>
  <c r="F234" i="7"/>
  <c r="H237" i="7"/>
  <c r="J237" i="7" s="1"/>
  <c r="F237" i="7"/>
  <c r="H229" i="7"/>
  <c r="J229" i="7" s="1"/>
  <c r="F229" i="7"/>
  <c r="H228" i="7"/>
  <c r="J228" i="7" s="1"/>
  <c r="F228" i="7"/>
  <c r="H227" i="7"/>
  <c r="J227" i="7" s="1"/>
  <c r="F227" i="7"/>
  <c r="H225" i="7"/>
  <c r="J225" i="7" s="1"/>
  <c r="F225" i="7"/>
  <c r="H226" i="7"/>
  <c r="J226" i="7" s="1"/>
  <c r="F226" i="7"/>
  <c r="H224" i="7"/>
  <c r="J224" i="7" s="1"/>
  <c r="F224" i="7"/>
  <c r="H220" i="7"/>
  <c r="J220" i="7" s="1"/>
  <c r="F220" i="7"/>
  <c r="H217" i="7"/>
  <c r="J217" i="7" s="1"/>
  <c r="F217" i="7"/>
  <c r="H213" i="7"/>
  <c r="J213" i="7" s="1"/>
  <c r="F213" i="7"/>
  <c r="H212" i="7"/>
  <c r="J212" i="7" s="1"/>
  <c r="F212" i="7"/>
  <c r="H209" i="7"/>
  <c r="J209" i="7" s="1"/>
  <c r="F209" i="7"/>
  <c r="H206" i="7"/>
  <c r="J206" i="7" s="1"/>
  <c r="F206" i="7"/>
  <c r="H207" i="7"/>
  <c r="J207" i="7" s="1"/>
  <c r="F207" i="7"/>
  <c r="H204" i="7"/>
  <c r="J204" i="7" s="1"/>
  <c r="F204" i="7"/>
  <c r="H203" i="7"/>
  <c r="J203" i="7" s="1"/>
  <c r="F203" i="7"/>
  <c r="H201" i="7"/>
  <c r="J201" i="7" s="1"/>
  <c r="F201" i="7"/>
  <c r="H200" i="7"/>
  <c r="J200" i="7" s="1"/>
  <c r="F200" i="7"/>
  <c r="H196" i="7"/>
  <c r="J196" i="7" s="1"/>
  <c r="F196" i="7"/>
  <c r="H191" i="7"/>
  <c r="J191" i="7" s="1"/>
  <c r="F191" i="7"/>
  <c r="H188" i="7"/>
  <c r="J188" i="7" s="1"/>
  <c r="F188" i="7"/>
  <c r="H189" i="7"/>
  <c r="J189" i="7" s="1"/>
  <c r="F189" i="7"/>
  <c r="H186" i="7"/>
  <c r="J186" i="7" s="1"/>
  <c r="F186" i="7"/>
  <c r="H180" i="7"/>
  <c r="J180" i="7" s="1"/>
  <c r="F180" i="7"/>
  <c r="H179" i="7"/>
  <c r="J179" i="7" s="1"/>
  <c r="F179" i="7"/>
  <c r="H178" i="7"/>
  <c r="J178" i="7" s="1"/>
  <c r="F178" i="7"/>
  <c r="H174" i="7"/>
  <c r="J174" i="7" s="1"/>
  <c r="F174" i="7"/>
  <c r="H176" i="7"/>
  <c r="J176" i="7" s="1"/>
  <c r="F176" i="7"/>
  <c r="H171" i="7"/>
  <c r="J171" i="7" s="1"/>
  <c r="F171" i="7"/>
  <c r="H170" i="7"/>
  <c r="J170" i="7" s="1"/>
  <c r="F170" i="7"/>
  <c r="H168" i="7"/>
  <c r="J168" i="7" s="1"/>
  <c r="F168" i="7"/>
  <c r="H162" i="7"/>
  <c r="J162" i="7" s="1"/>
  <c r="F162" i="7"/>
  <c r="H159" i="7"/>
  <c r="J159" i="7" s="1"/>
  <c r="F159" i="7"/>
  <c r="H156" i="7"/>
  <c r="J156" i="7" s="1"/>
  <c r="F156" i="7"/>
  <c r="H154" i="7"/>
  <c r="J154" i="7" s="1"/>
  <c r="F154" i="7"/>
  <c r="H155" i="7"/>
  <c r="J155" i="7" s="1"/>
  <c r="F155" i="7"/>
  <c r="H153" i="7"/>
  <c r="J153" i="7" s="1"/>
  <c r="F153" i="7"/>
  <c r="H150" i="7"/>
  <c r="J150" i="7" s="1"/>
  <c r="F150" i="7"/>
  <c r="H147" i="7"/>
  <c r="J147" i="7" s="1"/>
  <c r="F147" i="7"/>
  <c r="H144" i="7"/>
  <c r="J144" i="7" s="1"/>
  <c r="F144" i="7"/>
  <c r="H142" i="7"/>
  <c r="J142" i="7" s="1"/>
  <c r="F142" i="7"/>
  <c r="H140" i="7"/>
  <c r="J140" i="7" s="1"/>
  <c r="F140" i="7"/>
  <c r="H141" i="7"/>
  <c r="J141" i="7" s="1"/>
  <c r="F141" i="7"/>
  <c r="H134" i="7"/>
  <c r="J134" i="7" s="1"/>
  <c r="F134" i="7"/>
  <c r="H136" i="7"/>
  <c r="J136" i="7" s="1"/>
  <c r="F136" i="7"/>
  <c r="H133" i="7"/>
  <c r="J133" i="7" s="1"/>
  <c r="F133" i="7"/>
  <c r="H125" i="7"/>
  <c r="J125" i="7" s="1"/>
  <c r="F125" i="7"/>
  <c r="H126" i="7"/>
  <c r="J126" i="7" s="1"/>
  <c r="F126" i="7"/>
  <c r="H124" i="7"/>
  <c r="J124" i="7" s="1"/>
  <c r="F124" i="7"/>
  <c r="H122" i="7"/>
  <c r="J122" i="7" s="1"/>
  <c r="F122" i="7"/>
  <c r="H118" i="7"/>
  <c r="J118" i="7" s="1"/>
  <c r="F118" i="7"/>
  <c r="H121" i="7"/>
  <c r="J121" i="7" s="1"/>
  <c r="F121" i="7"/>
  <c r="H120" i="7"/>
  <c r="J120" i="7" s="1"/>
  <c r="F120" i="7"/>
  <c r="H115" i="7"/>
  <c r="J115" i="7" s="1"/>
  <c r="F115" i="7"/>
  <c r="H117" i="7"/>
  <c r="J117" i="7" s="1"/>
  <c r="F117" i="7"/>
  <c r="H112" i="7"/>
  <c r="J112" i="7" s="1"/>
  <c r="F112" i="7"/>
  <c r="H114" i="7"/>
  <c r="J114" i="7" s="1"/>
  <c r="F114" i="7"/>
  <c r="H113" i="7"/>
  <c r="J113" i="7" s="1"/>
  <c r="F113" i="7"/>
  <c r="H109" i="7"/>
  <c r="J109" i="7" s="1"/>
  <c r="F109" i="7"/>
  <c r="H111" i="7"/>
  <c r="J111" i="7" s="1"/>
  <c r="F111" i="7"/>
  <c r="H105" i="7"/>
  <c r="J105" i="7" s="1"/>
  <c r="F105" i="7"/>
  <c r="H104" i="7"/>
  <c r="J104" i="7" s="1"/>
  <c r="F104" i="7"/>
  <c r="H103" i="7"/>
  <c r="J103" i="7" s="1"/>
  <c r="F103" i="7"/>
  <c r="H98" i="7"/>
  <c r="J98" i="7" s="1"/>
  <c r="F98" i="7"/>
  <c r="H97" i="7"/>
  <c r="J97" i="7" s="1"/>
  <c r="F97" i="7"/>
  <c r="H94" i="7"/>
  <c r="J94" i="7" s="1"/>
  <c r="F94" i="7"/>
  <c r="H85" i="7"/>
  <c r="J85" i="7" s="1"/>
  <c r="F85" i="7"/>
  <c r="H65" i="7"/>
  <c r="J65" i="7" s="1"/>
  <c r="H56" i="7"/>
  <c r="J56" i="7" s="1"/>
  <c r="F56" i="7"/>
  <c r="H46" i="7"/>
  <c r="J46" i="7" s="1"/>
  <c r="F46" i="7"/>
  <c r="H43" i="7"/>
  <c r="J43" i="7" s="1"/>
  <c r="F43" i="7"/>
  <c r="H41" i="7"/>
  <c r="J41" i="7" s="1"/>
  <c r="F41" i="7"/>
  <c r="H33" i="7"/>
  <c r="J33" i="7" s="1"/>
  <c r="F33" i="7"/>
  <c r="H34" i="7"/>
  <c r="J34" i="7" s="1"/>
  <c r="F34" i="7"/>
  <c r="H32" i="7"/>
  <c r="J32" i="7" s="1"/>
  <c r="H29" i="7"/>
  <c r="J29" i="7" s="1"/>
  <c r="F29" i="7"/>
  <c r="H26" i="7"/>
  <c r="J26" i="7" s="1"/>
  <c r="H25" i="7"/>
  <c r="J25" i="7" s="1"/>
  <c r="F25" i="7"/>
  <c r="H6" i="7"/>
  <c r="J6" i="7" s="1"/>
  <c r="F6" i="7"/>
  <c r="H512" i="7"/>
  <c r="J512" i="7" s="1"/>
  <c r="F512" i="7"/>
  <c r="H511" i="7"/>
  <c r="J511" i="7" s="1"/>
  <c r="F511" i="7"/>
  <c r="H510" i="7"/>
  <c r="J510" i="7" s="1"/>
  <c r="F510" i="7"/>
  <c r="H509" i="7"/>
  <c r="J509" i="7" s="1"/>
  <c r="F509" i="7"/>
  <c r="H504" i="7"/>
  <c r="J504" i="7" s="1"/>
  <c r="F504" i="7"/>
  <c r="H499" i="7"/>
  <c r="J499" i="7" s="1"/>
  <c r="F499" i="7"/>
  <c r="H494" i="7"/>
  <c r="J494" i="7" s="1"/>
  <c r="F494" i="7"/>
  <c r="H479" i="7"/>
  <c r="J479" i="7" s="1"/>
  <c r="F479" i="7"/>
  <c r="H477" i="7"/>
  <c r="J477" i="7" s="1"/>
  <c r="F477" i="7"/>
  <c r="H471" i="7"/>
  <c r="J471" i="7" s="1"/>
  <c r="F471" i="7"/>
  <c r="H470" i="7"/>
  <c r="J470" i="7" s="1"/>
  <c r="F470" i="7"/>
  <c r="H465" i="7"/>
  <c r="J465" i="7" s="1"/>
  <c r="H460" i="7"/>
  <c r="J460" i="7" s="1"/>
  <c r="F460" i="7"/>
  <c r="H457" i="7"/>
  <c r="J457" i="7" s="1"/>
  <c r="H425" i="7"/>
  <c r="J425" i="7" s="1"/>
  <c r="F425" i="7"/>
  <c r="H416" i="7"/>
  <c r="J416" i="7" s="1"/>
  <c r="F416" i="7"/>
  <c r="H415" i="7"/>
  <c r="J415" i="7" s="1"/>
  <c r="F415" i="7"/>
  <c r="H405" i="7"/>
  <c r="J405" i="7" s="1"/>
  <c r="F405" i="7"/>
  <c r="H403" i="7"/>
  <c r="J403" i="7" s="1"/>
  <c r="F403" i="7"/>
  <c r="H401" i="7"/>
  <c r="J401" i="7" s="1"/>
  <c r="F401" i="7"/>
  <c r="H392" i="7"/>
  <c r="J392" i="7" s="1"/>
  <c r="F392" i="7"/>
  <c r="H378" i="7"/>
  <c r="J378" i="7" s="1"/>
  <c r="H365" i="7"/>
  <c r="J365" i="7" s="1"/>
  <c r="F365" i="7"/>
  <c r="H363" i="7"/>
  <c r="J363" i="7" s="1"/>
  <c r="F363" i="7"/>
  <c r="H362" i="7"/>
  <c r="J362" i="7" s="1"/>
  <c r="F362" i="7"/>
  <c r="H349" i="7"/>
  <c r="J349" i="7" s="1"/>
  <c r="F349" i="7"/>
  <c r="H348" i="7"/>
  <c r="J348" i="7" s="1"/>
  <c r="F348" i="7"/>
  <c r="H338" i="7"/>
  <c r="J338" i="7" s="1"/>
  <c r="F338" i="7"/>
  <c r="H321" i="7"/>
  <c r="J321" i="7" s="1"/>
  <c r="H311" i="7"/>
  <c r="J311" i="7" s="1"/>
  <c r="F311" i="7"/>
  <c r="H299" i="7"/>
  <c r="J299" i="7" s="1"/>
  <c r="H291" i="7"/>
  <c r="J291" i="7" s="1"/>
  <c r="H289" i="7"/>
  <c r="J289" i="7" s="1"/>
  <c r="F289" i="7"/>
  <c r="H283" i="7"/>
  <c r="J283" i="7" s="1"/>
  <c r="F283" i="7"/>
  <c r="H279" i="7"/>
  <c r="J279" i="7" s="1"/>
  <c r="F279" i="7"/>
  <c r="H277" i="7"/>
  <c r="J277" i="7" s="1"/>
  <c r="F277" i="7"/>
  <c r="H274" i="7"/>
  <c r="J274" i="7" s="1"/>
  <c r="H272" i="7"/>
  <c r="J272" i="7" s="1"/>
  <c r="H268" i="7"/>
  <c r="J268" i="7" s="1"/>
  <c r="F268" i="7"/>
  <c r="H261" i="7"/>
  <c r="J261" i="7" s="1"/>
  <c r="F261" i="7"/>
  <c r="H255" i="7"/>
  <c r="J255" i="7" s="1"/>
  <c r="F255" i="7"/>
  <c r="H254" i="7"/>
  <c r="J254" i="7" s="1"/>
  <c r="H252" i="7"/>
  <c r="J252" i="7" s="1"/>
  <c r="F252" i="7"/>
  <c r="H248" i="7"/>
  <c r="J248" i="7" s="1"/>
  <c r="F248" i="7"/>
  <c r="H247" i="7"/>
  <c r="J247" i="7" s="1"/>
  <c r="F247" i="7"/>
  <c r="H236" i="7"/>
  <c r="J236" i="7" s="1"/>
  <c r="F236" i="7"/>
  <c r="H235" i="7"/>
  <c r="J235" i="7" s="1"/>
  <c r="F235" i="7"/>
  <c r="H230" i="7"/>
  <c r="J230" i="7" s="1"/>
  <c r="F230" i="7"/>
  <c r="H219" i="7"/>
  <c r="J219" i="7" s="1"/>
  <c r="F219" i="7"/>
  <c r="H214" i="7"/>
  <c r="J214" i="7" s="1"/>
  <c r="F214" i="7"/>
  <c r="H195" i="7"/>
  <c r="J195" i="7" s="1"/>
  <c r="H192" i="7"/>
  <c r="J192" i="7" s="1"/>
  <c r="F192" i="7"/>
  <c r="H185" i="7"/>
  <c r="J185" i="7" s="1"/>
  <c r="F185" i="7"/>
  <c r="H175" i="7"/>
  <c r="J175" i="7" s="1"/>
  <c r="F175" i="7"/>
  <c r="H164" i="7"/>
  <c r="J164" i="7" s="1"/>
  <c r="F164" i="7"/>
  <c r="H158" i="7"/>
  <c r="J158" i="7" s="1"/>
  <c r="H145" i="7"/>
  <c r="J145" i="7" s="1"/>
  <c r="H119" i="7"/>
  <c r="J119" i="7" s="1"/>
  <c r="F119" i="7"/>
  <c r="H102" i="7"/>
  <c r="J102" i="7" s="1"/>
  <c r="F102" i="7"/>
  <c r="H101" i="7"/>
  <c r="J101" i="7" s="1"/>
  <c r="F101" i="7"/>
  <c r="H100" i="7"/>
  <c r="J100" i="7" s="1"/>
  <c r="F100" i="7"/>
  <c r="H96" i="7"/>
  <c r="J96" i="7" s="1"/>
  <c r="H93" i="7"/>
  <c r="J93" i="7" s="1"/>
  <c r="F93" i="7"/>
  <c r="H89" i="7"/>
  <c r="J89" i="7" s="1"/>
  <c r="F89" i="7"/>
  <c r="H81" i="7"/>
  <c r="J81" i="7" s="1"/>
  <c r="H77" i="7"/>
  <c r="J77" i="7" s="1"/>
  <c r="F77" i="7"/>
  <c r="H73" i="7"/>
  <c r="J73" i="7" s="1"/>
  <c r="F73" i="7"/>
  <c r="H72" i="7"/>
  <c r="J72" i="7" s="1"/>
  <c r="F72" i="7"/>
  <c r="H68" i="7"/>
  <c r="J68" i="7" s="1"/>
  <c r="F68" i="7"/>
  <c r="H67" i="7"/>
  <c r="J67" i="7" s="1"/>
  <c r="F67" i="7"/>
  <c r="H66" i="7"/>
  <c r="J66" i="7" s="1"/>
  <c r="F66" i="7"/>
  <c r="H44" i="7"/>
  <c r="J44" i="7" s="1"/>
  <c r="F44" i="7"/>
  <c r="H42" i="7"/>
  <c r="J42" i="7" s="1"/>
  <c r="F42" i="7"/>
  <c r="H38" i="7"/>
  <c r="J38" i="7" s="1"/>
  <c r="F38" i="7"/>
  <c r="H31" i="7"/>
  <c r="J31" i="7" s="1"/>
  <c r="F31" i="7"/>
  <c r="H30" i="7"/>
  <c r="J30" i="7" s="1"/>
  <c r="F30" i="7"/>
  <c r="H28" i="7"/>
  <c r="J28" i="7" s="1"/>
  <c r="F28" i="7"/>
  <c r="H23" i="7"/>
  <c r="J23" i="7" s="1"/>
  <c r="F23" i="7"/>
  <c r="H22" i="7"/>
  <c r="J22" i="7" s="1"/>
  <c r="F22" i="7"/>
  <c r="H20" i="7"/>
  <c r="J20" i="7" s="1"/>
  <c r="F20" i="7"/>
  <c r="H18" i="7"/>
  <c r="J18" i="7" s="1"/>
  <c r="F18" i="7"/>
  <c r="H17" i="7"/>
  <c r="J17" i="7" s="1"/>
  <c r="F17" i="7"/>
  <c r="H16" i="7"/>
  <c r="J16" i="7" s="1"/>
  <c r="F16" i="7"/>
  <c r="H14" i="7"/>
  <c r="J14" i="7" s="1"/>
  <c r="F14" i="7"/>
  <c r="H12" i="7"/>
  <c r="J12" i="7" s="1"/>
  <c r="F12" i="7"/>
  <c r="H10" i="7"/>
  <c r="J10" i="7" s="1"/>
  <c r="F10" i="7"/>
  <c r="H463" i="7"/>
  <c r="J463" i="7" s="1"/>
  <c r="F463" i="7"/>
  <c r="H428" i="7"/>
  <c r="J428" i="7" s="1"/>
  <c r="F428" i="7"/>
  <c r="H408" i="7"/>
  <c r="J408" i="7" s="1"/>
  <c r="F408" i="7"/>
  <c r="H350" i="7"/>
  <c r="J350" i="7" s="1"/>
  <c r="F350" i="7"/>
  <c r="H340" i="7"/>
  <c r="J340" i="7" s="1"/>
  <c r="F340" i="7"/>
  <c r="H508" i="7"/>
  <c r="J508" i="7" s="1"/>
  <c r="F508" i="7"/>
  <c r="H507" i="7"/>
  <c r="J507" i="7" s="1"/>
  <c r="F507" i="7"/>
  <c r="H458" i="7"/>
  <c r="J458" i="7" s="1"/>
  <c r="F458" i="7"/>
  <c r="H413" i="7"/>
  <c r="J413" i="7" s="1"/>
  <c r="F413" i="7"/>
  <c r="H412" i="7"/>
  <c r="J412" i="7" s="1"/>
  <c r="F412" i="7"/>
  <c r="H351" i="7"/>
  <c r="J351" i="7" s="1"/>
  <c r="F351" i="7"/>
  <c r="H314" i="7"/>
  <c r="J314" i="7" s="1"/>
  <c r="F314" i="7"/>
  <c r="H301" i="7"/>
  <c r="J301" i="7" s="1"/>
  <c r="F301" i="7"/>
  <c r="H285" i="7"/>
  <c r="J285" i="7" s="1"/>
  <c r="F285" i="7"/>
  <c r="H249" i="7"/>
  <c r="J249" i="7" s="1"/>
  <c r="F249" i="7"/>
  <c r="H233" i="7"/>
  <c r="J233" i="7" s="1"/>
  <c r="F233" i="7"/>
  <c r="H216" i="7"/>
  <c r="J216" i="7" s="1"/>
  <c r="F216" i="7"/>
  <c r="H208" i="7"/>
  <c r="J208" i="7" s="1"/>
  <c r="H205" i="7"/>
  <c r="J205" i="7" s="1"/>
  <c r="H187" i="7"/>
  <c r="J187" i="7" s="1"/>
  <c r="F187" i="7"/>
  <c r="H182" i="7"/>
  <c r="J182" i="7" s="1"/>
  <c r="H173" i="7"/>
  <c r="J173" i="7" s="1"/>
  <c r="F173" i="7"/>
  <c r="H169" i="7"/>
  <c r="J169" i="7" s="1"/>
  <c r="F169" i="7"/>
  <c r="H166" i="7"/>
  <c r="J166" i="7" s="1"/>
  <c r="F166" i="7"/>
  <c r="H163" i="7"/>
  <c r="J163" i="7" s="1"/>
  <c r="F163" i="7"/>
  <c r="H161" i="7"/>
  <c r="J161" i="7" s="1"/>
  <c r="F161" i="7"/>
  <c r="H149" i="7"/>
  <c r="J149" i="7" s="1"/>
  <c r="F149" i="7"/>
  <c r="H132" i="7"/>
  <c r="J132" i="7" s="1"/>
  <c r="F132" i="7"/>
  <c r="H123" i="7"/>
  <c r="J123" i="7" s="1"/>
  <c r="F123" i="7"/>
  <c r="H99" i="7"/>
  <c r="J99" i="7" s="1"/>
  <c r="F99" i="7"/>
  <c r="H90" i="7"/>
  <c r="J90" i="7" s="1"/>
  <c r="H78" i="7"/>
  <c r="J78" i="7" s="1"/>
  <c r="F78" i="7"/>
  <c r="H74" i="7"/>
  <c r="J74" i="7" s="1"/>
  <c r="F74" i="7"/>
  <c r="H64" i="7"/>
  <c r="J64" i="7" s="1"/>
  <c r="F64" i="7"/>
  <c r="H62" i="7"/>
  <c r="J62" i="7" s="1"/>
  <c r="F62" i="7"/>
  <c r="H60" i="7"/>
  <c r="J60" i="7" s="1"/>
  <c r="F60" i="7"/>
  <c r="H59" i="7"/>
  <c r="J59" i="7" s="1"/>
  <c r="F59" i="7"/>
  <c r="H58" i="7"/>
  <c r="J58" i="7" s="1"/>
  <c r="H57" i="7"/>
  <c r="J57" i="7" s="1"/>
  <c r="F57" i="7"/>
  <c r="H55" i="7"/>
  <c r="J55" i="7" s="1"/>
  <c r="F55" i="7"/>
  <c r="H54" i="7"/>
  <c r="J54" i="7" s="1"/>
  <c r="F54" i="7"/>
  <c r="H52" i="7"/>
  <c r="J52" i="7" s="1"/>
  <c r="F52" i="7"/>
  <c r="H50" i="7"/>
  <c r="J50" i="7" s="1"/>
  <c r="F50" i="7"/>
  <c r="H49" i="7"/>
  <c r="J49" i="7" s="1"/>
  <c r="H48" i="7"/>
  <c r="J48" i="7" s="1"/>
  <c r="F48" i="7"/>
  <c r="H37" i="7"/>
  <c r="J37" i="7" s="1"/>
  <c r="F37" i="7"/>
  <c r="H5" i="7"/>
  <c r="J5" i="7" s="1"/>
  <c r="F5" i="7"/>
  <c r="H519" i="7"/>
  <c r="J519" i="7" s="1"/>
  <c r="F519" i="7"/>
  <c r="H464" i="7"/>
  <c r="J464" i="7" s="1"/>
  <c r="F464" i="7"/>
  <c r="H410" i="7"/>
  <c r="J410" i="7" s="1"/>
  <c r="F410" i="7"/>
  <c r="H360" i="7"/>
  <c r="J360" i="7" s="1"/>
  <c r="F360" i="7"/>
  <c r="H337" i="7"/>
  <c r="J337" i="7" s="1"/>
  <c r="F337" i="7"/>
  <c r="H288" i="7"/>
  <c r="J288" i="7" s="1"/>
  <c r="F288" i="7"/>
  <c r="H242" i="7"/>
  <c r="J242" i="7" s="1"/>
  <c r="F242" i="7"/>
  <c r="H88" i="7"/>
  <c r="J88" i="7" s="1"/>
  <c r="F88" i="7"/>
  <c r="H45" i="7"/>
  <c r="J45" i="7" s="1"/>
  <c r="F45" i="7"/>
  <c r="H481" i="7"/>
  <c r="J481" i="7" s="1"/>
  <c r="F481" i="7"/>
  <c r="H71" i="7"/>
  <c r="J71" i="7" s="1"/>
  <c r="F71" i="7"/>
  <c r="H39" i="7"/>
  <c r="J39" i="7" s="1"/>
  <c r="F39" i="7"/>
  <c r="A501" i="1" l="1"/>
  <c r="A502" i="1"/>
  <c r="A503" i="1"/>
  <c r="A504" i="1"/>
  <c r="A499" i="1"/>
  <c r="A488" i="1"/>
  <c r="A456" i="1"/>
  <c r="A433" i="1"/>
  <c r="A414" i="1"/>
  <c r="A402" i="1"/>
  <c r="A392" i="1"/>
  <c r="A372" i="1"/>
  <c r="A359" i="1"/>
  <c r="A348" i="1"/>
  <c r="A338" i="1"/>
  <c r="A328" i="1"/>
  <c r="A317" i="1"/>
  <c r="A307" i="1"/>
  <c r="A297" i="1"/>
  <c r="A277" i="1"/>
  <c r="A257" i="1"/>
  <c r="A247" i="1"/>
  <c r="A238" i="1"/>
  <c r="A217" i="1"/>
  <c r="A209" i="1"/>
  <c r="A197" i="1"/>
  <c r="A186" i="1"/>
  <c r="A174" i="1"/>
  <c r="A164" i="1"/>
  <c r="A154" i="1"/>
  <c r="A143" i="1"/>
  <c r="A131" i="1"/>
  <c r="A121" i="1"/>
  <c r="A111" i="1"/>
  <c r="A452" i="1"/>
  <c r="A314" i="1"/>
  <c r="A225" i="1"/>
  <c r="A171" i="1"/>
  <c r="A495" i="1"/>
  <c r="A398" i="1"/>
  <c r="A138" i="1"/>
  <c r="A498" i="1"/>
  <c r="A487" i="1"/>
  <c r="A478" i="1"/>
  <c r="A467" i="1"/>
  <c r="A455" i="1"/>
  <c r="A425" i="1"/>
  <c r="A401" i="1"/>
  <c r="A381" i="1"/>
  <c r="A371" i="1"/>
  <c r="A347" i="1"/>
  <c r="A337" i="1"/>
  <c r="A327" i="1"/>
  <c r="A306" i="1"/>
  <c r="A296" i="1"/>
  <c r="A286" i="1"/>
  <c r="A276" i="1"/>
  <c r="A267" i="1"/>
  <c r="A246" i="1"/>
  <c r="A228" i="1"/>
  <c r="A208" i="1"/>
  <c r="A196" i="1"/>
  <c r="A185" i="1"/>
  <c r="A173" i="1"/>
  <c r="A163" i="1"/>
  <c r="A142" i="1"/>
  <c r="A120" i="1"/>
  <c r="A110" i="1"/>
  <c r="A463" i="1"/>
  <c r="A421" i="1"/>
  <c r="A399" i="1"/>
  <c r="A356" i="1"/>
  <c r="A284" i="1"/>
  <c r="A234" i="1"/>
  <c r="A128" i="1"/>
  <c r="A473" i="1"/>
  <c r="A410" i="1"/>
  <c r="A283" i="1"/>
  <c r="A224" i="1"/>
  <c r="A170" i="1"/>
  <c r="A477" i="1"/>
  <c r="A466" i="1"/>
  <c r="A454" i="1"/>
  <c r="A444" i="1"/>
  <c r="A424" i="1"/>
  <c r="A413" i="1"/>
  <c r="A391" i="1"/>
  <c r="A380" i="1"/>
  <c r="A370" i="1"/>
  <c r="A346" i="1"/>
  <c r="A336" i="1"/>
  <c r="A305" i="1"/>
  <c r="A285" i="1"/>
  <c r="A275" i="1"/>
  <c r="A266" i="1"/>
  <c r="A245" i="1"/>
  <c r="A237" i="1"/>
  <c r="A227" i="1"/>
  <c r="A207" i="1"/>
  <c r="A184" i="1"/>
  <c r="A162" i="1"/>
  <c r="A153" i="1"/>
  <c r="A141" i="1"/>
  <c r="A119" i="1"/>
  <c r="A109" i="1"/>
  <c r="A474" i="1"/>
  <c r="A388" i="1"/>
  <c r="A333" i="1"/>
  <c r="A244" i="1"/>
  <c r="A193" i="1"/>
  <c r="A106" i="1"/>
  <c r="A462" i="1"/>
  <c r="A378" i="1"/>
  <c r="A181" i="1"/>
  <c r="A127" i="1"/>
  <c r="A497" i="1"/>
  <c r="A476" i="1"/>
  <c r="A465" i="1"/>
  <c r="A443" i="1"/>
  <c r="A432" i="1"/>
  <c r="A423" i="1"/>
  <c r="A412" i="1"/>
  <c r="A390" i="1"/>
  <c r="A379" i="1"/>
  <c r="A369" i="1"/>
  <c r="A358" i="1"/>
  <c r="A335" i="1"/>
  <c r="A316" i="1"/>
  <c r="A304" i="1"/>
  <c r="A295" i="1"/>
  <c r="A274" i="1"/>
  <c r="A256" i="1"/>
  <c r="A236" i="1"/>
  <c r="A226" i="1"/>
  <c r="A216" i="1"/>
  <c r="A206" i="1"/>
  <c r="A195" i="1"/>
  <c r="A183" i="1"/>
  <c r="A161" i="1"/>
  <c r="A152" i="1"/>
  <c r="A140" i="1"/>
  <c r="A130" i="1"/>
  <c r="A118" i="1"/>
  <c r="A108" i="1"/>
  <c r="A485" i="1"/>
  <c r="A441" i="1"/>
  <c r="A411" i="1"/>
  <c r="A302" i="1"/>
  <c r="A254" i="1"/>
  <c r="A139" i="1"/>
  <c r="A451" i="1"/>
  <c r="A440" i="1"/>
  <c r="A387" i="1"/>
  <c r="A355" i="1"/>
  <c r="A325" i="1"/>
  <c r="A293" i="1"/>
  <c r="A263" i="1"/>
  <c r="A233" i="1"/>
  <c r="A192" i="1"/>
  <c r="A105" i="1"/>
  <c r="A496" i="1"/>
  <c r="A486" i="1"/>
  <c r="A475" i="1"/>
  <c r="A464" i="1"/>
  <c r="A453" i="1"/>
  <c r="A442" i="1"/>
  <c r="A431" i="1"/>
  <c r="A422" i="1"/>
  <c r="A400" i="1"/>
  <c r="A389" i="1"/>
  <c r="A368" i="1"/>
  <c r="A357" i="1"/>
  <c r="A345" i="1"/>
  <c r="A334" i="1"/>
  <c r="A326" i="1"/>
  <c r="A315" i="1"/>
  <c r="A303" i="1"/>
  <c r="A294" i="1"/>
  <c r="A273" i="1"/>
  <c r="A265" i="1"/>
  <c r="A255" i="1"/>
  <c r="A235" i="1"/>
  <c r="A215" i="1"/>
  <c r="A205" i="1"/>
  <c r="A194" i="1"/>
  <c r="A182" i="1"/>
  <c r="A172" i="1"/>
  <c r="A160" i="1"/>
  <c r="A151" i="1"/>
  <c r="A129" i="1"/>
  <c r="A117" i="1"/>
  <c r="A107" i="1"/>
  <c r="A264" i="1"/>
  <c r="A204" i="1"/>
  <c r="A150" i="1"/>
  <c r="A484" i="1"/>
  <c r="A420" i="1"/>
  <c r="A367" i="1"/>
  <c r="A301" i="1"/>
  <c r="A243" i="1"/>
  <c r="A203" i="1"/>
  <c r="A149" i="1"/>
  <c r="A492" i="1"/>
  <c r="A472" i="1"/>
  <c r="A459" i="1"/>
  <c r="A448" i="1"/>
  <c r="A438" i="1"/>
  <c r="A428" i="1"/>
  <c r="A417" i="1"/>
  <c r="A407" i="1"/>
  <c r="A396" i="1"/>
  <c r="A386" i="1"/>
  <c r="A375" i="1"/>
  <c r="A364" i="1"/>
  <c r="A353" i="1"/>
  <c r="A342" i="1"/>
  <c r="A331" i="1"/>
  <c r="A322" i="1"/>
  <c r="A300" i="1"/>
  <c r="A290" i="1"/>
  <c r="A281" i="1"/>
  <c r="A260" i="1"/>
  <c r="A242" i="1"/>
  <c r="A222" i="1"/>
  <c r="A212" i="1"/>
  <c r="A189" i="1"/>
  <c r="A146" i="1"/>
  <c r="A135" i="1"/>
  <c r="A114" i="1"/>
  <c r="A481" i="1"/>
  <c r="A471" i="1"/>
  <c r="A447" i="1"/>
  <c r="A437" i="1"/>
  <c r="A427" i="1"/>
  <c r="A406" i="1"/>
  <c r="A385" i="1"/>
  <c r="A374" i="1"/>
  <c r="A363" i="1"/>
  <c r="A352" i="1"/>
  <c r="A341" i="1"/>
  <c r="A321" i="1"/>
  <c r="A311" i="1"/>
  <c r="A299" i="1"/>
  <c r="A289" i="1"/>
  <c r="A280" i="1"/>
  <c r="A259" i="1"/>
  <c r="A251" i="1"/>
  <c r="A241" i="1"/>
  <c r="A221" i="1"/>
  <c r="A188" i="1"/>
  <c r="A178" i="1"/>
  <c r="A167" i="1"/>
  <c r="A158" i="1"/>
  <c r="A145" i="1"/>
  <c r="A134" i="1"/>
  <c r="A125" i="1"/>
  <c r="A491" i="1"/>
  <c r="A480" i="1"/>
  <c r="A470" i="1"/>
  <c r="A446" i="1"/>
  <c r="A436" i="1"/>
  <c r="A405" i="1"/>
  <c r="A395" i="1"/>
  <c r="A384" i="1"/>
  <c r="A494" i="1"/>
  <c r="A458" i="1"/>
  <c r="A419" i="1"/>
  <c r="A383" i="1"/>
  <c r="A351" i="1"/>
  <c r="A323" i="1"/>
  <c r="A292" i="1"/>
  <c r="A268" i="1"/>
  <c r="A211" i="1"/>
  <c r="A179" i="1"/>
  <c r="A148" i="1"/>
  <c r="A122" i="1"/>
  <c r="A366" i="1"/>
  <c r="A133" i="1"/>
  <c r="A435" i="1"/>
  <c r="A165" i="1"/>
  <c r="A324" i="1"/>
  <c r="A493" i="1"/>
  <c r="A457" i="1"/>
  <c r="A418" i="1"/>
  <c r="A382" i="1"/>
  <c r="A350" i="1"/>
  <c r="A320" i="1"/>
  <c r="A291" i="1"/>
  <c r="A262" i="1"/>
  <c r="A239" i="1"/>
  <c r="A210" i="1"/>
  <c r="A177" i="1"/>
  <c r="A147" i="1"/>
  <c r="A116" i="1"/>
  <c r="A339" i="1"/>
  <c r="A309" i="1"/>
  <c r="A198" i="1"/>
  <c r="A223" i="1"/>
  <c r="A490" i="1"/>
  <c r="A450" i="1"/>
  <c r="A416" i="1"/>
  <c r="A377" i="1"/>
  <c r="A349" i="1"/>
  <c r="A319" i="1"/>
  <c r="A288" i="1"/>
  <c r="A261" i="1"/>
  <c r="A232" i="1"/>
  <c r="A176" i="1"/>
  <c r="A115" i="1"/>
  <c r="A403" i="1"/>
  <c r="A279" i="1"/>
  <c r="A298" i="1"/>
  <c r="A489" i="1"/>
  <c r="A449" i="1"/>
  <c r="A415" i="1"/>
  <c r="A376" i="1"/>
  <c r="A344" i="1"/>
  <c r="A318" i="1"/>
  <c r="A287" i="1"/>
  <c r="A231" i="1"/>
  <c r="A202" i="1"/>
  <c r="A175" i="1"/>
  <c r="A113" i="1"/>
  <c r="A439" i="1"/>
  <c r="A308" i="1"/>
  <c r="A191" i="1"/>
  <c r="A426" i="1"/>
  <c r="A483" i="1"/>
  <c r="A409" i="1"/>
  <c r="A373" i="1"/>
  <c r="A343" i="1"/>
  <c r="A313" i="1"/>
  <c r="A230" i="1"/>
  <c r="A201" i="1"/>
  <c r="A169" i="1"/>
  <c r="A144" i="1"/>
  <c r="A112" i="1"/>
  <c r="A482" i="1"/>
  <c r="A445" i="1"/>
  <c r="A408" i="1"/>
  <c r="A340" i="1"/>
  <c r="A312" i="1"/>
  <c r="A282" i="1"/>
  <c r="A258" i="1"/>
  <c r="A229" i="1"/>
  <c r="A200" i="1"/>
  <c r="A168" i="1"/>
  <c r="A137" i="1"/>
  <c r="A479" i="1"/>
  <c r="A404" i="1"/>
  <c r="A310" i="1"/>
  <c r="A253" i="1"/>
  <c r="A199" i="1"/>
  <c r="A166" i="1"/>
  <c r="A136" i="1"/>
  <c r="A252" i="1"/>
  <c r="A365" i="1"/>
  <c r="A250" i="1"/>
  <c r="A434" i="1"/>
  <c r="A397" i="1"/>
  <c r="A362" i="1"/>
  <c r="A332" i="1"/>
  <c r="A278" i="1"/>
  <c r="A249" i="1"/>
  <c r="A220" i="1"/>
  <c r="A190" i="1"/>
  <c r="A159" i="1"/>
  <c r="A132" i="1"/>
  <c r="A469" i="1"/>
  <c r="A430" i="1"/>
  <c r="A394" i="1"/>
  <c r="A361" i="1"/>
  <c r="A272" i="1"/>
  <c r="A248" i="1"/>
  <c r="A219" i="1"/>
  <c r="A187" i="1"/>
  <c r="A468" i="1"/>
  <c r="A429" i="1"/>
  <c r="A393" i="1"/>
  <c r="A360" i="1"/>
  <c r="A330" i="1"/>
  <c r="A271" i="1"/>
  <c r="A218" i="1"/>
  <c r="A157" i="1"/>
  <c r="A126" i="1"/>
  <c r="A461" i="1"/>
  <c r="A354" i="1"/>
  <c r="A329" i="1"/>
  <c r="A270" i="1"/>
  <c r="A214" i="1"/>
  <c r="A156" i="1"/>
  <c r="A124" i="1"/>
  <c r="A460" i="1"/>
  <c r="A269" i="1"/>
  <c r="A240" i="1"/>
  <c r="A213" i="1"/>
  <c r="A180" i="1"/>
  <c r="A155" i="1"/>
  <c r="A123" i="1"/>
  <c r="A14" i="1"/>
  <c r="B14" i="1" s="1"/>
  <c r="C6" i="8"/>
  <c r="Q125" i="11"/>
  <c r="A88" i="1"/>
  <c r="B88" i="1" s="1"/>
  <c r="A24" i="1"/>
  <c r="B24" i="1" s="1"/>
  <c r="A85" i="1"/>
  <c r="B85" i="1" s="1"/>
  <c r="A21" i="1"/>
  <c r="B21" i="1" s="1"/>
  <c r="A104" i="1"/>
  <c r="B104" i="1" s="1"/>
  <c r="A40" i="1"/>
  <c r="B40" i="1" s="1"/>
  <c r="A101" i="1"/>
  <c r="B101" i="1" s="1"/>
  <c r="A37" i="1"/>
  <c r="A72" i="1"/>
  <c r="B72" i="1" s="1"/>
  <c r="A8" i="1"/>
  <c r="C8" i="1" s="1"/>
  <c r="A69" i="1"/>
  <c r="B69" i="1" s="1"/>
  <c r="A56" i="1"/>
  <c r="B56" i="1" s="1"/>
  <c r="A53" i="1"/>
  <c r="B53" i="1" s="1"/>
  <c r="A103" i="1"/>
  <c r="B103" i="1" s="1"/>
  <c r="A87" i="1"/>
  <c r="A71" i="1"/>
  <c r="B71" i="1" s="1"/>
  <c r="A55" i="1"/>
  <c r="B55" i="1" s="1"/>
  <c r="A39" i="1"/>
  <c r="B39" i="1" s="1"/>
  <c r="A23" i="1"/>
  <c r="A7" i="1"/>
  <c r="A98" i="1"/>
  <c r="B98" i="1" s="1"/>
  <c r="A82" i="1"/>
  <c r="B82" i="1" s="1"/>
  <c r="A66" i="1"/>
  <c r="A50" i="1"/>
  <c r="B50" i="1" s="1"/>
  <c r="A34" i="1"/>
  <c r="B34" i="1" s="1"/>
  <c r="A18" i="1"/>
  <c r="B18" i="1" s="1"/>
  <c r="A96" i="1"/>
  <c r="A80" i="1"/>
  <c r="B80" i="1" s="1"/>
  <c r="A64" i="1"/>
  <c r="B64" i="1" s="1"/>
  <c r="A48" i="1"/>
  <c r="B48" i="1" s="1"/>
  <c r="A32" i="1"/>
  <c r="A16" i="1"/>
  <c r="B16" i="1" s="1"/>
  <c r="A95" i="1"/>
  <c r="B95" i="1" s="1"/>
  <c r="A79" i="1"/>
  <c r="B79" i="1" s="1"/>
  <c r="A63" i="1"/>
  <c r="A47" i="1"/>
  <c r="B47" i="1" s="1"/>
  <c r="A31" i="1"/>
  <c r="B31" i="1" s="1"/>
  <c r="A15" i="1"/>
  <c r="B15" i="1" s="1"/>
  <c r="A93" i="1"/>
  <c r="A77" i="1"/>
  <c r="B77" i="1" s="1"/>
  <c r="A61" i="1"/>
  <c r="B61" i="1" s="1"/>
  <c r="A45" i="1"/>
  <c r="B45" i="1" s="1"/>
  <c r="A29" i="1"/>
  <c r="A13" i="1"/>
  <c r="C13" i="1" s="1"/>
  <c r="A5" i="1"/>
  <c r="B5" i="1" s="1"/>
  <c r="A90" i="1"/>
  <c r="B90" i="1" s="1"/>
  <c r="A74" i="1"/>
  <c r="A58" i="1"/>
  <c r="B58" i="1" s="1"/>
  <c r="A42" i="1"/>
  <c r="B42" i="1" s="1"/>
  <c r="A26" i="1"/>
  <c r="B26" i="1" s="1"/>
  <c r="A10" i="1"/>
  <c r="A100" i="1"/>
  <c r="B100" i="1" s="1"/>
  <c r="A92" i="1"/>
  <c r="B92" i="1" s="1"/>
  <c r="A84" i="1"/>
  <c r="B84" i="1" s="1"/>
  <c r="A76" i="1"/>
  <c r="B76" i="1" s="1"/>
  <c r="A68" i="1"/>
  <c r="A60" i="1"/>
  <c r="A52" i="1"/>
  <c r="A44" i="1"/>
  <c r="B44" i="1" s="1"/>
  <c r="A36" i="1"/>
  <c r="A28" i="1"/>
  <c r="B28" i="1" s="1"/>
  <c r="A20" i="1"/>
  <c r="B20" i="1" s="1"/>
  <c r="A12" i="1"/>
  <c r="B12" i="1" s="1"/>
  <c r="A99" i="1"/>
  <c r="A91" i="1"/>
  <c r="A83" i="1"/>
  <c r="B83" i="1" s="1"/>
  <c r="A75" i="1"/>
  <c r="A67" i="1"/>
  <c r="B67" i="1" s="1"/>
  <c r="A59" i="1"/>
  <c r="B59" i="1" s="1"/>
  <c r="A51" i="1"/>
  <c r="B51" i="1" s="1"/>
  <c r="A43" i="1"/>
  <c r="A35" i="1"/>
  <c r="A27" i="1"/>
  <c r="A19" i="1"/>
  <c r="B19" i="1" s="1"/>
  <c r="A11" i="1"/>
  <c r="A6" i="1"/>
  <c r="B6" i="1" s="1"/>
  <c r="A97" i="1"/>
  <c r="B97" i="1" s="1"/>
  <c r="A89" i="1"/>
  <c r="B89" i="1" s="1"/>
  <c r="A81" i="1"/>
  <c r="A73" i="1"/>
  <c r="B73" i="1" s="1"/>
  <c r="A65" i="1"/>
  <c r="A57" i="1"/>
  <c r="B57" i="1" s="1"/>
  <c r="A49" i="1"/>
  <c r="A41" i="1"/>
  <c r="B41" i="1" s="1"/>
  <c r="A33" i="1"/>
  <c r="B33" i="1" s="1"/>
  <c r="A25" i="1"/>
  <c r="B25" i="1" s="1"/>
  <c r="A17" i="1"/>
  <c r="A9" i="1"/>
  <c r="A102" i="1"/>
  <c r="A94" i="1"/>
  <c r="A86" i="1"/>
  <c r="A78" i="1"/>
  <c r="B78" i="1" s="1"/>
  <c r="A70" i="1"/>
  <c r="B70" i="1" s="1"/>
  <c r="A62" i="1"/>
  <c r="B62" i="1" s="1"/>
  <c r="A54" i="1"/>
  <c r="A46" i="1"/>
  <c r="A38" i="1"/>
  <c r="A30" i="1"/>
  <c r="A22" i="1"/>
  <c r="P524" i="7"/>
  <c r="P526" i="7" s="1"/>
  <c r="O501" i="7"/>
  <c r="O266" i="7"/>
  <c r="C124" i="1" l="1"/>
  <c r="B124" i="1"/>
  <c r="C249" i="1"/>
  <c r="B249" i="1"/>
  <c r="C175" i="1"/>
  <c r="B175" i="1"/>
  <c r="B167" i="1"/>
  <c r="C167" i="1"/>
  <c r="C222" i="1"/>
  <c r="B222" i="1"/>
  <c r="C407" i="1"/>
  <c r="B407" i="1"/>
  <c r="C355" i="1"/>
  <c r="B355" i="1"/>
  <c r="C152" i="1"/>
  <c r="B152" i="1"/>
  <c r="C358" i="1"/>
  <c r="B358" i="1"/>
  <c r="C462" i="1"/>
  <c r="B462" i="1"/>
  <c r="C348" i="1"/>
  <c r="B348" i="1"/>
  <c r="C468" i="1"/>
  <c r="B468" i="1"/>
  <c r="C147" i="1"/>
  <c r="B147" i="1"/>
  <c r="B178" i="1"/>
  <c r="C178" i="1"/>
  <c r="C150" i="1"/>
  <c r="B150" i="1"/>
  <c r="C255" i="1"/>
  <c r="B255" i="1"/>
  <c r="C387" i="1"/>
  <c r="B387" i="1"/>
  <c r="C369" i="1"/>
  <c r="B369" i="1"/>
  <c r="B237" i="1"/>
  <c r="C237" i="1"/>
  <c r="C359" i="1"/>
  <c r="B359" i="1"/>
  <c r="C332" i="1"/>
  <c r="B332" i="1"/>
  <c r="C384" i="1"/>
  <c r="B384" i="1"/>
  <c r="C440" i="1"/>
  <c r="B440" i="1"/>
  <c r="C372" i="1"/>
  <c r="B372" i="1"/>
  <c r="C362" i="1"/>
  <c r="B362" i="1"/>
  <c r="C287" i="1"/>
  <c r="B287" i="1"/>
  <c r="C288" i="1"/>
  <c r="B288" i="1"/>
  <c r="C210" i="1"/>
  <c r="B210" i="1"/>
  <c r="C366" i="1"/>
  <c r="B366" i="1"/>
  <c r="B395" i="1"/>
  <c r="C395" i="1"/>
  <c r="C221" i="1"/>
  <c r="B221" i="1"/>
  <c r="C406" i="1"/>
  <c r="B406" i="1"/>
  <c r="B281" i="1"/>
  <c r="C281" i="1"/>
  <c r="C438" i="1"/>
  <c r="B438" i="1"/>
  <c r="C273" i="1"/>
  <c r="B273" i="1"/>
  <c r="B453" i="1"/>
  <c r="C453" i="1"/>
  <c r="C451" i="1"/>
  <c r="B451" i="1"/>
  <c r="B195" i="1"/>
  <c r="C195" i="1"/>
  <c r="C390" i="1"/>
  <c r="B390" i="1"/>
  <c r="C244" i="1"/>
  <c r="B244" i="1"/>
  <c r="C266" i="1"/>
  <c r="B266" i="1"/>
  <c r="C477" i="1"/>
  <c r="B477" i="1"/>
  <c r="C392" i="1"/>
  <c r="B392" i="1"/>
  <c r="C329" i="1"/>
  <c r="B329" i="1"/>
  <c r="C248" i="1"/>
  <c r="B248" i="1"/>
  <c r="B397" i="1"/>
  <c r="C397" i="1"/>
  <c r="C200" i="1"/>
  <c r="B200" i="1"/>
  <c r="B313" i="1"/>
  <c r="C313" i="1"/>
  <c r="C318" i="1"/>
  <c r="B318" i="1"/>
  <c r="C319" i="1"/>
  <c r="B319" i="1"/>
  <c r="B239" i="1"/>
  <c r="C239" i="1"/>
  <c r="C122" i="1"/>
  <c r="B122" i="1"/>
  <c r="B405" i="1"/>
  <c r="C405" i="1"/>
  <c r="C241" i="1"/>
  <c r="B241" i="1"/>
  <c r="C427" i="1"/>
  <c r="B427" i="1"/>
  <c r="C290" i="1"/>
  <c r="B290" i="1"/>
  <c r="C448" i="1"/>
  <c r="B448" i="1"/>
  <c r="C107" i="1"/>
  <c r="B107" i="1"/>
  <c r="C294" i="1"/>
  <c r="B294" i="1"/>
  <c r="C464" i="1"/>
  <c r="B464" i="1"/>
  <c r="B139" i="1"/>
  <c r="C139" i="1"/>
  <c r="C206" i="1"/>
  <c r="B206" i="1"/>
  <c r="C412" i="1"/>
  <c r="B412" i="1"/>
  <c r="C333" i="1"/>
  <c r="B333" i="1"/>
  <c r="C275" i="1"/>
  <c r="B275" i="1"/>
  <c r="C170" i="1"/>
  <c r="B170" i="1"/>
  <c r="B142" i="1"/>
  <c r="C142" i="1"/>
  <c r="C337" i="1"/>
  <c r="B337" i="1"/>
  <c r="C171" i="1"/>
  <c r="B171" i="1"/>
  <c r="C217" i="1"/>
  <c r="B217" i="1"/>
  <c r="C402" i="1"/>
  <c r="B402" i="1"/>
  <c r="C354" i="1"/>
  <c r="B354" i="1"/>
  <c r="C272" i="1"/>
  <c r="B272" i="1"/>
  <c r="C434" i="1"/>
  <c r="B434" i="1"/>
  <c r="C229" i="1"/>
  <c r="B229" i="1"/>
  <c r="C343" i="1"/>
  <c r="B343" i="1"/>
  <c r="B344" i="1"/>
  <c r="C344" i="1"/>
  <c r="C349" i="1"/>
  <c r="B349" i="1"/>
  <c r="C262" i="1"/>
  <c r="B262" i="1"/>
  <c r="C148" i="1"/>
  <c r="B148" i="1"/>
  <c r="C436" i="1"/>
  <c r="B436" i="1"/>
  <c r="B251" i="1"/>
  <c r="C251" i="1"/>
  <c r="C437" i="1"/>
  <c r="B437" i="1"/>
  <c r="C300" i="1"/>
  <c r="B300" i="1"/>
  <c r="C459" i="1"/>
  <c r="B459" i="1"/>
  <c r="C117" i="1"/>
  <c r="B117" i="1"/>
  <c r="C303" i="1"/>
  <c r="B303" i="1"/>
  <c r="C475" i="1"/>
  <c r="B475" i="1"/>
  <c r="C254" i="1"/>
  <c r="B254" i="1"/>
  <c r="C216" i="1"/>
  <c r="B216" i="1"/>
  <c r="C423" i="1"/>
  <c r="B423" i="1"/>
  <c r="C388" i="1"/>
  <c r="B388" i="1"/>
  <c r="C285" i="1"/>
  <c r="B285" i="1"/>
  <c r="C224" i="1"/>
  <c r="B224" i="1"/>
  <c r="C163" i="1"/>
  <c r="B163" i="1"/>
  <c r="C347" i="1"/>
  <c r="B347" i="1"/>
  <c r="B225" i="1"/>
  <c r="C225" i="1"/>
  <c r="C238" i="1"/>
  <c r="B238" i="1"/>
  <c r="C414" i="1"/>
  <c r="B414" i="1"/>
  <c r="C461" i="1"/>
  <c r="B461" i="1"/>
  <c r="C361" i="1"/>
  <c r="B361" i="1"/>
  <c r="C250" i="1"/>
  <c r="B250" i="1"/>
  <c r="C258" i="1"/>
  <c r="B258" i="1"/>
  <c r="C373" i="1"/>
  <c r="B373" i="1"/>
  <c r="C376" i="1"/>
  <c r="B376" i="1"/>
  <c r="C377" i="1"/>
  <c r="B377" i="1"/>
  <c r="C291" i="1"/>
  <c r="B291" i="1"/>
  <c r="C179" i="1"/>
  <c r="B179" i="1"/>
  <c r="C446" i="1"/>
  <c r="B446" i="1"/>
  <c r="C259" i="1"/>
  <c r="B259" i="1"/>
  <c r="C447" i="1"/>
  <c r="B447" i="1"/>
  <c r="C322" i="1"/>
  <c r="B322" i="1"/>
  <c r="C472" i="1"/>
  <c r="B472" i="1"/>
  <c r="C129" i="1"/>
  <c r="B129" i="1"/>
  <c r="C315" i="1"/>
  <c r="B315" i="1"/>
  <c r="C486" i="1"/>
  <c r="B486" i="1"/>
  <c r="C302" i="1"/>
  <c r="B302" i="1"/>
  <c r="C226" i="1"/>
  <c r="B226" i="1"/>
  <c r="C432" i="1"/>
  <c r="B432" i="1"/>
  <c r="C474" i="1"/>
  <c r="B474" i="1"/>
  <c r="B305" i="1"/>
  <c r="C305" i="1"/>
  <c r="C283" i="1"/>
  <c r="B283" i="1"/>
  <c r="C173" i="1"/>
  <c r="B173" i="1"/>
  <c r="C371" i="1"/>
  <c r="B371" i="1"/>
  <c r="C314" i="1"/>
  <c r="B314" i="1"/>
  <c r="C247" i="1"/>
  <c r="B247" i="1"/>
  <c r="C433" i="1"/>
  <c r="B433" i="1"/>
  <c r="C123" i="1"/>
  <c r="B123" i="1"/>
  <c r="B126" i="1"/>
  <c r="C126" i="1"/>
  <c r="C394" i="1"/>
  <c r="B394" i="1"/>
  <c r="C365" i="1"/>
  <c r="B365" i="1"/>
  <c r="C282" i="1"/>
  <c r="B282" i="1"/>
  <c r="C409" i="1"/>
  <c r="B409" i="1"/>
  <c r="C415" i="1"/>
  <c r="B415" i="1"/>
  <c r="C416" i="1"/>
  <c r="B416" i="1"/>
  <c r="C320" i="1"/>
  <c r="B320" i="1"/>
  <c r="B211" i="1"/>
  <c r="C211" i="1"/>
  <c r="B470" i="1"/>
  <c r="C470" i="1"/>
  <c r="C280" i="1"/>
  <c r="B280" i="1"/>
  <c r="C471" i="1"/>
  <c r="B471" i="1"/>
  <c r="C331" i="1"/>
  <c r="B331" i="1"/>
  <c r="C492" i="1"/>
  <c r="B492" i="1"/>
  <c r="C151" i="1"/>
  <c r="B151" i="1"/>
  <c r="C326" i="1"/>
  <c r="B326" i="1"/>
  <c r="C496" i="1"/>
  <c r="B496" i="1"/>
  <c r="B411" i="1"/>
  <c r="C411" i="1"/>
  <c r="C236" i="1"/>
  <c r="B236" i="1"/>
  <c r="C443" i="1"/>
  <c r="B443" i="1"/>
  <c r="C109" i="1"/>
  <c r="B109" i="1"/>
  <c r="C336" i="1"/>
  <c r="B336" i="1"/>
  <c r="C410" i="1"/>
  <c r="B410" i="1"/>
  <c r="C185" i="1"/>
  <c r="B185" i="1"/>
  <c r="B381" i="1"/>
  <c r="C381" i="1"/>
  <c r="C452" i="1"/>
  <c r="B452" i="1"/>
  <c r="C257" i="1"/>
  <c r="B257" i="1"/>
  <c r="C456" i="1"/>
  <c r="B456" i="1"/>
  <c r="C165" i="1"/>
  <c r="B165" i="1"/>
  <c r="C444" i="1"/>
  <c r="B444" i="1"/>
  <c r="C278" i="1"/>
  <c r="B278" i="1"/>
  <c r="C494" i="1"/>
  <c r="B494" i="1"/>
  <c r="C431" i="1"/>
  <c r="B431" i="1"/>
  <c r="C186" i="1"/>
  <c r="B186" i="1"/>
  <c r="C137" i="1"/>
  <c r="B137" i="1"/>
  <c r="C260" i="1"/>
  <c r="B260" i="1"/>
  <c r="C379" i="1"/>
  <c r="B379" i="1"/>
  <c r="C398" i="1"/>
  <c r="B398" i="1"/>
  <c r="C270" i="1"/>
  <c r="B270" i="1"/>
  <c r="C327" i="1"/>
  <c r="B327" i="1"/>
  <c r="C155" i="1"/>
  <c r="B155" i="1"/>
  <c r="C157" i="1"/>
  <c r="B157" i="1"/>
  <c r="C430" i="1"/>
  <c r="B430" i="1"/>
  <c r="C252" i="1"/>
  <c r="B252" i="1"/>
  <c r="C312" i="1"/>
  <c r="B312" i="1"/>
  <c r="C483" i="1"/>
  <c r="B483" i="1"/>
  <c r="C449" i="1"/>
  <c r="B449" i="1"/>
  <c r="C450" i="1"/>
  <c r="B450" i="1"/>
  <c r="C350" i="1"/>
  <c r="B350" i="1"/>
  <c r="C268" i="1"/>
  <c r="B268" i="1"/>
  <c r="C480" i="1"/>
  <c r="B480" i="1"/>
  <c r="C289" i="1"/>
  <c r="B289" i="1"/>
  <c r="B481" i="1"/>
  <c r="C481" i="1"/>
  <c r="C342" i="1"/>
  <c r="B342" i="1"/>
  <c r="C149" i="1"/>
  <c r="B149" i="1"/>
  <c r="C160" i="1"/>
  <c r="B160" i="1"/>
  <c r="C334" i="1"/>
  <c r="B334" i="1"/>
  <c r="B105" i="1"/>
  <c r="C105" i="1"/>
  <c r="C441" i="1"/>
  <c r="B441" i="1"/>
  <c r="C256" i="1"/>
  <c r="B256" i="1"/>
  <c r="C465" i="1"/>
  <c r="B465" i="1"/>
  <c r="C119" i="1"/>
  <c r="B119" i="1"/>
  <c r="C346" i="1"/>
  <c r="B346" i="1"/>
  <c r="C473" i="1"/>
  <c r="B473" i="1"/>
  <c r="C196" i="1"/>
  <c r="B196" i="1"/>
  <c r="C401" i="1"/>
  <c r="B401" i="1"/>
  <c r="B111" i="1"/>
  <c r="C111" i="1"/>
  <c r="C277" i="1"/>
  <c r="B277" i="1"/>
  <c r="C488" i="1"/>
  <c r="B488" i="1"/>
  <c r="C116" i="1"/>
  <c r="B116" i="1"/>
  <c r="C421" i="1"/>
  <c r="B421" i="1"/>
  <c r="C232" i="1"/>
  <c r="B232" i="1"/>
  <c r="C417" i="1"/>
  <c r="B417" i="1"/>
  <c r="C463" i="1"/>
  <c r="B463" i="1"/>
  <c r="C201" i="1"/>
  <c r="B201" i="1"/>
  <c r="C188" i="1"/>
  <c r="B188" i="1"/>
  <c r="C442" i="1"/>
  <c r="B442" i="1"/>
  <c r="C193" i="1"/>
  <c r="B193" i="1"/>
  <c r="C110" i="1"/>
  <c r="B110" i="1"/>
  <c r="B209" i="1"/>
  <c r="C209" i="1"/>
  <c r="C180" i="1"/>
  <c r="B180" i="1"/>
  <c r="C218" i="1"/>
  <c r="B218" i="1"/>
  <c r="C469" i="1"/>
  <c r="B469" i="1"/>
  <c r="C136" i="1"/>
  <c r="B136" i="1"/>
  <c r="C340" i="1"/>
  <c r="B340" i="1"/>
  <c r="C426" i="1"/>
  <c r="B426" i="1"/>
  <c r="C489" i="1"/>
  <c r="B489" i="1"/>
  <c r="C490" i="1"/>
  <c r="B490" i="1"/>
  <c r="C382" i="1"/>
  <c r="B382" i="1"/>
  <c r="C292" i="1"/>
  <c r="B292" i="1"/>
  <c r="B491" i="1"/>
  <c r="C491" i="1"/>
  <c r="C299" i="1"/>
  <c r="B299" i="1"/>
  <c r="C114" i="1"/>
  <c r="B114" i="1"/>
  <c r="B353" i="1"/>
  <c r="C353" i="1"/>
  <c r="C203" i="1"/>
  <c r="B203" i="1"/>
  <c r="C172" i="1"/>
  <c r="B172" i="1"/>
  <c r="B345" i="1"/>
  <c r="C345" i="1"/>
  <c r="C192" i="1"/>
  <c r="B192" i="1"/>
  <c r="C485" i="1"/>
  <c r="B485" i="1"/>
  <c r="C274" i="1"/>
  <c r="B274" i="1"/>
  <c r="C476" i="1"/>
  <c r="B476" i="1"/>
  <c r="C141" i="1"/>
  <c r="B141" i="1"/>
  <c r="B370" i="1"/>
  <c r="C370" i="1"/>
  <c r="B128" i="1"/>
  <c r="C128" i="1"/>
  <c r="C208" i="1"/>
  <c r="B208" i="1"/>
  <c r="B425" i="1"/>
  <c r="C425" i="1"/>
  <c r="C121" i="1"/>
  <c r="B121" i="1"/>
  <c r="C297" i="1"/>
  <c r="B297" i="1"/>
  <c r="C499" i="1"/>
  <c r="B499" i="1"/>
  <c r="C429" i="1"/>
  <c r="B429" i="1"/>
  <c r="C458" i="1"/>
  <c r="B458" i="1"/>
  <c r="C235" i="1"/>
  <c r="B235" i="1"/>
  <c r="C498" i="1"/>
  <c r="B498" i="1"/>
  <c r="C202" i="1"/>
  <c r="B202" i="1"/>
  <c r="C242" i="1"/>
  <c r="B242" i="1"/>
  <c r="C296" i="1"/>
  <c r="B296" i="1"/>
  <c r="C231" i="1"/>
  <c r="B231" i="1"/>
  <c r="C385" i="1"/>
  <c r="B385" i="1"/>
  <c r="C183" i="1"/>
  <c r="B183" i="1"/>
  <c r="C306" i="1"/>
  <c r="B306" i="1"/>
  <c r="B219" i="1"/>
  <c r="C219" i="1"/>
  <c r="C120" i="1"/>
  <c r="B120" i="1"/>
  <c r="C213" i="1"/>
  <c r="B213" i="1"/>
  <c r="C271" i="1"/>
  <c r="B271" i="1"/>
  <c r="B132" i="1"/>
  <c r="C132" i="1"/>
  <c r="C166" i="1"/>
  <c r="B166" i="1"/>
  <c r="C408" i="1"/>
  <c r="B408" i="1"/>
  <c r="C191" i="1"/>
  <c r="B191" i="1"/>
  <c r="C298" i="1"/>
  <c r="B298" i="1"/>
  <c r="B223" i="1"/>
  <c r="C223" i="1"/>
  <c r="C418" i="1"/>
  <c r="B418" i="1"/>
  <c r="C323" i="1"/>
  <c r="B323" i="1"/>
  <c r="B125" i="1"/>
  <c r="C125" i="1"/>
  <c r="B311" i="1"/>
  <c r="C311" i="1"/>
  <c r="C135" i="1"/>
  <c r="B135" i="1"/>
  <c r="C364" i="1"/>
  <c r="B364" i="1"/>
  <c r="C243" i="1"/>
  <c r="B243" i="1"/>
  <c r="C182" i="1"/>
  <c r="B182" i="1"/>
  <c r="C357" i="1"/>
  <c r="B357" i="1"/>
  <c r="B233" i="1"/>
  <c r="C233" i="1"/>
  <c r="C108" i="1"/>
  <c r="B108" i="1"/>
  <c r="B295" i="1"/>
  <c r="C295" i="1"/>
  <c r="B497" i="1"/>
  <c r="C497" i="1"/>
  <c r="B153" i="1"/>
  <c r="C153" i="1"/>
  <c r="C380" i="1"/>
  <c r="B380" i="1"/>
  <c r="C234" i="1"/>
  <c r="B234" i="1"/>
  <c r="B228" i="1"/>
  <c r="C228" i="1"/>
  <c r="C455" i="1"/>
  <c r="B455" i="1"/>
  <c r="C131" i="1"/>
  <c r="B131" i="1"/>
  <c r="C307" i="1"/>
  <c r="B307" i="1"/>
  <c r="B504" i="1"/>
  <c r="C504" i="1"/>
  <c r="C144" i="1"/>
  <c r="B144" i="1"/>
  <c r="C227" i="1"/>
  <c r="B227" i="1"/>
  <c r="C169" i="1"/>
  <c r="B169" i="1"/>
  <c r="C374" i="1"/>
  <c r="B374" i="1"/>
  <c r="C161" i="1"/>
  <c r="B161" i="1"/>
  <c r="C138" i="1"/>
  <c r="B138" i="1"/>
  <c r="C187" i="1"/>
  <c r="B187" i="1"/>
  <c r="C133" i="1"/>
  <c r="B133" i="1"/>
  <c r="C204" i="1"/>
  <c r="B204" i="1"/>
  <c r="C245" i="1"/>
  <c r="B245" i="1"/>
  <c r="B495" i="1"/>
  <c r="C495" i="1"/>
  <c r="B240" i="1"/>
  <c r="C240" i="1"/>
  <c r="C330" i="1"/>
  <c r="B330" i="1"/>
  <c r="C159" i="1"/>
  <c r="B159" i="1"/>
  <c r="C199" i="1"/>
  <c r="B199" i="1"/>
  <c r="B445" i="1"/>
  <c r="C445" i="1"/>
  <c r="C308" i="1"/>
  <c r="B308" i="1"/>
  <c r="B279" i="1"/>
  <c r="C279" i="1"/>
  <c r="B198" i="1"/>
  <c r="C198" i="1"/>
  <c r="C457" i="1"/>
  <c r="B457" i="1"/>
  <c r="C351" i="1"/>
  <c r="B351" i="1"/>
  <c r="C134" i="1"/>
  <c r="B134" i="1"/>
  <c r="C321" i="1"/>
  <c r="B321" i="1"/>
  <c r="C146" i="1"/>
  <c r="B146" i="1"/>
  <c r="C375" i="1"/>
  <c r="B375" i="1"/>
  <c r="C301" i="1"/>
  <c r="B301" i="1"/>
  <c r="C194" i="1"/>
  <c r="B194" i="1"/>
  <c r="C368" i="1"/>
  <c r="B368" i="1"/>
  <c r="C263" i="1"/>
  <c r="B263" i="1"/>
  <c r="C118" i="1"/>
  <c r="B118" i="1"/>
  <c r="C304" i="1"/>
  <c r="B304" i="1"/>
  <c r="C127" i="1"/>
  <c r="B127" i="1"/>
  <c r="C162" i="1"/>
  <c r="B162" i="1"/>
  <c r="B391" i="1"/>
  <c r="C391" i="1"/>
  <c r="C284" i="1"/>
  <c r="B284" i="1"/>
  <c r="C246" i="1"/>
  <c r="B246" i="1"/>
  <c r="B467" i="1"/>
  <c r="C467" i="1"/>
  <c r="C143" i="1"/>
  <c r="B143" i="1"/>
  <c r="C317" i="1"/>
  <c r="B317" i="1"/>
  <c r="B503" i="1"/>
  <c r="C503" i="1"/>
  <c r="C404" i="1"/>
  <c r="B404" i="1"/>
  <c r="C363" i="1"/>
  <c r="B363" i="1"/>
  <c r="C422" i="1"/>
  <c r="B422" i="1"/>
  <c r="B286" i="1"/>
  <c r="C286" i="1"/>
  <c r="C156" i="1"/>
  <c r="B156" i="1"/>
  <c r="C435" i="1"/>
  <c r="B435" i="1"/>
  <c r="C454" i="1"/>
  <c r="B454" i="1"/>
  <c r="B214" i="1"/>
  <c r="C214" i="1"/>
  <c r="C177" i="1"/>
  <c r="B177" i="1"/>
  <c r="B265" i="1"/>
  <c r="C265" i="1"/>
  <c r="C466" i="1"/>
  <c r="B466" i="1"/>
  <c r="C230" i="1"/>
  <c r="B230" i="1"/>
  <c r="C269" i="1"/>
  <c r="B269" i="1"/>
  <c r="C360" i="1"/>
  <c r="B360" i="1"/>
  <c r="C190" i="1"/>
  <c r="B190" i="1"/>
  <c r="B253" i="1"/>
  <c r="C253" i="1"/>
  <c r="C482" i="1"/>
  <c r="B482" i="1"/>
  <c r="B439" i="1"/>
  <c r="C439" i="1"/>
  <c r="C403" i="1"/>
  <c r="B403" i="1"/>
  <c r="C309" i="1"/>
  <c r="B309" i="1"/>
  <c r="C493" i="1"/>
  <c r="B493" i="1"/>
  <c r="C383" i="1"/>
  <c r="B383" i="1"/>
  <c r="C145" i="1"/>
  <c r="B145" i="1"/>
  <c r="C341" i="1"/>
  <c r="B341" i="1"/>
  <c r="C189" i="1"/>
  <c r="B189" i="1"/>
  <c r="B386" i="1"/>
  <c r="C386" i="1"/>
  <c r="B367" i="1"/>
  <c r="C367" i="1"/>
  <c r="C205" i="1"/>
  <c r="B205" i="1"/>
  <c r="C389" i="1"/>
  <c r="B389" i="1"/>
  <c r="B293" i="1"/>
  <c r="C293" i="1"/>
  <c r="C130" i="1"/>
  <c r="B130" i="1"/>
  <c r="C316" i="1"/>
  <c r="B316" i="1"/>
  <c r="B181" i="1"/>
  <c r="C181" i="1"/>
  <c r="C184" i="1"/>
  <c r="B184" i="1"/>
  <c r="B413" i="1"/>
  <c r="C413" i="1"/>
  <c r="C356" i="1"/>
  <c r="B356" i="1"/>
  <c r="B267" i="1"/>
  <c r="C267" i="1"/>
  <c r="B478" i="1"/>
  <c r="C478" i="1"/>
  <c r="C154" i="1"/>
  <c r="B154" i="1"/>
  <c r="C328" i="1"/>
  <c r="B328" i="1"/>
  <c r="B502" i="1"/>
  <c r="C502" i="1"/>
  <c r="C176" i="1"/>
  <c r="B176" i="1"/>
  <c r="B484" i="1"/>
  <c r="C484" i="1"/>
  <c r="C174" i="1"/>
  <c r="B174" i="1"/>
  <c r="C479" i="1"/>
  <c r="B479" i="1"/>
  <c r="C106" i="1"/>
  <c r="B106" i="1"/>
  <c r="C261" i="1"/>
  <c r="B261" i="1"/>
  <c r="C428" i="1"/>
  <c r="B428" i="1"/>
  <c r="C197" i="1"/>
  <c r="B197" i="1"/>
  <c r="C168" i="1"/>
  <c r="B168" i="1"/>
  <c r="C264" i="1"/>
  <c r="B264" i="1"/>
  <c r="C460" i="1"/>
  <c r="B460" i="1"/>
  <c r="C393" i="1"/>
  <c r="B393" i="1"/>
  <c r="C220" i="1"/>
  <c r="B220" i="1"/>
  <c r="C310" i="1"/>
  <c r="B310" i="1"/>
  <c r="C112" i="1"/>
  <c r="B112" i="1"/>
  <c r="B113" i="1"/>
  <c r="C113" i="1"/>
  <c r="C115" i="1"/>
  <c r="B115" i="1"/>
  <c r="B339" i="1"/>
  <c r="C339" i="1"/>
  <c r="C324" i="1"/>
  <c r="B324" i="1"/>
  <c r="C419" i="1"/>
  <c r="B419" i="1"/>
  <c r="B158" i="1"/>
  <c r="C158" i="1"/>
  <c r="C352" i="1"/>
  <c r="B352" i="1"/>
  <c r="C212" i="1"/>
  <c r="B212" i="1"/>
  <c r="C396" i="1"/>
  <c r="B396" i="1"/>
  <c r="C420" i="1"/>
  <c r="B420" i="1"/>
  <c r="C215" i="1"/>
  <c r="B215" i="1"/>
  <c r="C400" i="1"/>
  <c r="B400" i="1"/>
  <c r="B325" i="1"/>
  <c r="C325" i="1"/>
  <c r="C140" i="1"/>
  <c r="B140" i="1"/>
  <c r="C335" i="1"/>
  <c r="B335" i="1"/>
  <c r="B378" i="1"/>
  <c r="C378" i="1"/>
  <c r="C207" i="1"/>
  <c r="B207" i="1"/>
  <c r="C424" i="1"/>
  <c r="B424" i="1"/>
  <c r="C399" i="1"/>
  <c r="B399" i="1"/>
  <c r="C276" i="1"/>
  <c r="B276" i="1"/>
  <c r="C487" i="1"/>
  <c r="B487" i="1"/>
  <c r="C164" i="1"/>
  <c r="B164" i="1"/>
  <c r="C338" i="1"/>
  <c r="B338" i="1"/>
  <c r="B501" i="1"/>
  <c r="C501" i="1"/>
  <c r="C14" i="1"/>
  <c r="E29" i="8"/>
  <c r="C5" i="1"/>
  <c r="B54" i="1"/>
  <c r="B43" i="1"/>
  <c r="B81" i="1"/>
  <c r="B87" i="1"/>
  <c r="B68" i="1"/>
  <c r="B93" i="1"/>
  <c r="B74" i="1"/>
  <c r="B66" i="1"/>
  <c r="B46" i="1"/>
  <c r="B37" i="1"/>
  <c r="B32" i="1"/>
  <c r="B99" i="1"/>
  <c r="B60" i="1"/>
  <c r="B8" i="1"/>
  <c r="B17" i="1"/>
  <c r="B96" i="1"/>
  <c r="B86" i="1"/>
  <c r="B75" i="1"/>
  <c r="B49" i="1"/>
  <c r="B29" i="1"/>
  <c r="B13" i="1"/>
  <c r="C7" i="1"/>
  <c r="B7" i="1"/>
  <c r="C10" i="1"/>
  <c r="B10" i="1"/>
  <c r="B36" i="1"/>
  <c r="B23" i="1"/>
  <c r="B63" i="1"/>
  <c r="B22" i="1"/>
  <c r="B52" i="1"/>
  <c r="B9" i="1"/>
  <c r="C12" i="1"/>
  <c r="B91" i="1"/>
  <c r="B35" i="1"/>
  <c r="B27" i="1"/>
  <c r="C9" i="1"/>
  <c r="C6" i="1"/>
  <c r="B102" i="1"/>
  <c r="B94" i="1"/>
  <c r="B38" i="1"/>
  <c r="B30" i="1"/>
  <c r="B65" i="1"/>
  <c r="C11" i="1"/>
  <c r="B11" i="1"/>
  <c r="O524" i="7"/>
  <c r="O526" i="7" s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D29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<sst xmlns="http://schemas.openxmlformats.org/spreadsheetml/2006/main" count="67962" uniqueCount="6628">
  <si>
    <t>District number</t>
  </si>
  <si>
    <t>District Name</t>
  </si>
  <si>
    <t>School Number</t>
  </si>
  <si>
    <t>School Name</t>
  </si>
  <si>
    <t>Route</t>
  </si>
  <si>
    <t xml:space="preserve">Cohort </t>
  </si>
  <si>
    <t>Fiscal year of expenses</t>
  </si>
  <si>
    <t>School Year</t>
  </si>
  <si>
    <t>County Name</t>
  </si>
  <si>
    <t>District Code</t>
  </si>
  <si>
    <t>Setting</t>
  </si>
  <si>
    <t>Sch Code</t>
  </si>
  <si>
    <t>Low Grade</t>
  </si>
  <si>
    <t>High Grade</t>
  </si>
  <si>
    <t>Elem Level</t>
  </si>
  <si>
    <t>Middle Level</t>
  </si>
  <si>
    <t>Senior Level</t>
  </si>
  <si>
    <t>System Code</t>
  </si>
  <si>
    <t>Charter?</t>
  </si>
  <si>
    <t>2021</t>
  </si>
  <si>
    <t>WELD</t>
  </si>
  <si>
    <t>3085</t>
  </si>
  <si>
    <t>Eaton RE-2</t>
  </si>
  <si>
    <t>Outlying Town</t>
  </si>
  <si>
    <t>4820</t>
  </si>
  <si>
    <t>Eaton Early Learning Center</t>
  </si>
  <si>
    <t>004</t>
  </si>
  <si>
    <t>Y</t>
  </si>
  <si>
    <t>N</t>
  </si>
  <si>
    <t>Non-Public</t>
  </si>
  <si>
    <t>0754</t>
  </si>
  <si>
    <t>Benjamin Eaton Elementary School</t>
  </si>
  <si>
    <t>030</t>
  </si>
  <si>
    <t>050</t>
  </si>
  <si>
    <t>Public</t>
  </si>
  <si>
    <t>2456</t>
  </si>
  <si>
    <t>Eaton High School</t>
  </si>
  <si>
    <t>090</t>
  </si>
  <si>
    <t>120</t>
  </si>
  <si>
    <t>ROUTT</t>
  </si>
  <si>
    <t>2770</t>
  </si>
  <si>
    <t>Steamboat Springs RE-2</t>
  </si>
  <si>
    <t>Outlying City</t>
  </si>
  <si>
    <t>4812</t>
  </si>
  <si>
    <t>Steamboat Springs Early Childhood Center</t>
  </si>
  <si>
    <t>SAGUACHE</t>
  </si>
  <si>
    <t>2790</t>
  </si>
  <si>
    <t>Mountain Valley RE 1</t>
  </si>
  <si>
    <t>Remote</t>
  </si>
  <si>
    <t>6146</t>
  </si>
  <si>
    <t>Mountain Valley School</t>
  </si>
  <si>
    <t>SAN JUAN</t>
  </si>
  <si>
    <t>2820</t>
  </si>
  <si>
    <t>Silverton 1</t>
  </si>
  <si>
    <t>7900</t>
  </si>
  <si>
    <t>Silverton Elementary School</t>
  </si>
  <si>
    <t>SAN MIGUEL</t>
  </si>
  <si>
    <t>2830</t>
  </si>
  <si>
    <t>Telluride R-1</t>
  </si>
  <si>
    <t>8811</t>
  </si>
  <si>
    <t>Telluride Elementary School</t>
  </si>
  <si>
    <t>020</t>
  </si>
  <si>
    <t>4813</t>
  </si>
  <si>
    <t>Rainbow Preschool</t>
  </si>
  <si>
    <t>PROWERS</t>
  </si>
  <si>
    <t>2650</t>
  </si>
  <si>
    <t>Granada RE-1</t>
  </si>
  <si>
    <t>3542</t>
  </si>
  <si>
    <t>Granada Elementary School</t>
  </si>
  <si>
    <t>060</t>
  </si>
  <si>
    <t>2660</t>
  </si>
  <si>
    <t>Lamar Re-2</t>
  </si>
  <si>
    <t>2743</t>
  </si>
  <si>
    <t>Little People's Preschool</t>
  </si>
  <si>
    <t>4960</t>
  </si>
  <si>
    <t>Lamar High School</t>
  </si>
  <si>
    <t>2670</t>
  </si>
  <si>
    <t>Holly RE-3</t>
  </si>
  <si>
    <t>4058</t>
  </si>
  <si>
    <t>Holly School</t>
  </si>
  <si>
    <t>2680</t>
  </si>
  <si>
    <t>Wiley RE-13 Jt</t>
  </si>
  <si>
    <t>9604</t>
  </si>
  <si>
    <t>Wiley Elementary School</t>
  </si>
  <si>
    <t>PUEBLO</t>
  </si>
  <si>
    <t>2690</t>
  </si>
  <si>
    <t>Pueblo City 60</t>
  </si>
  <si>
    <t>Urban-Suburban</t>
  </si>
  <si>
    <t>8774</t>
  </si>
  <si>
    <t>Happyland Preschool and Kindergarten</t>
  </si>
  <si>
    <t>4580</t>
  </si>
  <si>
    <t>St Therese Catholic School</t>
  </si>
  <si>
    <t>9188</t>
  </si>
  <si>
    <t>W H Heaton Middle School</t>
  </si>
  <si>
    <t>080</t>
  </si>
  <si>
    <t>8082</t>
  </si>
  <si>
    <t>South High School</t>
  </si>
  <si>
    <t>1828</t>
  </si>
  <si>
    <t>Columbian Elementary School</t>
  </si>
  <si>
    <t>3976</t>
  </si>
  <si>
    <t>Highland Park Elementary School</t>
  </si>
  <si>
    <t>RIO BLANCO</t>
  </si>
  <si>
    <t>2710</t>
  </si>
  <si>
    <t>Meeker RE-1</t>
  </si>
  <si>
    <t>5754</t>
  </si>
  <si>
    <t>Barone Middle School</t>
  </si>
  <si>
    <t>OTERO</t>
  </si>
  <si>
    <t>2540</t>
  </si>
  <si>
    <t>Fowler R-4J</t>
  </si>
  <si>
    <t>3134</t>
  </si>
  <si>
    <t>Fowler High School</t>
  </si>
  <si>
    <t>OURAY</t>
  </si>
  <si>
    <t>2590</t>
  </si>
  <si>
    <t>Ridgway R-2</t>
  </si>
  <si>
    <t>0882</t>
  </si>
  <si>
    <t>Pinyon Song Preschool</t>
  </si>
  <si>
    <t>007</t>
  </si>
  <si>
    <t>PHILLIPS</t>
  </si>
  <si>
    <t>2620</t>
  </si>
  <si>
    <t>Holyoke Re-1J</t>
  </si>
  <si>
    <t>2686</t>
  </si>
  <si>
    <t>Holyoke Alternative School</t>
  </si>
  <si>
    <t>070</t>
  </si>
  <si>
    <t>MONTEZUMA</t>
  </si>
  <si>
    <t>2035</t>
  </si>
  <si>
    <t>Montezuma-Cortez RE-1</t>
  </si>
  <si>
    <t>4768</t>
  </si>
  <si>
    <t>Por Dia Preschool</t>
  </si>
  <si>
    <t>4713</t>
  </si>
  <si>
    <t>Butler Head Start</t>
  </si>
  <si>
    <t>Head Start</t>
  </si>
  <si>
    <t>1888</t>
  </si>
  <si>
    <t>Montezuma-Cortez Middle School</t>
  </si>
  <si>
    <t>0609</t>
  </si>
  <si>
    <t>Battle Rock Charter School</t>
  </si>
  <si>
    <t>006</t>
  </si>
  <si>
    <t>2055</t>
  </si>
  <si>
    <t>Dolores RE-4A</t>
  </si>
  <si>
    <t>2204</t>
  </si>
  <si>
    <t>Dolores Elementary School</t>
  </si>
  <si>
    <t>2070</t>
  </si>
  <si>
    <t>Mancos Re-6</t>
  </si>
  <si>
    <t>5399</t>
  </si>
  <si>
    <t>Dave and Theresa Family Child Care</t>
  </si>
  <si>
    <t>MONTROSE</t>
  </si>
  <si>
    <t>2180</t>
  </si>
  <si>
    <t>Montrose County RE-1J</t>
  </si>
  <si>
    <t>6694</t>
  </si>
  <si>
    <t>Olathe Early Childhood Center</t>
  </si>
  <si>
    <t>2190</t>
  </si>
  <si>
    <t>West End RE-2</t>
  </si>
  <si>
    <t>6196</t>
  </si>
  <si>
    <t>Naturita Elementary School</t>
  </si>
  <si>
    <t>MORGAN</t>
  </si>
  <si>
    <t>2405</t>
  </si>
  <si>
    <t>Fort Morgan Re-3</t>
  </si>
  <si>
    <t>4961</t>
  </si>
  <si>
    <t>Lighthouse SDA Christian School</t>
  </si>
  <si>
    <t>010</t>
  </si>
  <si>
    <t>2520</t>
  </si>
  <si>
    <t>East Otero R-1</t>
  </si>
  <si>
    <t>4843</t>
  </si>
  <si>
    <t>La Junta Primary School</t>
  </si>
  <si>
    <t>4799</t>
  </si>
  <si>
    <t>First Impressions Learning Center</t>
  </si>
  <si>
    <t>LINCOLN</t>
  </si>
  <si>
    <t>1810</t>
  </si>
  <si>
    <t>Karval RE-23</t>
  </si>
  <si>
    <t>4502</t>
  </si>
  <si>
    <t>Karval Elementary School</t>
  </si>
  <si>
    <t>LOGAN</t>
  </si>
  <si>
    <t>Valley RE-1</t>
  </si>
  <si>
    <t>4710</t>
  </si>
  <si>
    <t>Iliff Head Start</t>
  </si>
  <si>
    <t>3729</t>
  </si>
  <si>
    <t>Hagen Early Education Center</t>
  </si>
  <si>
    <t>MESA</t>
  </si>
  <si>
    <t>2000</t>
  </si>
  <si>
    <t>Mesa County Valley 51</t>
  </si>
  <si>
    <t>9807</t>
  </si>
  <si>
    <t>Grand Mesa Youth Services Center</t>
  </si>
  <si>
    <t>Detention Center</t>
  </si>
  <si>
    <t>0658</t>
  </si>
  <si>
    <t>Bookcliff Head Start</t>
  </si>
  <si>
    <t>3933</t>
  </si>
  <si>
    <t>Winters Head Start</t>
  </si>
  <si>
    <t>6675</t>
  </si>
  <si>
    <t>Riverside Rocky Mountain SER</t>
  </si>
  <si>
    <t>2740</t>
  </si>
  <si>
    <t>Kids Corner and Kids Plex</t>
  </si>
  <si>
    <t>002</t>
  </si>
  <si>
    <t>2737</t>
  </si>
  <si>
    <t>Kids Campus Preschool, LLC</t>
  </si>
  <si>
    <t>2735</t>
  </si>
  <si>
    <t>Discovery Kids Learning Center, Inc</t>
  </si>
  <si>
    <t>7281</t>
  </si>
  <si>
    <t>Redlands Middle School</t>
  </si>
  <si>
    <t>8624</t>
  </si>
  <si>
    <t>Bookcliff Christian School</t>
  </si>
  <si>
    <t>5244</t>
  </si>
  <si>
    <t>Loma Elementary School</t>
  </si>
  <si>
    <t>3262</t>
  </si>
  <si>
    <t>Fruitvale Elementary School</t>
  </si>
  <si>
    <t>MOFFAT</t>
  </si>
  <si>
    <t>2020</t>
  </si>
  <si>
    <t>Moffat County RE: No 1</t>
  </si>
  <si>
    <t>5656</t>
  </si>
  <si>
    <t>Maybell School</t>
  </si>
  <si>
    <t>LA PLATA</t>
  </si>
  <si>
    <t>1540</t>
  </si>
  <si>
    <t>Ignacio 11 JT</t>
  </si>
  <si>
    <t>7279</t>
  </si>
  <si>
    <t>Silver Spruce Academy</t>
  </si>
  <si>
    <t>LARIMER</t>
  </si>
  <si>
    <t>1550</t>
  </si>
  <si>
    <t>Poudre R-1</t>
  </si>
  <si>
    <t>Fort Collins Preschool</t>
  </si>
  <si>
    <t>6958</t>
  </si>
  <si>
    <t>Primrose School of Fort Collins</t>
  </si>
  <si>
    <t>6668</t>
  </si>
  <si>
    <t>Teaching Tree Early Childhood Learning Center</t>
  </si>
  <si>
    <t>6482</t>
  </si>
  <si>
    <t>Olander Elementary School</t>
  </si>
  <si>
    <t>4029</t>
  </si>
  <si>
    <t>Spring Creek School</t>
  </si>
  <si>
    <t>4717</t>
  </si>
  <si>
    <t>Bright Horizons at Seven Oaks East</t>
  </si>
  <si>
    <t>4456</t>
  </si>
  <si>
    <t>Johnson Elementary School</t>
  </si>
  <si>
    <t>2298</t>
  </si>
  <si>
    <t>Dunn Elementary School</t>
  </si>
  <si>
    <t>0766</t>
  </si>
  <si>
    <t>Bennett Elementary School</t>
  </si>
  <si>
    <t>1560</t>
  </si>
  <si>
    <t>Thompson R2-J</t>
  </si>
  <si>
    <t>5335</t>
  </si>
  <si>
    <t>Lucile Erwin Middle School</t>
  </si>
  <si>
    <t>8756</t>
  </si>
  <si>
    <t>Immanuel Lutheran School</t>
  </si>
  <si>
    <t>7640</t>
  </si>
  <si>
    <t>Sarah Milner Elementary School</t>
  </si>
  <si>
    <t>5018</t>
  </si>
  <si>
    <t>Laurene Edmondson Elementary School</t>
  </si>
  <si>
    <t>1570</t>
  </si>
  <si>
    <t>Estes Park R-3</t>
  </si>
  <si>
    <t>Estes Park K-5 School</t>
  </si>
  <si>
    <t>LAS ANIMAS</t>
  </si>
  <si>
    <t>1590</t>
  </si>
  <si>
    <t>Primero Reorganized 2</t>
  </si>
  <si>
    <t>7160</t>
  </si>
  <si>
    <t>Primero Elementary School</t>
  </si>
  <si>
    <t>JEFFERSON</t>
  </si>
  <si>
    <t>1420</t>
  </si>
  <si>
    <t>Jefferson County R-1</t>
  </si>
  <si>
    <t>Denver Metro</t>
  </si>
  <si>
    <t>0518</t>
  </si>
  <si>
    <t>Goodard School - Arvada</t>
  </si>
  <si>
    <t>3088</t>
  </si>
  <si>
    <t>Foster Dual Language PK-8</t>
  </si>
  <si>
    <t>0867</t>
  </si>
  <si>
    <t>Sunflower Montessori School</t>
  </si>
  <si>
    <t>4826</t>
  </si>
  <si>
    <t>Oak Street Child Development Center</t>
  </si>
  <si>
    <t>4661</t>
  </si>
  <si>
    <t>Lakewood Learning Center</t>
  </si>
  <si>
    <t>5172</t>
  </si>
  <si>
    <t>Green Mountain City of Lakewood</t>
  </si>
  <si>
    <t>4408</t>
  </si>
  <si>
    <t>Jeffco Virtual Academy</t>
  </si>
  <si>
    <t>1399</t>
  </si>
  <si>
    <t>Wheat Ridge Head Start</t>
  </si>
  <si>
    <t>5473</t>
  </si>
  <si>
    <t>Golden Head Start Jefferson County</t>
  </si>
  <si>
    <t>5176</t>
  </si>
  <si>
    <t>Daniel's Community Center</t>
  </si>
  <si>
    <t>5175</t>
  </si>
  <si>
    <t>Molholm Head Start</t>
  </si>
  <si>
    <t>8090</t>
  </si>
  <si>
    <t>Deane Elementary School</t>
  </si>
  <si>
    <t>8605</t>
  </si>
  <si>
    <t>Faith Christian Academy</t>
  </si>
  <si>
    <t>7708</t>
  </si>
  <si>
    <t>Secrest Elementary School</t>
  </si>
  <si>
    <t>6470</t>
  </si>
  <si>
    <t>Oberon Junior High School</t>
  </si>
  <si>
    <t>4663</t>
  </si>
  <si>
    <t>La Petite Academy Burgundy</t>
  </si>
  <si>
    <t>8743</t>
  </si>
  <si>
    <t>Saints Peter and Paul Catholic School</t>
  </si>
  <si>
    <t>8735</t>
  </si>
  <si>
    <t>Cornerstone Montessori</t>
  </si>
  <si>
    <t>9058</t>
  </si>
  <si>
    <t>Vanderhoof Elementary School</t>
  </si>
  <si>
    <t>8717</t>
  </si>
  <si>
    <t>Alpine Valley School</t>
  </si>
  <si>
    <t>9008</t>
  </si>
  <si>
    <t>Ute Meadows Elementary School</t>
  </si>
  <si>
    <t>4802</t>
  </si>
  <si>
    <t>Kullerstrand Elementary School</t>
  </si>
  <si>
    <t>9234</t>
  </si>
  <si>
    <t>Warren Tech Central</t>
  </si>
  <si>
    <t>2866</t>
  </si>
  <si>
    <t>Fairmount Elementary School</t>
  </si>
  <si>
    <t>6808</t>
  </si>
  <si>
    <t>Patterson International School</t>
  </si>
  <si>
    <t>6804</t>
  </si>
  <si>
    <t>Parmalee Elementary School</t>
  </si>
  <si>
    <t>5972</t>
  </si>
  <si>
    <t>Molholm Elementary School</t>
  </si>
  <si>
    <t>Everitt Middle School</t>
  </si>
  <si>
    <t>2616</t>
  </si>
  <si>
    <t>Elk Creek Elementary School</t>
  </si>
  <si>
    <t>0694</t>
  </si>
  <si>
    <t>Bell Middle School</t>
  </si>
  <si>
    <t>2322</t>
  </si>
  <si>
    <t>Dutch Creek Elementary School</t>
  </si>
  <si>
    <t>2130</t>
  </si>
  <si>
    <t>Deer Creek Middle School</t>
  </si>
  <si>
    <t>1876</t>
  </si>
  <si>
    <t>Coronado Elementary School</t>
  </si>
  <si>
    <t>1238</t>
  </si>
  <si>
    <t>Campbell Elementary School</t>
  </si>
  <si>
    <t>KIOWA</t>
  </si>
  <si>
    <t>1430</t>
  </si>
  <si>
    <t>Eads RE-1</t>
  </si>
  <si>
    <t>2336</t>
  </si>
  <si>
    <t>Eads High School</t>
  </si>
  <si>
    <t>KIT CARSON</t>
  </si>
  <si>
    <t>1500</t>
  </si>
  <si>
    <t>Burlington RE-6J</t>
  </si>
  <si>
    <t>8434</t>
  </si>
  <si>
    <t>Burlington Christian School</t>
  </si>
  <si>
    <t>1152</t>
  </si>
  <si>
    <t>Burlington High School</t>
  </si>
  <si>
    <t>LAKE</t>
  </si>
  <si>
    <t>1510</t>
  </si>
  <si>
    <t>Lake County R-1</t>
  </si>
  <si>
    <t>9486</t>
  </si>
  <si>
    <t>Westpark Elementary School</t>
  </si>
  <si>
    <t>1520</t>
  </si>
  <si>
    <t>Durango 9-R</t>
  </si>
  <si>
    <t>9481</t>
  </si>
  <si>
    <t>The Liberty School</t>
  </si>
  <si>
    <t>5482</t>
  </si>
  <si>
    <t>Merced ECCE Program</t>
  </si>
  <si>
    <t>4745</t>
  </si>
  <si>
    <t>Park Head Start</t>
  </si>
  <si>
    <t>4759</t>
  </si>
  <si>
    <t>River Mist Preschool</t>
  </si>
  <si>
    <t>4755</t>
  </si>
  <si>
    <t>Children's House of Durango</t>
  </si>
  <si>
    <t>4754</t>
  </si>
  <si>
    <t>Children's Cornerstone Early Learning Center</t>
  </si>
  <si>
    <t>GARFIELD</t>
  </si>
  <si>
    <t>1180</t>
  </si>
  <si>
    <t>Roaring Fork RE-1</t>
  </si>
  <si>
    <t>4518</t>
  </si>
  <si>
    <t>Our School</t>
  </si>
  <si>
    <t>5107</t>
  </si>
  <si>
    <t>Children's Mini College</t>
  </si>
  <si>
    <t>6223</t>
  </si>
  <si>
    <t>New Creation Preschool</t>
  </si>
  <si>
    <t>1195</t>
  </si>
  <si>
    <t>Garfield Re-2</t>
  </si>
  <si>
    <t>2967</t>
  </si>
  <si>
    <t>Liberty Classical Academy</t>
  </si>
  <si>
    <t>5110</t>
  </si>
  <si>
    <t>Rifle Rocky Mountain SER</t>
  </si>
  <si>
    <t>7406</t>
  </si>
  <si>
    <t>Early Learners Center</t>
  </si>
  <si>
    <t>BOULDER</t>
  </si>
  <si>
    <t>0470</t>
  </si>
  <si>
    <t>St Vrain Valley RE1J</t>
  </si>
  <si>
    <t>5827</t>
  </si>
  <si>
    <t>Mountain States Children's Home</t>
  </si>
  <si>
    <t>--</t>
  </si>
  <si>
    <t>7135</t>
  </si>
  <si>
    <t>Primrose School of Longmont</t>
  </si>
  <si>
    <t>4915</t>
  </si>
  <si>
    <t>Aspen Christian Center</t>
  </si>
  <si>
    <t>7561</t>
  </si>
  <si>
    <t>Spark! Discovery Preschool</t>
  </si>
  <si>
    <t>5181</t>
  </si>
  <si>
    <t>Red Hawk Elementary</t>
  </si>
  <si>
    <t>2764</t>
  </si>
  <si>
    <t>Meeker Neighborhood Center</t>
  </si>
  <si>
    <t>2729</t>
  </si>
  <si>
    <t>TLC Learning Center</t>
  </si>
  <si>
    <t>8587</t>
  </si>
  <si>
    <t>Vista Ridge Academy</t>
  </si>
  <si>
    <t>6498</t>
  </si>
  <si>
    <t>Olde Columbine High School</t>
  </si>
  <si>
    <t>5368</t>
  </si>
  <si>
    <t>Lyons Middle/Senior High School</t>
  </si>
  <si>
    <t>5282</t>
  </si>
  <si>
    <t>Longmont High School</t>
  </si>
  <si>
    <t>1434</t>
  </si>
  <si>
    <t>Central Elementary School</t>
  </si>
  <si>
    <t>CHAFFEE</t>
  </si>
  <si>
    <t>0500</t>
  </si>
  <si>
    <t>Salida R-32</t>
  </si>
  <si>
    <t>4680</t>
  </si>
  <si>
    <t>Salida Middle School</t>
  </si>
  <si>
    <t>CHEYENNE</t>
  </si>
  <si>
    <t>0510</t>
  </si>
  <si>
    <t>Kit Carson R-1</t>
  </si>
  <si>
    <t>4738</t>
  </si>
  <si>
    <t>Kit Carson Elementary School</t>
  </si>
  <si>
    <t>ARAPAHOE</t>
  </si>
  <si>
    <t>0130</t>
  </si>
  <si>
    <t>Cherry Creek 5</t>
  </si>
  <si>
    <t>1429</t>
  </si>
  <si>
    <t>Cherry Creek Elevation</t>
  </si>
  <si>
    <t>6955</t>
  </si>
  <si>
    <t>Pine Ridge Elementary School</t>
  </si>
  <si>
    <t>0141</t>
  </si>
  <si>
    <t>Sky Vista Middle School</t>
  </si>
  <si>
    <t>1571</t>
  </si>
  <si>
    <t>Cherry Creek Charter Academy</t>
  </si>
  <si>
    <t>5934</t>
  </si>
  <si>
    <t>Mission Viejo Elementary School</t>
  </si>
  <si>
    <t>4100</t>
  </si>
  <si>
    <t>Horizon Middle School</t>
  </si>
  <si>
    <t>0348</t>
  </si>
  <si>
    <t>Arrowhead Elementary School</t>
  </si>
  <si>
    <t>0140</t>
  </si>
  <si>
    <t>Littleton 6</t>
  </si>
  <si>
    <t>6292</t>
  </si>
  <si>
    <t>Village at North</t>
  </si>
  <si>
    <t>3472</t>
  </si>
  <si>
    <t>Goddard Middle School</t>
  </si>
  <si>
    <t>5233</t>
  </si>
  <si>
    <t>Littleton Prep Charter School</t>
  </si>
  <si>
    <t>0180</t>
  </si>
  <si>
    <t>Adams-Arapahoe 28J</t>
  </si>
  <si>
    <t>3471</t>
  </si>
  <si>
    <t>Global Village Academy Aurora</t>
  </si>
  <si>
    <t>5751</t>
  </si>
  <si>
    <t>Meadowood Child Development Center</t>
  </si>
  <si>
    <t>7558</t>
  </si>
  <si>
    <t>Sable Elementary School</t>
  </si>
  <si>
    <t>6189</t>
  </si>
  <si>
    <t>Murphy Creek K-8 School</t>
  </si>
  <si>
    <t>0914</t>
  </si>
  <si>
    <t>Boston K-8 School</t>
  </si>
  <si>
    <t>0190</t>
  </si>
  <si>
    <t>Byers 32J</t>
  </si>
  <si>
    <t>6241</t>
  </si>
  <si>
    <t xml:space="preserve">Colorado Virtual Academy </t>
  </si>
  <si>
    <t>ARCHULETA</t>
  </si>
  <si>
    <t>0220</t>
  </si>
  <si>
    <t>Archuleta County 50 Jt</t>
  </si>
  <si>
    <t>6652</t>
  </si>
  <si>
    <t>Pagosa Springs Elementary School</t>
  </si>
  <si>
    <t>040</t>
  </si>
  <si>
    <t>BACA</t>
  </si>
  <si>
    <t>0260</t>
  </si>
  <si>
    <t>Vilas RE-5</t>
  </si>
  <si>
    <t>9100</t>
  </si>
  <si>
    <t>Vilas Undivided High School</t>
  </si>
  <si>
    <t>ADAMS</t>
  </si>
  <si>
    <t>0010</t>
  </si>
  <si>
    <t>Mapleton 1</t>
  </si>
  <si>
    <t>2768</t>
  </si>
  <si>
    <t>Preschool on Poze</t>
  </si>
  <si>
    <t>0501</t>
  </si>
  <si>
    <t>Monterey Community School</t>
  </si>
  <si>
    <t>0509</t>
  </si>
  <si>
    <t>Clayton Partnership School</t>
  </si>
  <si>
    <t>0020</t>
  </si>
  <si>
    <t>Adams 12 Five Star Schools</t>
  </si>
  <si>
    <t>2361</t>
  </si>
  <si>
    <t>Eagleview Elementary School</t>
  </si>
  <si>
    <t>0040</t>
  </si>
  <si>
    <t>School District 27J</t>
  </si>
  <si>
    <t>3900</t>
  </si>
  <si>
    <t>Henderson Elementary School</t>
  </si>
  <si>
    <t>0050</t>
  </si>
  <si>
    <t>Bennett 29J</t>
  </si>
  <si>
    <t>0770</t>
  </si>
  <si>
    <t>3100</t>
  </si>
  <si>
    <t>Windsor RE-4</t>
  </si>
  <si>
    <t>9563</t>
  </si>
  <si>
    <t>Windsor Charter Academy Middle School</t>
  </si>
  <si>
    <t>8066</t>
  </si>
  <si>
    <t>Severance High School</t>
  </si>
  <si>
    <t>110</t>
  </si>
  <si>
    <t>7755</t>
  </si>
  <si>
    <t>Severance Middle School</t>
  </si>
  <si>
    <t>9670</t>
  </si>
  <si>
    <t>Windsor Middle School</t>
  </si>
  <si>
    <t>3145</t>
  </si>
  <si>
    <t>Ault-Highland RE-9</t>
  </si>
  <si>
    <t>3961</t>
  </si>
  <si>
    <t>Highland Middle School</t>
  </si>
  <si>
    <t>GRAND</t>
  </si>
  <si>
    <t>1350</t>
  </si>
  <si>
    <t>East Grand 2</t>
  </si>
  <si>
    <t>2376</t>
  </si>
  <si>
    <t>East Grand Middle School</t>
  </si>
  <si>
    <t>GUNNISON</t>
  </si>
  <si>
    <t>1360</t>
  </si>
  <si>
    <t>Gunnison Watershed RE1J</t>
  </si>
  <si>
    <t>2006</t>
  </si>
  <si>
    <t>Crested Butte Secondary School</t>
  </si>
  <si>
    <t>EL PASO</t>
  </si>
  <si>
    <t>1040</t>
  </si>
  <si>
    <t>Academy 20</t>
  </si>
  <si>
    <t>6247</t>
  </si>
  <si>
    <t>Legacy Peak Elementary School</t>
  </si>
  <si>
    <t>8779</t>
  </si>
  <si>
    <t>TCA College Pathways</t>
  </si>
  <si>
    <t>7247</t>
  </si>
  <si>
    <t>Ranch Creek Elementary</t>
  </si>
  <si>
    <t>2248</t>
  </si>
  <si>
    <t>Douglass Valley Elementary School</t>
  </si>
  <si>
    <t>7159</t>
  </si>
  <si>
    <t>Prairie Hills Elementary School</t>
  </si>
  <si>
    <t>6937</t>
  </si>
  <si>
    <t>Pine Creek High School</t>
  </si>
  <si>
    <t>0017</t>
  </si>
  <si>
    <t>Academy Endeavour Elementary School</t>
  </si>
  <si>
    <t>1050</t>
  </si>
  <si>
    <t>Ellicott 22</t>
  </si>
  <si>
    <t>2638</t>
  </si>
  <si>
    <t>Ellicott Elementary School</t>
  </si>
  <si>
    <t>1110</t>
  </si>
  <si>
    <t>District 49</t>
  </si>
  <si>
    <t>5779</t>
  </si>
  <si>
    <t>Meridian Ranch Elementary School</t>
  </si>
  <si>
    <t>6821</t>
  </si>
  <si>
    <t>Pikes Peak Early College</t>
  </si>
  <si>
    <t>6935</t>
  </si>
  <si>
    <t>Pikes Peak School Expeditionary Learning</t>
  </si>
  <si>
    <t>4251</t>
  </si>
  <si>
    <t>Grand Peak Academy</t>
  </si>
  <si>
    <t>7960</t>
  </si>
  <si>
    <t>Skyview Middle School</t>
  </si>
  <si>
    <t>8266</t>
  </si>
  <si>
    <t>Stetson Elementary School</t>
  </si>
  <si>
    <t>FREMONT</t>
  </si>
  <si>
    <t>1140</t>
  </si>
  <si>
    <t>Canon City RE-1</t>
  </si>
  <si>
    <t>3802</t>
  </si>
  <si>
    <t>Harrison School</t>
  </si>
  <si>
    <t>ELBERT</t>
  </si>
  <si>
    <t>0930</t>
  </si>
  <si>
    <t>Kiowa C-2</t>
  </si>
  <si>
    <t>4728</t>
  </si>
  <si>
    <t>Kiowa High School</t>
  </si>
  <si>
    <t>0960</t>
  </si>
  <si>
    <t>Agate 300</t>
  </si>
  <si>
    <t>0044</t>
  </si>
  <si>
    <t>Agate Elementary School</t>
  </si>
  <si>
    <t>CONEJOS</t>
  </si>
  <si>
    <t>0550</t>
  </si>
  <si>
    <t>North Conejos RE-1J</t>
  </si>
  <si>
    <t>5374</t>
  </si>
  <si>
    <t>Little Treasure Preschool</t>
  </si>
  <si>
    <t>5601</t>
  </si>
  <si>
    <t>Montessori School of Aurora</t>
  </si>
  <si>
    <t>4396</t>
  </si>
  <si>
    <t>Bright Horizons Montessori at Greenwood Plaza</t>
  </si>
  <si>
    <t>6419</t>
  </si>
  <si>
    <t>Restoration Christian Academy</t>
  </si>
  <si>
    <t>4220</t>
  </si>
  <si>
    <t>Lil' Graduates</t>
  </si>
  <si>
    <t>4219</t>
  </si>
  <si>
    <t>Little Angels Child Care Inc</t>
  </si>
  <si>
    <t>4288</t>
  </si>
  <si>
    <t>Bemis Center</t>
  </si>
  <si>
    <t>4606</t>
  </si>
  <si>
    <t>Aurora Christian Academy</t>
  </si>
  <si>
    <t>4010</t>
  </si>
  <si>
    <t>Our Savior Lutheran School</t>
  </si>
  <si>
    <t>7175</t>
  </si>
  <si>
    <t>Primrose School of Thornton</t>
  </si>
  <si>
    <t>8573</t>
  </si>
  <si>
    <t>Good Shepherd TLC Preschool</t>
  </si>
  <si>
    <t>4031</t>
  </si>
  <si>
    <t>Brighton Adventist Academy</t>
  </si>
  <si>
    <t>8112</t>
  </si>
  <si>
    <t>Our Lady Help of Christians Academy</t>
  </si>
  <si>
    <t>9409</t>
  </si>
  <si>
    <t>Grand County Christian Academy</t>
  </si>
  <si>
    <t>4658</t>
  </si>
  <si>
    <t>East Grand Preschool</t>
  </si>
  <si>
    <t>HUERFANO</t>
  </si>
  <si>
    <t>1390</t>
  </si>
  <si>
    <t>Huerfano Re-1</t>
  </si>
  <si>
    <t>8421</t>
  </si>
  <si>
    <t>Spanish Peaks Child Care Center</t>
  </si>
  <si>
    <t>7995</t>
  </si>
  <si>
    <t>Sidewalk's End Montessori School</t>
  </si>
  <si>
    <t>3989</t>
  </si>
  <si>
    <t>High Country Christian Academy</t>
  </si>
  <si>
    <t>4511</t>
  </si>
  <si>
    <t>Kindercare Learning Centers</t>
  </si>
  <si>
    <t>7166</t>
  </si>
  <si>
    <t>DBA/Foundation for Successful Living</t>
  </si>
  <si>
    <t>4382</t>
  </si>
  <si>
    <t>Our House Inc</t>
  </si>
  <si>
    <t>4387</t>
  </si>
  <si>
    <t>Colorado Autism Center</t>
  </si>
  <si>
    <t>1626</t>
  </si>
  <si>
    <t>Canon City Christian School</t>
  </si>
  <si>
    <t>5099</t>
  </si>
  <si>
    <t>Mountain View Core Knowledge Preschool</t>
  </si>
  <si>
    <t>8711</t>
  </si>
  <si>
    <t>Four Mile Adventist Christian</t>
  </si>
  <si>
    <t>0990</t>
  </si>
  <si>
    <t>Widefield 3</t>
  </si>
  <si>
    <t>8392</t>
  </si>
  <si>
    <t>Sunrise Elementary School</t>
  </si>
  <si>
    <t>1010</t>
  </si>
  <si>
    <t>Colorado Springs 11</t>
  </si>
  <si>
    <t>4535</t>
  </si>
  <si>
    <t>Junior Academy Children's Center</t>
  </si>
  <si>
    <t>4840</t>
  </si>
  <si>
    <t>West CPCD Preschool</t>
  </si>
  <si>
    <t>8457</t>
  </si>
  <si>
    <t>Jack Swigert Aerospace Academy</t>
  </si>
  <si>
    <t>3360</t>
  </si>
  <si>
    <t>Galileo School of Math and Science</t>
  </si>
  <si>
    <t>5103</t>
  </si>
  <si>
    <t>Community Partnership for Child Development</t>
  </si>
  <si>
    <t>2681</t>
  </si>
  <si>
    <t>Audubon CPCD Preschool</t>
  </si>
  <si>
    <t>7705</t>
  </si>
  <si>
    <t>Scott Elementary School</t>
  </si>
  <si>
    <t>4644</t>
  </si>
  <si>
    <t>Rock of Ages Lutheran Child Care Center</t>
  </si>
  <si>
    <t>7523</t>
  </si>
  <si>
    <t>Russell Middle School</t>
  </si>
  <si>
    <t>4558</t>
  </si>
  <si>
    <t>Kindercare Learning Center</t>
  </si>
  <si>
    <t>4037</t>
  </si>
  <si>
    <t>Ruth Washburn Coop Nursery School</t>
  </si>
  <si>
    <t>6306</t>
  </si>
  <si>
    <t>North Middle School</t>
  </si>
  <si>
    <t>1625</t>
  </si>
  <si>
    <t>McAuliffe Elementary</t>
  </si>
  <si>
    <t>4264</t>
  </si>
  <si>
    <t>Creative Play Center</t>
  </si>
  <si>
    <t>8698</t>
  </si>
  <si>
    <t>Golden Mountain Montessori</t>
  </si>
  <si>
    <t>8693</t>
  </si>
  <si>
    <t>Corpus Christi Catholic School</t>
  </si>
  <si>
    <t>4138</t>
  </si>
  <si>
    <t>Howbert Elementary School</t>
  </si>
  <si>
    <t>8246</t>
  </si>
  <si>
    <t>Steele Elementary School</t>
  </si>
  <si>
    <t>7513</t>
  </si>
  <si>
    <t>Rudy Elementary School</t>
  </si>
  <si>
    <t>6680</t>
  </si>
  <si>
    <t>Palmer High School</t>
  </si>
  <si>
    <t>5988</t>
  </si>
  <si>
    <t>Monroe Elementary School</t>
  </si>
  <si>
    <t>2510</t>
  </si>
  <si>
    <t>Edison Elementary School</t>
  </si>
  <si>
    <t>0452</t>
  </si>
  <si>
    <t>Audubon Elementary School</t>
  </si>
  <si>
    <t>CROWLEY</t>
  </si>
  <si>
    <t>Crowley County RE-1-J</t>
  </si>
  <si>
    <t>4774</t>
  </si>
  <si>
    <t>Kids Campus</t>
  </si>
  <si>
    <t>DENVER</t>
  </si>
  <si>
    <t>0880</t>
  </si>
  <si>
    <t>Denver County 1</t>
  </si>
  <si>
    <t>2919</t>
  </si>
  <si>
    <t>Sandra Todd-Williams Academy</t>
  </si>
  <si>
    <t>4730</t>
  </si>
  <si>
    <t>KIPP Denver Collegiate High School</t>
  </si>
  <si>
    <t>2116</t>
  </si>
  <si>
    <t>DSST: Henry Middle School</t>
  </si>
  <si>
    <t>1939</t>
  </si>
  <si>
    <t>Compass Academy</t>
  </si>
  <si>
    <t>1295</t>
  </si>
  <si>
    <t>Collegiate Preparatory Academy</t>
  </si>
  <si>
    <t>2349</t>
  </si>
  <si>
    <t>Escalante-Biggs Academy</t>
  </si>
  <si>
    <t>2757</t>
  </si>
  <si>
    <t>Northeast Early College</t>
  </si>
  <si>
    <t>7246</t>
  </si>
  <si>
    <t>Respect Academy</t>
  </si>
  <si>
    <t>9730</t>
  </si>
  <si>
    <t>STRIVE Prep - Green Valley Ranch</t>
  </si>
  <si>
    <t>8453</t>
  </si>
  <si>
    <t>Swigert International School</t>
  </si>
  <si>
    <t>3991</t>
  </si>
  <si>
    <t>Willow Elementary School</t>
  </si>
  <si>
    <t>2125</t>
  </si>
  <si>
    <t>Denver Green School Southeast</t>
  </si>
  <si>
    <t>8909</t>
  </si>
  <si>
    <t>Trevista at Horace Mann</t>
  </si>
  <si>
    <t>1785</t>
  </si>
  <si>
    <t>Cole Arts and Science Academy</t>
  </si>
  <si>
    <t>4795</t>
  </si>
  <si>
    <t>Kunsmiller Creative Arts Academy</t>
  </si>
  <si>
    <t>5342</t>
  </si>
  <si>
    <t>Lowry Elementary School</t>
  </si>
  <si>
    <t>2027</t>
  </si>
  <si>
    <t>Polaris Elementary School</t>
  </si>
  <si>
    <t>6098</t>
  </si>
  <si>
    <t>Morey Middle School</t>
  </si>
  <si>
    <t>6002</t>
  </si>
  <si>
    <t>Montclair School of Academics and Enrichment</t>
  </si>
  <si>
    <t>9623</t>
  </si>
  <si>
    <t>William (Bill) Roberts ECE-8 School</t>
  </si>
  <si>
    <t>9739</t>
  </si>
  <si>
    <t>Wyatt Academy</t>
  </si>
  <si>
    <t>8970</t>
  </si>
  <si>
    <t>University Park Elementary School</t>
  </si>
  <si>
    <t>2880</t>
  </si>
  <si>
    <t>Fairview Elementary School</t>
  </si>
  <si>
    <t>1528</t>
  </si>
  <si>
    <t>Cheltenham Elementary School</t>
  </si>
  <si>
    <t>6479</t>
  </si>
  <si>
    <t>Odyssey School of Denver</t>
  </si>
  <si>
    <t>4782</t>
  </si>
  <si>
    <t>Hallett Academy</t>
  </si>
  <si>
    <t>3296</t>
  </si>
  <si>
    <t>Garden Place Academy</t>
  </si>
  <si>
    <t>2652</t>
  </si>
  <si>
    <t>Ellis Elementary School</t>
  </si>
  <si>
    <t>3512</t>
  </si>
  <si>
    <t>Goldrick Elementary School</t>
  </si>
  <si>
    <t>EAGLE</t>
  </si>
  <si>
    <t>0910</t>
  </si>
  <si>
    <t>Eagle County RE 50</t>
  </si>
  <si>
    <t>2530</t>
  </si>
  <si>
    <t>Edwards Elementary School</t>
  </si>
  <si>
    <t>2340</t>
  </si>
  <si>
    <t>Eagle County Charter Academy</t>
  </si>
  <si>
    <t>BENT</t>
  </si>
  <si>
    <t>0290</t>
  </si>
  <si>
    <t>Las Animas RE-1</t>
  </si>
  <si>
    <t>0443</t>
  </si>
  <si>
    <t>AIM Global</t>
  </si>
  <si>
    <t>4279</t>
  </si>
  <si>
    <t>Immersion Schools Science Technology Arts</t>
  </si>
  <si>
    <t>4990</t>
  </si>
  <si>
    <t>Las Animas High School</t>
  </si>
  <si>
    <t>0070</t>
  </si>
  <si>
    <t>Westminster Public Schools</t>
  </si>
  <si>
    <t>1137</t>
  </si>
  <si>
    <t>Early Learning Center at Francis M. Day</t>
  </si>
  <si>
    <t>4465</t>
  </si>
  <si>
    <t>Josephine Hodgkins Leadership Academy</t>
  </si>
  <si>
    <t>0480</t>
  </si>
  <si>
    <t>Boulder Valley Re 2</t>
  </si>
  <si>
    <t>5617</t>
  </si>
  <si>
    <t>Mapleton Early Childhood Center</t>
  </si>
  <si>
    <t>6208</t>
  </si>
  <si>
    <t>Nederland Elementary School</t>
  </si>
  <si>
    <t>8978</t>
  </si>
  <si>
    <t>University Hill Elementary School</t>
  </si>
  <si>
    <t>4386</t>
  </si>
  <si>
    <t>Jamestown Elementary School</t>
  </si>
  <si>
    <t>6642</t>
  </si>
  <si>
    <t>Horizons K-8 School</t>
  </si>
  <si>
    <t>5838</t>
  </si>
  <si>
    <t>Mesa Elementary School</t>
  </si>
  <si>
    <t>0919</t>
  </si>
  <si>
    <t>Boulder Community School/Integrated Studies</t>
  </si>
  <si>
    <t>1996</t>
  </si>
  <si>
    <t>Crest View Elementary School</t>
  </si>
  <si>
    <t>0520</t>
  </si>
  <si>
    <t>Cheyenne County Re-5</t>
  </si>
  <si>
    <t>1612</t>
  </si>
  <si>
    <t>Cheyenne Wells Junior/High School</t>
  </si>
  <si>
    <t>0560</t>
  </si>
  <si>
    <t>Sanford 6J</t>
  </si>
  <si>
    <t>7612</t>
  </si>
  <si>
    <t>Sanford Elementary School</t>
  </si>
  <si>
    <t>DELTA</t>
  </si>
  <si>
    <t>0870</t>
  </si>
  <si>
    <t>Delta County 50(J)</t>
  </si>
  <si>
    <t>2152</t>
  </si>
  <si>
    <t>Delta Academy of Applied Learning</t>
  </si>
  <si>
    <t>2164</t>
  </si>
  <si>
    <t>Delta High School</t>
  </si>
  <si>
    <t>DOUGLAS</t>
  </si>
  <si>
    <t>0900</t>
  </si>
  <si>
    <t>Douglas County Re 1</t>
  </si>
  <si>
    <t>9397</t>
  </si>
  <si>
    <t>World Compass Academy</t>
  </si>
  <si>
    <t>6365</t>
  </si>
  <si>
    <t>Skyview Academy</t>
  </si>
  <si>
    <t>5045</t>
  </si>
  <si>
    <t>Legacy Point Elementary School</t>
  </si>
  <si>
    <t>8126</t>
  </si>
  <si>
    <t>South Ridge Elementary An IB World School</t>
  </si>
  <si>
    <t>8106</t>
  </si>
  <si>
    <t>Soaring Hawk Elementary School</t>
  </si>
  <si>
    <t>8847</t>
  </si>
  <si>
    <t>Thunderridge High School</t>
  </si>
  <si>
    <t>0980</t>
  </si>
  <si>
    <t>Harrison 2</t>
  </si>
  <si>
    <t>0469</t>
  </si>
  <si>
    <t>Atlas Preparatory High School</t>
  </si>
  <si>
    <t>7611</t>
  </si>
  <si>
    <t>Sand Creek International Elementary School</t>
  </si>
  <si>
    <t>6460</t>
  </si>
  <si>
    <t>Oak Creek Elementary School</t>
  </si>
  <si>
    <t>1000</t>
  </si>
  <si>
    <t>Fountain 8</t>
  </si>
  <si>
    <t>3102</t>
  </si>
  <si>
    <t>Aragon Elementary School</t>
  </si>
  <si>
    <t>1332</t>
  </si>
  <si>
    <t>Carson Middle School</t>
  </si>
  <si>
    <t>1060</t>
  </si>
  <si>
    <t>Peyton 23 Jt</t>
  </si>
  <si>
    <t>6902</t>
  </si>
  <si>
    <t>Peyton Senior High School</t>
  </si>
  <si>
    <t>1080</t>
  </si>
  <si>
    <t>Lewis-Palmer 38</t>
  </si>
  <si>
    <t>5093</t>
  </si>
  <si>
    <t xml:space="preserve">Monument Charter Academy Secondary School </t>
  </si>
  <si>
    <t>6678</t>
  </si>
  <si>
    <t>Palmer Ridge High School</t>
  </si>
  <si>
    <t>5100</t>
  </si>
  <si>
    <t>Lewis-Palmer High School</t>
  </si>
  <si>
    <t>6682</t>
  </si>
  <si>
    <t>Palmer Lake Elementary School</t>
  </si>
  <si>
    <t>5098</t>
  </si>
  <si>
    <t>Lewis-Palmer Middle School</t>
  </si>
  <si>
    <t>1480</t>
  </si>
  <si>
    <t>Stratton R-4</t>
  </si>
  <si>
    <t>8354</t>
  </si>
  <si>
    <t>Stratton Senior High School</t>
  </si>
  <si>
    <t>PITKIN</t>
  </si>
  <si>
    <t>2640</t>
  </si>
  <si>
    <t>Aspen 1</t>
  </si>
  <si>
    <t>0432</t>
  </si>
  <si>
    <t>Aspen High School</t>
  </si>
  <si>
    <t>0428</t>
  </si>
  <si>
    <t>Aspen Elementary School</t>
  </si>
  <si>
    <t>2700</t>
  </si>
  <si>
    <t>Pueblo County 70</t>
  </si>
  <si>
    <t>7534</t>
  </si>
  <si>
    <t>Rye High School</t>
  </si>
  <si>
    <t>0026</t>
  </si>
  <si>
    <t>Desert Sage Elementary School</t>
  </si>
  <si>
    <t>7886</t>
  </si>
  <si>
    <t>Sierra Vista Elementary School</t>
  </si>
  <si>
    <t>2720</t>
  </si>
  <si>
    <t>Rangely RE-4</t>
  </si>
  <si>
    <t>7268</t>
  </si>
  <si>
    <t>Parkview Elementary School</t>
  </si>
  <si>
    <t>2840</t>
  </si>
  <si>
    <t>Norwood R-2J</t>
  </si>
  <si>
    <t>6422</t>
  </si>
  <si>
    <t>Norwood Public Schools</t>
  </si>
  <si>
    <t>WASHINGTON</t>
  </si>
  <si>
    <t>3070</t>
  </si>
  <si>
    <t>Woodlin R-104</t>
  </si>
  <si>
    <t>9704</t>
  </si>
  <si>
    <t>Woodlin Undivided High School</t>
  </si>
  <si>
    <t>3090</t>
  </si>
  <si>
    <t>Weld County School District RE-3J</t>
  </si>
  <si>
    <t>4148</t>
  </si>
  <si>
    <t>Hudson Elementary School</t>
  </si>
  <si>
    <t>3120</t>
  </si>
  <si>
    <t>Greeley 6</t>
  </si>
  <si>
    <t>8965</t>
  </si>
  <si>
    <t>Union Colony Preparatory School</t>
  </si>
  <si>
    <t>2657</t>
  </si>
  <si>
    <t>Early College Academy</t>
  </si>
  <si>
    <t>9611</t>
  </si>
  <si>
    <t>West Ridge Academy</t>
  </si>
  <si>
    <t>5985</t>
  </si>
  <si>
    <t>Monfort Elementary School</t>
  </si>
  <si>
    <t>1875</t>
  </si>
  <si>
    <t>Frontier Charter Academy</t>
  </si>
  <si>
    <t>5752</t>
  </si>
  <si>
    <t>Meeker Elementary School</t>
  </si>
  <si>
    <t>0988</t>
  </si>
  <si>
    <t>Brentwood Middle School</t>
  </si>
  <si>
    <t>2850</t>
  </si>
  <si>
    <t>University Schools</t>
  </si>
  <si>
    <t>YUMA</t>
  </si>
  <si>
    <t>3230</t>
  </si>
  <si>
    <t>Liberty J-4</t>
  </si>
  <si>
    <t>5123</t>
  </si>
  <si>
    <t>Liberty School</t>
  </si>
  <si>
    <t>3220</t>
  </si>
  <si>
    <t>Idalia RJ-3</t>
  </si>
  <si>
    <t>4231</t>
  </si>
  <si>
    <t>Idalia Junior-Senior High School</t>
  </si>
  <si>
    <t>4341</t>
  </si>
  <si>
    <t>Westridge</t>
  </si>
  <si>
    <t>5231</t>
  </si>
  <si>
    <t>Sunshine Academy</t>
  </si>
  <si>
    <t>7006</t>
  </si>
  <si>
    <t>Montessori Academy of Colorado</t>
  </si>
  <si>
    <t>4339</t>
  </si>
  <si>
    <t>DPS - Barrett</t>
  </si>
  <si>
    <t>8675</t>
  </si>
  <si>
    <t>Stanley British Primary School</t>
  </si>
  <si>
    <t>8393</t>
  </si>
  <si>
    <t>Sewall Child Development Center - Smedley Elementary School</t>
  </si>
  <si>
    <t>2853</t>
  </si>
  <si>
    <t>Family Flex LLC</t>
  </si>
  <si>
    <t>8805</t>
  </si>
  <si>
    <t>St. Elizabeth's School</t>
  </si>
  <si>
    <t>3606</t>
  </si>
  <si>
    <t>The Rise School of Denver</t>
  </si>
  <si>
    <t>2291</t>
  </si>
  <si>
    <t>Crayon Academy</t>
  </si>
  <si>
    <t>4920</t>
  </si>
  <si>
    <t>Clayton Family Futures Head Start</t>
  </si>
  <si>
    <t>8612</t>
  </si>
  <si>
    <t>Christ Lutheran</t>
  </si>
  <si>
    <t>8591</t>
  </si>
  <si>
    <t>Accelerated Schools</t>
  </si>
  <si>
    <t>4349</t>
  </si>
  <si>
    <t>Clayton</t>
  </si>
  <si>
    <t>4323</t>
  </si>
  <si>
    <t>Highland</t>
  </si>
  <si>
    <t>4296</t>
  </si>
  <si>
    <t>Rude Park Child Development Center P2</t>
  </si>
  <si>
    <t>4435</t>
  </si>
  <si>
    <t>Highland II</t>
  </si>
  <si>
    <t>4260</t>
  </si>
  <si>
    <t>Little Friends</t>
  </si>
  <si>
    <t>4241</t>
  </si>
  <si>
    <t>Little Saints Daycare Center</t>
  </si>
  <si>
    <t>8658</t>
  </si>
  <si>
    <t>Escuela de Guadalupe</t>
  </si>
  <si>
    <t>8629</t>
  </si>
  <si>
    <t>La Academia/Inner City Parish</t>
  </si>
  <si>
    <t>9035</t>
  </si>
  <si>
    <t>Vail Christian Academy</t>
  </si>
  <si>
    <t>4395</t>
  </si>
  <si>
    <t>Guardian Angels</t>
  </si>
  <si>
    <t>3524</t>
  </si>
  <si>
    <t>Miramonte Kindercare</t>
  </si>
  <si>
    <t>8579</t>
  </si>
  <si>
    <t>Young Child Science Discovery</t>
  </si>
  <si>
    <t>1983</t>
  </si>
  <si>
    <t>Children's Creative Learning Center</t>
  </si>
  <si>
    <t>1991</t>
  </si>
  <si>
    <t>Sunshine House</t>
  </si>
  <si>
    <t>8580</t>
  </si>
  <si>
    <t>Mountain View Preschool</t>
  </si>
  <si>
    <t>4637</t>
  </si>
  <si>
    <t>Mapleton Montessori School</t>
  </si>
  <si>
    <t>3633</t>
  </si>
  <si>
    <t>Meadowlark Preschool</t>
  </si>
  <si>
    <t>4610</t>
  </si>
  <si>
    <t>Friends' School</t>
  </si>
  <si>
    <t>4573</t>
  </si>
  <si>
    <t>Alexander Dawson School</t>
  </si>
  <si>
    <t>8584</t>
  </si>
  <si>
    <t>Seventh Day Adventist</t>
  </si>
  <si>
    <t>4015</t>
  </si>
  <si>
    <t>Ave Maria Catholic School</t>
  </si>
  <si>
    <t>4932</t>
  </si>
  <si>
    <t>Monterey Head Start Colorado Preschool Program</t>
  </si>
  <si>
    <t>9372</t>
  </si>
  <si>
    <t>Weikel CPCD Preschool</t>
  </si>
  <si>
    <t>1020</t>
  </si>
  <si>
    <t>Cheyenne Mountain 12</t>
  </si>
  <si>
    <t>9804</t>
  </si>
  <si>
    <t xml:space="preserve">Zebulon Pike </t>
  </si>
  <si>
    <t>4268</t>
  </si>
  <si>
    <t>Tri-Lakes Community School</t>
  </si>
  <si>
    <t>1530</t>
  </si>
  <si>
    <t>Bayfield 10 Jt-R</t>
  </si>
  <si>
    <t>6473</t>
  </si>
  <si>
    <t>Hope Community Christian Academy</t>
  </si>
  <si>
    <t>TELLER</t>
  </si>
  <si>
    <t>3020</t>
  </si>
  <si>
    <t>Woodland Park Re-2</t>
  </si>
  <si>
    <t>6899</t>
  </si>
  <si>
    <t>Preschool in the Pines</t>
  </si>
  <si>
    <t>4880</t>
  </si>
  <si>
    <t>ABC Central</t>
  </si>
  <si>
    <t>3456</t>
  </si>
  <si>
    <t>Colorado Department of Education - Facilities Unit</t>
  </si>
  <si>
    <t>6214</t>
  </si>
  <si>
    <t>Star Point</t>
  </si>
  <si>
    <t>Facility Sch</t>
  </si>
  <si>
    <t>6211</t>
  </si>
  <si>
    <t>Shiloh Home - Longmont</t>
  </si>
  <si>
    <t>6175</t>
  </si>
  <si>
    <t>Sewall</t>
  </si>
  <si>
    <t>6411</t>
  </si>
  <si>
    <t>Sage Youth Center</t>
  </si>
  <si>
    <t>6108</t>
  </si>
  <si>
    <t>Midway Youth Services - Remington House</t>
  </si>
  <si>
    <t>6095</t>
  </si>
  <si>
    <t>Skyline Academy Day Treatment at the MHCD</t>
  </si>
  <si>
    <t>6079</t>
  </si>
  <si>
    <t>Denver Health Medical Center</t>
  </si>
  <si>
    <t>COLORADO BOCS</t>
  </si>
  <si>
    <t>9170</t>
  </si>
  <si>
    <t>Education reEnvisioned BOCES</t>
  </si>
  <si>
    <t>Colorado BOCES</t>
  </si>
  <si>
    <t>1892</t>
  </si>
  <si>
    <t>Orton Academy</t>
  </si>
  <si>
    <t>Centennial BOCES</t>
  </si>
  <si>
    <t>3997</t>
  </si>
  <si>
    <t>Innovative Connections High School</t>
  </si>
  <si>
    <t>100</t>
  </si>
  <si>
    <t>NONE</t>
  </si>
  <si>
    <t>8001</t>
  </si>
  <si>
    <t>Charter School Institute</t>
  </si>
  <si>
    <t>6266</t>
  </si>
  <si>
    <t>New Legacy Charter School</t>
  </si>
  <si>
    <t>0653</t>
  </si>
  <si>
    <t>Stone Creek School</t>
  </si>
  <si>
    <t>5423</t>
  </si>
  <si>
    <t>Mountain Village Montessori Charter School</t>
  </si>
  <si>
    <t>3393</t>
  </si>
  <si>
    <t>Golden View Classical Academy</t>
  </si>
  <si>
    <t>0655</t>
  </si>
  <si>
    <t>High Point Academy</t>
  </si>
  <si>
    <t>SUMMIT</t>
  </si>
  <si>
    <t>3000</t>
  </si>
  <si>
    <t>Summit RE-1</t>
  </si>
  <si>
    <t>8993</t>
  </si>
  <si>
    <t>Upper Blue Elementary School</t>
  </si>
  <si>
    <t>8376</t>
  </si>
  <si>
    <t>Silverthorne Elementary School</t>
  </si>
  <si>
    <t>8378</t>
  </si>
  <si>
    <t>Summit High School</t>
  </si>
  <si>
    <t>3050</t>
  </si>
  <si>
    <t>Otis R-3</t>
  </si>
  <si>
    <t>6586</t>
  </si>
  <si>
    <t>Otis Junior-Senior High School</t>
  </si>
  <si>
    <t>3080</t>
  </si>
  <si>
    <t>Weld County RE-1</t>
  </si>
  <si>
    <t>7058</t>
  </si>
  <si>
    <t>South Valley Middle School</t>
  </si>
  <si>
    <t>2448</t>
  </si>
  <si>
    <t>Eaton Elementary School</t>
  </si>
  <si>
    <t>2452</t>
  </si>
  <si>
    <t>Eaton Middle School</t>
  </si>
  <si>
    <t>2760</t>
  </si>
  <si>
    <t>Hayden RE-1</t>
  </si>
  <si>
    <t>3862</t>
  </si>
  <si>
    <t>Hayden High School</t>
  </si>
  <si>
    <t>6009</t>
  </si>
  <si>
    <t>Heritage Park Preschool</t>
  </si>
  <si>
    <t>4808</t>
  </si>
  <si>
    <t>Kids Kabin</t>
  </si>
  <si>
    <t>2800</t>
  </si>
  <si>
    <t>Moffat 2</t>
  </si>
  <si>
    <t>5958</t>
  </si>
  <si>
    <t>Moffat Prek-12 School</t>
  </si>
  <si>
    <t>SEDGWICK</t>
  </si>
  <si>
    <t>2865</t>
  </si>
  <si>
    <t>Revere School District</t>
  </si>
  <si>
    <t>7050</t>
  </si>
  <si>
    <t>Revere Elementary</t>
  </si>
  <si>
    <t>3546</t>
  </si>
  <si>
    <t>Granada Undivided High School</t>
  </si>
  <si>
    <t>2745</t>
  </si>
  <si>
    <t>Otero Jr. College Child Dev. Services Region 8 Head Start</t>
  </si>
  <si>
    <t>2754</t>
  </si>
  <si>
    <t>East Side Child Care Center</t>
  </si>
  <si>
    <t>0822</t>
  </si>
  <si>
    <t>Bessemer Elementary School</t>
  </si>
  <si>
    <t>Fountain International Magnet School</t>
  </si>
  <si>
    <t>8772</t>
  </si>
  <si>
    <t>The McClelland School</t>
  </si>
  <si>
    <t>6770</t>
  </si>
  <si>
    <t>Park View Elementary School</t>
  </si>
  <si>
    <t>8402</t>
  </si>
  <si>
    <t>Sunset Park Elementary School</t>
  </si>
  <si>
    <t>4302</t>
  </si>
  <si>
    <t>Irving Elementary School</t>
  </si>
  <si>
    <t>1504</t>
  </si>
  <si>
    <t>Goodnight Elementary School</t>
  </si>
  <si>
    <t>5750</t>
  </si>
  <si>
    <t>RIO GRANDE</t>
  </si>
  <si>
    <t>2730</t>
  </si>
  <si>
    <t>Upper Rio Grande School District C-7</t>
  </si>
  <si>
    <t>5379</t>
  </si>
  <si>
    <t>Del Norte Head Start - CPP</t>
  </si>
  <si>
    <t>2750</t>
  </si>
  <si>
    <t>Sargent RE-33J</t>
  </si>
  <si>
    <t>7664</t>
  </si>
  <si>
    <t>Sargent Senior High School</t>
  </si>
  <si>
    <t>0056</t>
  </si>
  <si>
    <t>Fowler Elementary School</t>
  </si>
  <si>
    <t>2560</t>
  </si>
  <si>
    <t>Cheraw 31</t>
  </si>
  <si>
    <t>1546</t>
  </si>
  <si>
    <t>Cheraw School</t>
  </si>
  <si>
    <t>5090</t>
  </si>
  <si>
    <t>Lewis-Arriola Elementary School</t>
  </si>
  <si>
    <t>2208</t>
  </si>
  <si>
    <t>Dolores Secondary School</t>
  </si>
  <si>
    <t>4714</t>
  </si>
  <si>
    <t>Mancos Head Start</t>
  </si>
  <si>
    <t>7189</t>
  </si>
  <si>
    <t>Pope John Paul II Academy</t>
  </si>
  <si>
    <t>6058</t>
  </si>
  <si>
    <t>Montrose High School</t>
  </si>
  <si>
    <t>6466</t>
  </si>
  <si>
    <t>Oak Grove Elementary School</t>
  </si>
  <si>
    <t>2942</t>
  </si>
  <si>
    <t>Early Childhood Center</t>
  </si>
  <si>
    <t>2395</t>
  </si>
  <si>
    <t>Brush RE-2(J)</t>
  </si>
  <si>
    <t>1094</t>
  </si>
  <si>
    <t>Brush Middle School</t>
  </si>
  <si>
    <t>7856</t>
  </si>
  <si>
    <t>Sherman Early Childhood Center</t>
  </si>
  <si>
    <t>6697</t>
  </si>
  <si>
    <t>Otero Junior College</t>
  </si>
  <si>
    <t>Rocky Ford R-2</t>
  </si>
  <si>
    <t>4801</t>
  </si>
  <si>
    <t>Santo Nino</t>
  </si>
  <si>
    <t>1790</t>
  </si>
  <si>
    <t>Limon RE-4J</t>
  </si>
  <si>
    <t>6670</t>
  </si>
  <si>
    <t>Limon Child Development Center</t>
  </si>
  <si>
    <t>4506</t>
  </si>
  <si>
    <t>Karval Junior-Senior High School</t>
  </si>
  <si>
    <t>1220</t>
  </si>
  <si>
    <t>Caliche Elementary School</t>
  </si>
  <si>
    <t>1224</t>
  </si>
  <si>
    <t>Caliche Junior-Senior High School</t>
  </si>
  <si>
    <t>1850</t>
  </si>
  <si>
    <t>Frenchman RE-3</t>
  </si>
  <si>
    <t>2980</t>
  </si>
  <si>
    <t>Fleming Elementary School</t>
  </si>
  <si>
    <t>1990</t>
  </si>
  <si>
    <t>Plateau Valley 50</t>
  </si>
  <si>
    <t>7032</t>
  </si>
  <si>
    <t>Plateau Valley High School</t>
  </si>
  <si>
    <t>7028</t>
  </si>
  <si>
    <t>Plateau Valley Middle School</t>
  </si>
  <si>
    <t>0357</t>
  </si>
  <si>
    <t>Crossroads Academy Preschool</t>
  </si>
  <si>
    <t>5230</t>
  </si>
  <si>
    <t>Landmark Baptist School</t>
  </si>
  <si>
    <t>5989</t>
  </si>
  <si>
    <t>Messiah Lutheran Church and School</t>
  </si>
  <si>
    <t>3604</t>
  </si>
  <si>
    <t>Grand River Academy</t>
  </si>
  <si>
    <t>3977</t>
  </si>
  <si>
    <t>Grand Mesa Head Start</t>
  </si>
  <si>
    <t>9066</t>
  </si>
  <si>
    <t>Wishes and Dreams Day Care Center</t>
  </si>
  <si>
    <t>1631</t>
  </si>
  <si>
    <t>Joyful Journey Preschool</t>
  </si>
  <si>
    <t>2739</t>
  </si>
  <si>
    <t>Step by Step Learning Center</t>
  </si>
  <si>
    <t>7110</t>
  </si>
  <si>
    <t>Pomona Elementary School</t>
  </si>
  <si>
    <t>2724</t>
  </si>
  <si>
    <t>New Emerson School at Columbus</t>
  </si>
  <si>
    <t>6666</t>
  </si>
  <si>
    <t>Palisade High School</t>
  </si>
  <si>
    <t>6264</t>
  </si>
  <si>
    <t>Nisley Elementary School</t>
  </si>
  <si>
    <t>3350</t>
  </si>
  <si>
    <t>Gateway School</t>
  </si>
  <si>
    <t>Chatfield Elementary School</t>
  </si>
  <si>
    <t>5962</t>
  </si>
  <si>
    <t>Moffat County High School</t>
  </si>
  <si>
    <t>3929</t>
  </si>
  <si>
    <t>9781</t>
  </si>
  <si>
    <t>Young Peoples Learning Center</t>
  </si>
  <si>
    <t>0473</t>
  </si>
  <si>
    <t>PSD Mountain Schools</t>
  </si>
  <si>
    <t>6008</t>
  </si>
  <si>
    <t>Base Camp/Red Feather</t>
  </si>
  <si>
    <t>7104</t>
  </si>
  <si>
    <t>Polaris Expeditionary Learning School</t>
  </si>
  <si>
    <t>5168</t>
  </si>
  <si>
    <t>Lincoln Middle School</t>
  </si>
  <si>
    <t>1186</t>
  </si>
  <si>
    <t>Cache La Poudre Elementary School</t>
  </si>
  <si>
    <t>5196</t>
  </si>
  <si>
    <t>Linton Elementary School</t>
  </si>
  <si>
    <t>5393</t>
  </si>
  <si>
    <t>Thompson Integrated Early Childhood</t>
  </si>
  <si>
    <t>8572</t>
  </si>
  <si>
    <t>Bright Horizons</t>
  </si>
  <si>
    <t>8754</t>
  </si>
  <si>
    <t>Campion Academy</t>
  </si>
  <si>
    <t>4332</t>
  </si>
  <si>
    <t>Ivy Stockwell Elementary School</t>
  </si>
  <si>
    <t>0808</t>
  </si>
  <si>
    <t>Berthoud Elementary School</t>
  </si>
  <si>
    <t>2792</t>
  </si>
  <si>
    <t>Estes Park Middle School</t>
  </si>
  <si>
    <t>7164</t>
  </si>
  <si>
    <t>Primero Junior-Senior High School</t>
  </si>
  <si>
    <t>1620</t>
  </si>
  <si>
    <t>Aguilar Reorganized 6</t>
  </si>
  <si>
    <t>0058</t>
  </si>
  <si>
    <t>Aguilar Elementary School</t>
  </si>
  <si>
    <t>6870</t>
  </si>
  <si>
    <t>Primrose School of West Woods</t>
  </si>
  <si>
    <t>0891</t>
  </si>
  <si>
    <t>Little Harvard Academy</t>
  </si>
  <si>
    <t>0577</t>
  </si>
  <si>
    <t>Jacob Academy-Alkire</t>
  </si>
  <si>
    <t>0862</t>
  </si>
  <si>
    <t>Tiny Hearts Academy - Edgewater</t>
  </si>
  <si>
    <t>9429</t>
  </si>
  <si>
    <t>West Woods Elementary School</t>
  </si>
  <si>
    <t>3691</t>
  </si>
  <si>
    <t>Great Work Montessori</t>
  </si>
  <si>
    <t>8631</t>
  </si>
  <si>
    <t>Front Range Christian School</t>
  </si>
  <si>
    <t>0541</t>
  </si>
  <si>
    <t>Goodard School - Lakewood</t>
  </si>
  <si>
    <t>4307</t>
  </si>
  <si>
    <t>Irwin Preschool</t>
  </si>
  <si>
    <t>0491</t>
  </si>
  <si>
    <t>Addenbrooke Classical Grammar School</t>
  </si>
  <si>
    <t>0223</t>
  </si>
  <si>
    <t>Augustine Classical Academy</t>
  </si>
  <si>
    <t>4825</t>
  </si>
  <si>
    <t>Kids Discovery Days</t>
  </si>
  <si>
    <t>8223</t>
  </si>
  <si>
    <t>Stevens Elementary School</t>
  </si>
  <si>
    <t>0072</t>
  </si>
  <si>
    <t>11th Avenue Head Start</t>
  </si>
  <si>
    <t>3201</t>
  </si>
  <si>
    <t>Free Horizon Montessori</t>
  </si>
  <si>
    <t>7190</t>
  </si>
  <si>
    <t>Prospect Valley Elementary School</t>
  </si>
  <si>
    <t>1880</t>
  </si>
  <si>
    <t>Compass Montessori - Golden Charter School</t>
  </si>
  <si>
    <t>7462</t>
  </si>
  <si>
    <t>Rocky Mountain Academy of Evergreen</t>
  </si>
  <si>
    <t>6541</t>
  </si>
  <si>
    <t>Jefferson County Open Secondary</t>
  </si>
  <si>
    <t>4660</t>
  </si>
  <si>
    <t>Lakewood Early Childhood Program</t>
  </si>
  <si>
    <t>6133</t>
  </si>
  <si>
    <t>Mortensen Elementary School</t>
  </si>
  <si>
    <t>5994</t>
  </si>
  <si>
    <t>Montessori Peaks Charter Academy</t>
  </si>
  <si>
    <t>9638</t>
  </si>
  <si>
    <t>Wilmore Davis Elementary School</t>
  </si>
  <si>
    <t>5350</t>
  </si>
  <si>
    <t>Lukas Elementary School</t>
  </si>
  <si>
    <t>9328</t>
  </si>
  <si>
    <t>Weber Elementary School</t>
  </si>
  <si>
    <t>8458</t>
  </si>
  <si>
    <t>John and Karen Litz Preschool</t>
  </si>
  <si>
    <t>8381</t>
  </si>
  <si>
    <t>Summit Ridge Middle School</t>
  </si>
  <si>
    <t>9424</t>
  </si>
  <si>
    <t>West Jefferson Elementary School</t>
  </si>
  <si>
    <t>7962</t>
  </si>
  <si>
    <t>Slater Elementary School</t>
  </si>
  <si>
    <t>2799</t>
  </si>
  <si>
    <t>Excel Academy Charter School</t>
  </si>
  <si>
    <t>5454</t>
  </si>
  <si>
    <t>Mandalay Middle School</t>
  </si>
  <si>
    <t>5354</t>
  </si>
  <si>
    <t>Lumberg Elementary School</t>
  </si>
  <si>
    <t>5222</t>
  </si>
  <si>
    <t>Little Elementary School</t>
  </si>
  <si>
    <t>3628</t>
  </si>
  <si>
    <t>Green Mountain High School</t>
  </si>
  <si>
    <t>0776</t>
  </si>
  <si>
    <t>Bergen Meadow Primary School</t>
  </si>
  <si>
    <t>0108</t>
  </si>
  <si>
    <t>Alameda International Junior/Senior High School</t>
  </si>
  <si>
    <t>3216</t>
  </si>
  <si>
    <t>Fremont Elementary School</t>
  </si>
  <si>
    <t>8433</t>
  </si>
  <si>
    <t>Sacred Heart Academy</t>
  </si>
  <si>
    <t>1700</t>
  </si>
  <si>
    <t xml:space="preserve">Cloud City High School </t>
  </si>
  <si>
    <t>4744</t>
  </si>
  <si>
    <t xml:space="preserve">Durango North Head Start </t>
  </si>
  <si>
    <t>5888</t>
  </si>
  <si>
    <t>Miller Middle School</t>
  </si>
  <si>
    <t>9806</t>
  </si>
  <si>
    <t>Robert DeNier Youth Services Center</t>
  </si>
  <si>
    <t>1455</t>
  </si>
  <si>
    <t>Children's Rocky Mountain School Inc</t>
  </si>
  <si>
    <t>2966</t>
  </si>
  <si>
    <t>Growing Years School</t>
  </si>
  <si>
    <t>8714</t>
  </si>
  <si>
    <t>Colorado Rocky Mountain School</t>
  </si>
  <si>
    <t>4510</t>
  </si>
  <si>
    <t>Kathryn Senor Elementary School</t>
  </si>
  <si>
    <t>3588</t>
  </si>
  <si>
    <t>The Goddard School</t>
  </si>
  <si>
    <t>The Children's Courtyard</t>
  </si>
  <si>
    <t>8055</t>
  </si>
  <si>
    <t>Soaring Heights PK-8</t>
  </si>
  <si>
    <t>0459</t>
  </si>
  <si>
    <t>Kiddie Academy of Erie</t>
  </si>
  <si>
    <t>0875</t>
  </si>
  <si>
    <t>Black Rock Elementary</t>
  </si>
  <si>
    <t>2964</t>
  </si>
  <si>
    <t>Flagstaff Charter Academy</t>
  </si>
  <si>
    <t>8604</t>
  </si>
  <si>
    <t>Bright Horizons Longmont</t>
  </si>
  <si>
    <t>4224</t>
  </si>
  <si>
    <t>Inspire Preschool YMCA</t>
  </si>
  <si>
    <t>6276</t>
  </si>
  <si>
    <t>Niwot High School</t>
  </si>
  <si>
    <t>6156</t>
  </si>
  <si>
    <t>Mountain View Elementary School</t>
  </si>
  <si>
    <t>2761</t>
  </si>
  <si>
    <t>Erie High School</t>
  </si>
  <si>
    <t>1844</t>
  </si>
  <si>
    <t>Columbine Elementary School</t>
  </si>
  <si>
    <t>0490</t>
  </si>
  <si>
    <t>Buena Vista R-31</t>
  </si>
  <si>
    <t>4916</t>
  </si>
  <si>
    <t>Chaffee County Head Start/Avery-Parsons Preschool</t>
  </si>
  <si>
    <t>1130</t>
  </si>
  <si>
    <t>Buena Vista High School</t>
  </si>
  <si>
    <t>4085</t>
  </si>
  <si>
    <t>Horizons Exploratory Academy</t>
  </si>
  <si>
    <t>CLEAR CREEK</t>
  </si>
  <si>
    <t>0540</t>
  </si>
  <si>
    <t>Clear Creek RE-1</t>
  </si>
  <si>
    <t>1660</t>
  </si>
  <si>
    <t>Clear Creek Middle School</t>
  </si>
  <si>
    <t>6339</t>
  </si>
  <si>
    <t>North Conejos Alternative Program</t>
  </si>
  <si>
    <t>4189</t>
  </si>
  <si>
    <t>Heritage Heights Academy</t>
  </si>
  <si>
    <t>7158</t>
  </si>
  <si>
    <t>Prairie Middle School</t>
  </si>
  <si>
    <t>4975</t>
  </si>
  <si>
    <t>Laredo Middle School</t>
  </si>
  <si>
    <t>9624</t>
  </si>
  <si>
    <t>Willow Creek Elementary School</t>
  </si>
  <si>
    <t>0442</t>
  </si>
  <si>
    <t>Aspen Crossing Elementary School</t>
  </si>
  <si>
    <t>4078</t>
  </si>
  <si>
    <t>Homestead Elementary School</t>
  </si>
  <si>
    <t>Challenge School</t>
  </si>
  <si>
    <t>4280</t>
  </si>
  <si>
    <t>Indian Ridge Elementary School</t>
  </si>
  <si>
    <t>1568</t>
  </si>
  <si>
    <t>West Middle School</t>
  </si>
  <si>
    <t>1566</t>
  </si>
  <si>
    <t>Campus Middle School</t>
  </si>
  <si>
    <t>4062</t>
  </si>
  <si>
    <t>Holly Hills Elementary School</t>
  </si>
  <si>
    <t>4316</t>
  </si>
  <si>
    <t>Newton Middle School</t>
  </si>
  <si>
    <t>4447</t>
  </si>
  <si>
    <t>John Wesley Powell Middle School</t>
  </si>
  <si>
    <t>1382</t>
  </si>
  <si>
    <t>Centennial Academy of Fine Arts Education</t>
  </si>
  <si>
    <t>0752</t>
  </si>
  <si>
    <t>Franklin Elementary School</t>
  </si>
  <si>
    <t>3950</t>
  </si>
  <si>
    <t>Highland Elementary School</t>
  </si>
  <si>
    <t>1851</t>
  </si>
  <si>
    <t>Harmony Ridge P-8</t>
  </si>
  <si>
    <t>9053</t>
  </si>
  <si>
    <t>Vega Collegiate Academy</t>
  </si>
  <si>
    <t>0136</t>
  </si>
  <si>
    <t>APS Early Beginnings - A Zoom Site</t>
  </si>
  <si>
    <t>7232</t>
  </si>
  <si>
    <t>Aurora Quest K-8</t>
  </si>
  <si>
    <t>6869</t>
  </si>
  <si>
    <t>Peoria Elementary School</t>
  </si>
  <si>
    <t>4646</t>
  </si>
  <si>
    <t>Kenton Elementary School</t>
  </si>
  <si>
    <t>0464</t>
  </si>
  <si>
    <t>Aurora Hills Middle School</t>
  </si>
  <si>
    <t>0214</t>
  </si>
  <si>
    <t>Altura Elementary School</t>
  </si>
  <si>
    <t>3362</t>
  </si>
  <si>
    <t>Astravo Online Academy High School</t>
  </si>
  <si>
    <t>1176</t>
  </si>
  <si>
    <t>Byers Junior-Senior High School</t>
  </si>
  <si>
    <t>0230</t>
  </si>
  <si>
    <t>Walsh RE-1</t>
  </si>
  <si>
    <t>9222</t>
  </si>
  <si>
    <t>Walsh Elementary School</t>
  </si>
  <si>
    <t>9226</t>
  </si>
  <si>
    <t>Walsh High School</t>
  </si>
  <si>
    <t>8310</t>
  </si>
  <si>
    <t>STEM Launch</t>
  </si>
  <si>
    <t>7795</t>
  </si>
  <si>
    <t>Silver Creek Elementary</t>
  </si>
  <si>
    <t>4108</t>
  </si>
  <si>
    <t>Horizon High School</t>
  </si>
  <si>
    <t>7155</t>
  </si>
  <si>
    <t>6402</t>
  </si>
  <si>
    <t>Northglenn High School</t>
  </si>
  <si>
    <t>1519</t>
  </si>
  <si>
    <t>Stargate Charter School</t>
  </si>
  <si>
    <t>2945</t>
  </si>
  <si>
    <t>Foundations Academy</t>
  </si>
  <si>
    <t>7725</t>
  </si>
  <si>
    <t>SD 27J Preschool at the Brighton LRC</t>
  </si>
  <si>
    <t>1022</t>
  </si>
  <si>
    <t>Brighton High School</t>
  </si>
  <si>
    <t>0562</t>
  </si>
  <si>
    <t>Bennett Intermediate School</t>
  </si>
  <si>
    <t>0060</t>
  </si>
  <si>
    <t>Strasburg 31J</t>
  </si>
  <si>
    <t>8332</t>
  </si>
  <si>
    <t>Hemphill Middle School</t>
  </si>
  <si>
    <t>0120</t>
  </si>
  <si>
    <t>Englewood 1</t>
  </si>
  <si>
    <t>2746</t>
  </si>
  <si>
    <t>Englewood High School</t>
  </si>
  <si>
    <t>0123</t>
  </si>
  <si>
    <t>Sheridan 2</t>
  </si>
  <si>
    <t>7842</t>
  </si>
  <si>
    <t>Sheridan High School</t>
  </si>
  <si>
    <t>9671</t>
  </si>
  <si>
    <t xml:space="preserve">Inspire4 K-12 Online School </t>
  </si>
  <si>
    <t>7958</t>
  </si>
  <si>
    <t>Skyview Elementary School</t>
  </si>
  <si>
    <t>9665</t>
  </si>
  <si>
    <t>Windsor Charter Academy Elementary School</t>
  </si>
  <si>
    <t>3110</t>
  </si>
  <si>
    <t>Johnstown-Milliken RE-5J</t>
  </si>
  <si>
    <t>6963</t>
  </si>
  <si>
    <t>Pioneer Ridge Elementary School</t>
  </si>
  <si>
    <t>5078</t>
  </si>
  <si>
    <t>Letford Elementary School</t>
  </si>
  <si>
    <t>3130</t>
  </si>
  <si>
    <t>Platte Valley RE-7</t>
  </si>
  <si>
    <t>7054</t>
  </si>
  <si>
    <t>Platte Valley Middle School</t>
  </si>
  <si>
    <t>3140</t>
  </si>
  <si>
    <t>Weld Re-8 Schools</t>
  </si>
  <si>
    <t>3066</t>
  </si>
  <si>
    <t>Fort Lupton Middle School</t>
  </si>
  <si>
    <t>3147</t>
  </si>
  <si>
    <t>Prairie RE-11</t>
  </si>
  <si>
    <t>7156</t>
  </si>
  <si>
    <t>Prairie Junior-Senior High School</t>
  </si>
  <si>
    <t>3148</t>
  </si>
  <si>
    <t>Pawnee RE-12</t>
  </si>
  <si>
    <t>6812</t>
  </si>
  <si>
    <t>Pawnee School PK-12</t>
  </si>
  <si>
    <t>GILPIN</t>
  </si>
  <si>
    <t>1330</t>
  </si>
  <si>
    <t>Gilpin County RE-1</t>
  </si>
  <si>
    <t>1634</t>
  </si>
  <si>
    <t>Gilpin County Undivided High School</t>
  </si>
  <si>
    <t>1340</t>
  </si>
  <si>
    <t>West Grand 1-JT</t>
  </si>
  <si>
    <t>9420</t>
  </si>
  <si>
    <t>West Grand High School</t>
  </si>
  <si>
    <t>3694</t>
  </si>
  <si>
    <t>Gunnison High School</t>
  </si>
  <si>
    <t>1901</t>
  </si>
  <si>
    <t>Journey K8</t>
  </si>
  <si>
    <t>1629</t>
  </si>
  <si>
    <t>The Classical Academy Middle School</t>
  </si>
  <si>
    <t>1630</t>
  </si>
  <si>
    <t>The Classical Academy High School</t>
  </si>
  <si>
    <t>6140</t>
  </si>
  <si>
    <t>Mountain Ridge Middle School</t>
  </si>
  <si>
    <t>3104</t>
  </si>
  <si>
    <t>Foothills Elementary School</t>
  </si>
  <si>
    <t>0076</t>
  </si>
  <si>
    <t>Air Academy High School</t>
  </si>
  <si>
    <t>3238</t>
  </si>
  <si>
    <t>Frontier Elementary School</t>
  </si>
  <si>
    <t>Ellicott Middle School</t>
  </si>
  <si>
    <t>0448</t>
  </si>
  <si>
    <t>Rocky Mountain Classical Academy Homeschool</t>
  </si>
  <si>
    <t>3475</t>
  </si>
  <si>
    <t>GOAL Academy</t>
  </si>
  <si>
    <t>7317</t>
  </si>
  <si>
    <t>Remington Elementary School</t>
  </si>
  <si>
    <t>1120</t>
  </si>
  <si>
    <t>Edison 54 JT</t>
  </si>
  <si>
    <t>2514</t>
  </si>
  <si>
    <t>7950</t>
  </si>
  <si>
    <t>Canon Exploratory School</t>
  </si>
  <si>
    <t>5166</t>
  </si>
  <si>
    <t>Lincoln School of Science and Technology</t>
  </si>
  <si>
    <t>1150</t>
  </si>
  <si>
    <t>Fremont RE-2</t>
  </si>
  <si>
    <t>3224</t>
  </si>
  <si>
    <t>4726</t>
  </si>
  <si>
    <t>Kiowa Middle School</t>
  </si>
  <si>
    <t>6563</t>
  </si>
  <si>
    <t>Our Lady of Loreto Catholic School</t>
  </si>
  <si>
    <t>4597</t>
  </si>
  <si>
    <t>Willows Child Learning Center</t>
  </si>
  <si>
    <t>0078</t>
  </si>
  <si>
    <t>Aspen Academy</t>
  </si>
  <si>
    <t>7003</t>
  </si>
  <si>
    <t>Bethany Busy Bee Preschool</t>
  </si>
  <si>
    <t>4047</t>
  </si>
  <si>
    <t>Shepherd of the Hills Lutheran</t>
  </si>
  <si>
    <t>8384</t>
  </si>
  <si>
    <t>Summer Valley - Tiny Tot Village Green City of Aurora</t>
  </si>
  <si>
    <t>4911</t>
  </si>
  <si>
    <t>Beck Recreation Center</t>
  </si>
  <si>
    <t>4897</t>
  </si>
  <si>
    <t>Meadowood Recreation Center</t>
  </si>
  <si>
    <t>4631</t>
  </si>
  <si>
    <t>St Pius X School</t>
  </si>
  <si>
    <t>4747</t>
  </si>
  <si>
    <t>Pagosa Springs Head Start</t>
  </si>
  <si>
    <t>4887</t>
  </si>
  <si>
    <t>Mapleton Early Learning Center (Head Start)</t>
  </si>
  <si>
    <t>4002</t>
  </si>
  <si>
    <t>Assumption School</t>
  </si>
  <si>
    <t>0777</t>
  </si>
  <si>
    <t>Brother Bear Childcare 2</t>
  </si>
  <si>
    <t>4888</t>
  </si>
  <si>
    <t>Federal Heights Head Start</t>
  </si>
  <si>
    <t>7130</t>
  </si>
  <si>
    <t>Primrose School at Reunion</t>
  </si>
  <si>
    <t>4034</t>
  </si>
  <si>
    <t>Elmwood Baptist School</t>
  </si>
  <si>
    <t>ALAMOSA</t>
  </si>
  <si>
    <t>0100</t>
  </si>
  <si>
    <t>Alamosa RE-11J</t>
  </si>
  <si>
    <t>5307</t>
  </si>
  <si>
    <t>ABC and 123 Preschool</t>
  </si>
  <si>
    <t>4553</t>
  </si>
  <si>
    <t>Trinity Lutheran School</t>
  </si>
  <si>
    <t>0873</t>
  </si>
  <si>
    <t>Our Lady of Lourdes - South</t>
  </si>
  <si>
    <t>4894</t>
  </si>
  <si>
    <t>Arapahoe Community College Child Development Center</t>
  </si>
  <si>
    <t>3023</t>
  </si>
  <si>
    <t>Faith United Church of Christ</t>
  </si>
  <si>
    <t>4521</t>
  </si>
  <si>
    <t>Eagles' Nest Learning Center</t>
  </si>
  <si>
    <t>7405</t>
  </si>
  <si>
    <t>RMSER So Colo Head Start Walsenburg Ctr</t>
  </si>
  <si>
    <t>4390</t>
  </si>
  <si>
    <t>Autism Concepts Inc</t>
  </si>
  <si>
    <t>8709</t>
  </si>
  <si>
    <t>Hilltop Baptist School</t>
  </si>
  <si>
    <t>6221</t>
  </si>
  <si>
    <t>Starpoint Spin on the Northside</t>
  </si>
  <si>
    <t>2727</t>
  </si>
  <si>
    <t>Spin Early Childhood Care and Education Center</t>
  </si>
  <si>
    <t>4772</t>
  </si>
  <si>
    <t>Rocky Mountain Children's Discovery Center</t>
  </si>
  <si>
    <t>1160</t>
  </si>
  <si>
    <t>Cotopaxi RE-3</t>
  </si>
  <si>
    <t>4783</t>
  </si>
  <si>
    <t>The Cotopaxi Early Learning Center</t>
  </si>
  <si>
    <t>0970</t>
  </si>
  <si>
    <t>Calhan RJ-1</t>
  </si>
  <si>
    <t>1218</t>
  </si>
  <si>
    <t xml:space="preserve">Calhan Secondary School </t>
  </si>
  <si>
    <t>4707</t>
  </si>
  <si>
    <t>Security 2</t>
  </si>
  <si>
    <t>8687</t>
  </si>
  <si>
    <t>Fountain Valley School</t>
  </si>
  <si>
    <t>9445</t>
  </si>
  <si>
    <t>West Elementary School</t>
  </si>
  <si>
    <t>5102</t>
  </si>
  <si>
    <t>Longfellow Head Start</t>
  </si>
  <si>
    <t>4999</t>
  </si>
  <si>
    <t>Queen Palmer CPCD Preschool</t>
  </si>
  <si>
    <t>4997</t>
  </si>
  <si>
    <t>Carver CPCD Preschool</t>
  </si>
  <si>
    <t>8575</t>
  </si>
  <si>
    <t>Junior Academy Small Wonders</t>
  </si>
  <si>
    <t>4629</t>
  </si>
  <si>
    <t>Holy Cross Lutheran Church</t>
  </si>
  <si>
    <t>5948</t>
  </si>
  <si>
    <t>Mitchell High School</t>
  </si>
  <si>
    <t>4424</t>
  </si>
  <si>
    <t>Jenkins Middle School</t>
  </si>
  <si>
    <t>8346</t>
  </si>
  <si>
    <t>Stratton Elementary School</t>
  </si>
  <si>
    <t>1870</t>
  </si>
  <si>
    <t>Coronado High School</t>
  </si>
  <si>
    <t>1616</t>
  </si>
  <si>
    <t>CIVA Charter Academy</t>
  </si>
  <si>
    <t>1798</t>
  </si>
  <si>
    <t>Columbia Elementary School</t>
  </si>
  <si>
    <t>1126</t>
  </si>
  <si>
    <t>Buena Vista Elementary School</t>
  </si>
  <si>
    <t>4253</t>
  </si>
  <si>
    <t>Inspire Elementary</t>
  </si>
  <si>
    <t>2176</t>
  </si>
  <si>
    <t>Denver Green School Northfield</t>
  </si>
  <si>
    <t>7192</t>
  </si>
  <si>
    <t>Pascual Ledoux Academy</t>
  </si>
  <si>
    <t>2175</t>
  </si>
  <si>
    <t>DSST: Cole High School</t>
  </si>
  <si>
    <t>0099</t>
  </si>
  <si>
    <t>Academy 360</t>
  </si>
  <si>
    <t>7361</t>
  </si>
  <si>
    <t>RiseUp Community School</t>
  </si>
  <si>
    <t>4850</t>
  </si>
  <si>
    <t>KIPP Sunshine Peak Elementary</t>
  </si>
  <si>
    <t>4213</t>
  </si>
  <si>
    <t>Isabella Bird Community School</t>
  </si>
  <si>
    <t>9390</t>
  </si>
  <si>
    <t>STRIVE Prep - Lake</t>
  </si>
  <si>
    <t>7972</t>
  </si>
  <si>
    <t>Slavens K-8 School</t>
  </si>
  <si>
    <t>1748</t>
  </si>
  <si>
    <t>Colorado High School Charter</t>
  </si>
  <si>
    <t>5578</t>
  </si>
  <si>
    <t>Marrama Elementary School</t>
  </si>
  <si>
    <t>6508</t>
  </si>
  <si>
    <t>Omar D Blair Charter School</t>
  </si>
  <si>
    <t>8422</t>
  </si>
  <si>
    <t>Swansea Elementary School</t>
  </si>
  <si>
    <t>1076</t>
  </si>
  <si>
    <t>Brown International Academy</t>
  </si>
  <si>
    <t>Abraham Lincoln High School</t>
  </si>
  <si>
    <t>2174</t>
  </si>
  <si>
    <t>Denison Montessori School</t>
  </si>
  <si>
    <t>1324</t>
  </si>
  <si>
    <t>Carson Elementary School</t>
  </si>
  <si>
    <t>3600</t>
  </si>
  <si>
    <t>Grant Beacon Middle School</t>
  </si>
  <si>
    <t>6188</t>
  </si>
  <si>
    <t>Munroe Elementary School</t>
  </si>
  <si>
    <t>3378</t>
  </si>
  <si>
    <t>George Washington High School</t>
  </si>
  <si>
    <t>DOLORES</t>
  </si>
  <si>
    <t>0890</t>
  </si>
  <si>
    <t>Dolores County RE No.2</t>
  </si>
  <si>
    <t>7764</t>
  </si>
  <si>
    <t>Seventh Street Elementary School</t>
  </si>
  <si>
    <t>0205</t>
  </si>
  <si>
    <t>Red Canyon High School</t>
  </si>
  <si>
    <t>0920</t>
  </si>
  <si>
    <t>Elizabeth School District</t>
  </si>
  <si>
    <t>7300</t>
  </si>
  <si>
    <t>Elizabeth Running Creek Preschool</t>
  </si>
  <si>
    <t>4986</t>
  </si>
  <si>
    <t>Las Animas Junior High School</t>
  </si>
  <si>
    <t>0310</t>
  </si>
  <si>
    <t>McClave Re-2</t>
  </si>
  <si>
    <t>5670</t>
  </si>
  <si>
    <t>McClave Undivided High School</t>
  </si>
  <si>
    <t>5666</t>
  </si>
  <si>
    <t>McClave Elementary School</t>
  </si>
  <si>
    <t>0030</t>
  </si>
  <si>
    <t>Adams County 14</t>
  </si>
  <si>
    <t>2308</t>
  </si>
  <si>
    <t>Dupont Elementary School</t>
  </si>
  <si>
    <t>4516</t>
  </si>
  <si>
    <t>Kearney Middle School</t>
  </si>
  <si>
    <t>0024</t>
  </si>
  <si>
    <t>Adams City High School</t>
  </si>
  <si>
    <t>0186</t>
  </si>
  <si>
    <t>Alsup Elementary School</t>
  </si>
  <si>
    <t>4334</t>
  </si>
  <si>
    <t>Colorado STEM Academy</t>
  </si>
  <si>
    <t>7860</t>
  </si>
  <si>
    <t>Sherrelwood Elementary School</t>
  </si>
  <si>
    <t>7812</t>
  </si>
  <si>
    <t>Shaw Heights Middle School</t>
  </si>
  <si>
    <t>7592</t>
  </si>
  <si>
    <t>Alicia Sanchez International School</t>
  </si>
  <si>
    <t>8135</t>
  </si>
  <si>
    <t>Southern Hills Middle School</t>
  </si>
  <si>
    <t>7528</t>
  </si>
  <si>
    <t>Ryan Elementary School</t>
  </si>
  <si>
    <t>1070</t>
  </si>
  <si>
    <t>Broomfield High School</t>
  </si>
  <si>
    <t>6708</t>
  </si>
  <si>
    <t>Paonia High School</t>
  </si>
  <si>
    <t>4182</t>
  </si>
  <si>
    <t>Cedaredge Elementary School</t>
  </si>
  <si>
    <t>5154</t>
  </si>
  <si>
    <t>Lincoln Elementary School</t>
  </si>
  <si>
    <t>6719</t>
  </si>
  <si>
    <t>Parker Performing Arts</t>
  </si>
  <si>
    <t>5405</t>
  </si>
  <si>
    <t>eDCSD</t>
  </si>
  <si>
    <t>7718</t>
  </si>
  <si>
    <t>Sedalia Elementary School</t>
  </si>
  <si>
    <t>2338</t>
  </si>
  <si>
    <t>Eagle Academy</t>
  </si>
  <si>
    <t>7562</t>
  </si>
  <si>
    <t>Saddle Ranch Elementary School</t>
  </si>
  <si>
    <t>1925</t>
  </si>
  <si>
    <t>Cougar Run Elementary School</t>
  </si>
  <si>
    <t>4380</t>
  </si>
  <si>
    <t>James Irwin Charter Elementary School</t>
  </si>
  <si>
    <t>5763</t>
  </si>
  <si>
    <t>Mountain Vista Homeschool Academy</t>
  </si>
  <si>
    <t>4378</t>
  </si>
  <si>
    <t>James Irwin Charter High School</t>
  </si>
  <si>
    <t>8350</t>
  </si>
  <si>
    <t>Stratton Meadows Elementary School</t>
  </si>
  <si>
    <t>4379</t>
  </si>
  <si>
    <t>James Irwin Charter Middle School</t>
  </si>
  <si>
    <t>3106</t>
  </si>
  <si>
    <t>Fountain Middle School</t>
  </si>
  <si>
    <t>1596</t>
  </si>
  <si>
    <t>Canon Elementary School</t>
  </si>
  <si>
    <t>1586</t>
  </si>
  <si>
    <t>Cheyenne Mountain Elementary School</t>
  </si>
  <si>
    <t>1588</t>
  </si>
  <si>
    <t>Cheyenne Mountain Junior High School</t>
  </si>
  <si>
    <t>5096</t>
  </si>
  <si>
    <t>Lewis-Palmer Elementary School</t>
  </si>
  <si>
    <t>0642</t>
  </si>
  <si>
    <t>Bayfield Primary School</t>
  </si>
  <si>
    <t>1760</t>
  </si>
  <si>
    <t>Kim Reorganized 88</t>
  </si>
  <si>
    <t>4694</t>
  </si>
  <si>
    <t>Kim Undivided High School</t>
  </si>
  <si>
    <t>2515</t>
  </si>
  <si>
    <t>Wiggins RE-50(J)</t>
  </si>
  <si>
    <t>9582</t>
  </si>
  <si>
    <t>Wiggins High School</t>
  </si>
  <si>
    <t>0447</t>
  </si>
  <si>
    <t>Aspen Preschool</t>
  </si>
  <si>
    <t>9084</t>
  </si>
  <si>
    <t>Villa Bella Expeditionary School</t>
  </si>
  <si>
    <t>7086</t>
  </si>
  <si>
    <t>Pleasant View Middle School</t>
  </si>
  <si>
    <t>0025</t>
  </si>
  <si>
    <t>Sky View Middle School</t>
  </si>
  <si>
    <t>9130</t>
  </si>
  <si>
    <t>Vineland Elementary School</t>
  </si>
  <si>
    <t>7208</t>
  </si>
  <si>
    <t>Pueblo County High School</t>
  </si>
  <si>
    <t>7276</t>
  </si>
  <si>
    <t>Rangely Junior/Senior High School</t>
  </si>
  <si>
    <t>2810</t>
  </si>
  <si>
    <t>Center 26 JT</t>
  </si>
  <si>
    <t>0051</t>
  </si>
  <si>
    <t>The Academic Recovery Center of San Luis Valley</t>
  </si>
  <si>
    <t>1416</t>
  </si>
  <si>
    <t>Skoglund Middle School</t>
  </si>
  <si>
    <t>9696</t>
  </si>
  <si>
    <t>Woodland Park High School</t>
  </si>
  <si>
    <t>9347</t>
  </si>
  <si>
    <t>Weld Central Middle School</t>
  </si>
  <si>
    <t>8467</t>
  </si>
  <si>
    <t>Salida del Sol Academy</t>
  </si>
  <si>
    <t>4438</t>
  </si>
  <si>
    <t>Prairie Heights Middle School</t>
  </si>
  <si>
    <t>3614</t>
  </si>
  <si>
    <t>Greeley West High School</t>
  </si>
  <si>
    <t>9062</t>
  </si>
  <si>
    <t>Venture for Success Preparatory Learning Center</t>
  </si>
  <si>
    <t>7251</t>
  </si>
  <si>
    <t>Rock Solid Christian Academy</t>
  </si>
  <si>
    <t>5237</t>
  </si>
  <si>
    <t>WCRJ Preschool</t>
  </si>
  <si>
    <t>8673</t>
  </si>
  <si>
    <t>St Rose of Lima School</t>
  </si>
  <si>
    <t>1905</t>
  </si>
  <si>
    <t>Child Care Partners DBA University Child Care</t>
  </si>
  <si>
    <t>3608</t>
  </si>
  <si>
    <t>Montview Community Preschool and Kindergarten</t>
  </si>
  <si>
    <t>3609</t>
  </si>
  <si>
    <t>Auraria Early Learning Center</t>
  </si>
  <si>
    <t>4926</t>
  </si>
  <si>
    <t>Quigg Newton Head Start Rocky Mountain SER</t>
  </si>
  <si>
    <t>4923</t>
  </si>
  <si>
    <t>DPS ECE Oakland Elementary (Head Start)</t>
  </si>
  <si>
    <t>4372</t>
  </si>
  <si>
    <t>DPS - Phillips</t>
  </si>
  <si>
    <t>4343</t>
  </si>
  <si>
    <t>Northeast Montessori P1</t>
  </si>
  <si>
    <t>4338</t>
  </si>
  <si>
    <t>Keegan</t>
  </si>
  <si>
    <t>4337</t>
  </si>
  <si>
    <t>Edna Oliver Montessori</t>
  </si>
  <si>
    <t>4301</t>
  </si>
  <si>
    <t>George Washington Carver CDC</t>
  </si>
  <si>
    <t>4293</t>
  </si>
  <si>
    <t>DPS - Greenlee</t>
  </si>
  <si>
    <t>4291</t>
  </si>
  <si>
    <t>Margery Reed Mayo</t>
  </si>
  <si>
    <t>4247</t>
  </si>
  <si>
    <t>Hope Center</t>
  </si>
  <si>
    <t>4242</t>
  </si>
  <si>
    <t>Family Star Montessori</t>
  </si>
  <si>
    <t>8647</t>
  </si>
  <si>
    <t>Bishop Machebeuf Catholic High School</t>
  </si>
  <si>
    <t>9803</t>
  </si>
  <si>
    <t>Gilliam School</t>
  </si>
  <si>
    <t>8633</t>
  </si>
  <si>
    <t>Emmaus Lutheran School</t>
  </si>
  <si>
    <t>8623</t>
  </si>
  <si>
    <t>Denver Child Care Center</t>
  </si>
  <si>
    <t>8620</t>
  </si>
  <si>
    <t>Denver Academy</t>
  </si>
  <si>
    <t>8618</t>
  </si>
  <si>
    <t>Colorado Christian School</t>
  </si>
  <si>
    <t>4619</t>
  </si>
  <si>
    <t>St Clare of Assisi</t>
  </si>
  <si>
    <t>8685</t>
  </si>
  <si>
    <t>Vail Mountain School</t>
  </si>
  <si>
    <t>7115</t>
  </si>
  <si>
    <t>Blessed Miguel Pro Catholic Academy</t>
  </si>
  <si>
    <t>4917</t>
  </si>
  <si>
    <t>Adams County Head Start Rainbow Center</t>
  </si>
  <si>
    <t>4041</t>
  </si>
  <si>
    <t>Dottie's Day Care Inc</t>
  </si>
  <si>
    <t>6941</t>
  </si>
  <si>
    <t>Brightmont Academy</t>
  </si>
  <si>
    <t>4617</t>
  </si>
  <si>
    <t>Tara Performing Arts High School</t>
  </si>
  <si>
    <t>3511</t>
  </si>
  <si>
    <t>Questar Academy</t>
  </si>
  <si>
    <t>1985</t>
  </si>
  <si>
    <t>Family Housing Children's Center</t>
  </si>
  <si>
    <t>1988</t>
  </si>
  <si>
    <t>Jarrow Montessori</t>
  </si>
  <si>
    <t>8556</t>
  </si>
  <si>
    <t>Montessori Academy</t>
  </si>
  <si>
    <t>5375</t>
  </si>
  <si>
    <t>Rocky Mountain SER Head Start Sanford Center</t>
  </si>
  <si>
    <t>7286</t>
  </si>
  <si>
    <t>Redeemer Tiny Treasures</t>
  </si>
  <si>
    <t>1980</t>
  </si>
  <si>
    <t>Great Beginnings</t>
  </si>
  <si>
    <t>4236</t>
  </si>
  <si>
    <t>Wee Care</t>
  </si>
  <si>
    <t>4234</t>
  </si>
  <si>
    <t>Little Sprouts</t>
  </si>
  <si>
    <t>7000</t>
  </si>
  <si>
    <t xml:space="preserve">St. Katharine Drexel Catholic School </t>
  </si>
  <si>
    <t>8558</t>
  </si>
  <si>
    <t>Parker Montessori Educational Institute</t>
  </si>
  <si>
    <t>4616</t>
  </si>
  <si>
    <t>Southeast Christian School</t>
  </si>
  <si>
    <t>4593</t>
  </si>
  <si>
    <t>Montessori School at Lone Tree</t>
  </si>
  <si>
    <t>8646</t>
  </si>
  <si>
    <t>Lutheran High School</t>
  </si>
  <si>
    <t>8619</t>
  </si>
  <si>
    <t>Hillsprings Learning Center</t>
  </si>
  <si>
    <t>6612</t>
  </si>
  <si>
    <t>Oak Creek CPCD Head Start</t>
  </si>
  <si>
    <t>6616</t>
  </si>
  <si>
    <t>Otero CPCD Head Start</t>
  </si>
  <si>
    <t>4937</t>
  </si>
  <si>
    <t>Turman CPCD Preschool Modular</t>
  </si>
  <si>
    <t>4705</t>
  </si>
  <si>
    <t>0516</t>
  </si>
  <si>
    <t>Heather Hieb-Hendricks</t>
  </si>
  <si>
    <t>4804</t>
  </si>
  <si>
    <t>6951</t>
  </si>
  <si>
    <t>Peak Children's Academy</t>
  </si>
  <si>
    <t>1268</t>
  </si>
  <si>
    <t>CDI - Plaza del Milagro Head Start</t>
  </si>
  <si>
    <t>6168</t>
  </si>
  <si>
    <t>Family Education Network Weld County Centennial</t>
  </si>
  <si>
    <t>6716</t>
  </si>
  <si>
    <t>Family Education Network Weld County Dosrios</t>
  </si>
  <si>
    <t>COSTILLA</t>
  </si>
  <si>
    <t>0640</t>
  </si>
  <si>
    <t>Centennial R-1</t>
  </si>
  <si>
    <t>5377</t>
  </si>
  <si>
    <t>Rocky Mountain SER Head Start San Luis Center</t>
  </si>
  <si>
    <t>6265</t>
  </si>
  <si>
    <t>Joshua School - Boulder</t>
  </si>
  <si>
    <t>4839</t>
  </si>
  <si>
    <t>Jefferson Hills</t>
  </si>
  <si>
    <t>6410</t>
  </si>
  <si>
    <t>Turning Point - Weld County</t>
  </si>
  <si>
    <t>6408</t>
  </si>
  <si>
    <t>Shiloh Home - Littleton</t>
  </si>
  <si>
    <t>6091</t>
  </si>
  <si>
    <t xml:space="preserve">J.Wilkins Opportunity School </t>
  </si>
  <si>
    <t>6215</t>
  </si>
  <si>
    <t>Third Way Center (Joan Farley Academy - Lowry)</t>
  </si>
  <si>
    <t>6102</t>
  </si>
  <si>
    <t>Mt. Saint Vincent's Home</t>
  </si>
  <si>
    <t>6206</t>
  </si>
  <si>
    <t>Joshua School</t>
  </si>
  <si>
    <t>8115</t>
  </si>
  <si>
    <t>Shiloh Home -The Sanctuary</t>
  </si>
  <si>
    <t>6971</t>
  </si>
  <si>
    <t>Pikes Peak Online School</t>
  </si>
  <si>
    <t>9175</t>
  </si>
  <si>
    <t>Colorado River BOCES</t>
  </si>
  <si>
    <t>6134</t>
  </si>
  <si>
    <t>Yampah Mountain School</t>
  </si>
  <si>
    <t>5845</t>
  </si>
  <si>
    <t>Monument View Montessori Charter School</t>
  </si>
  <si>
    <t>1005</t>
  </si>
  <si>
    <t xml:space="preserve">Ascent Classical Academy Northern Colorado </t>
  </si>
  <si>
    <t>8061</t>
  </si>
  <si>
    <t>Salida Montessori Charter School</t>
  </si>
  <si>
    <t>Crown Pointe Charter Academy</t>
  </si>
  <si>
    <t>8377</t>
  </si>
  <si>
    <t>Summit Middle School</t>
  </si>
  <si>
    <t>4791</t>
  </si>
  <si>
    <t>Breckenridge Montessori</t>
  </si>
  <si>
    <t>6714</t>
  </si>
  <si>
    <t>Gilcrest Head Start</t>
  </si>
  <si>
    <t>5382</t>
  </si>
  <si>
    <t>La Frontera Head Start - Saguache</t>
  </si>
  <si>
    <t>5383</t>
  </si>
  <si>
    <t>Rahula Community Preschool</t>
  </si>
  <si>
    <t>4764</t>
  </si>
  <si>
    <t>Silverton Family Learning Center</t>
  </si>
  <si>
    <t>9268</t>
  </si>
  <si>
    <t>Washington Elementary School</t>
  </si>
  <si>
    <t>2781</t>
  </si>
  <si>
    <t>Ascension Preschool</t>
  </si>
  <si>
    <t>8771</t>
  </si>
  <si>
    <t>St John Neumann Catholic School</t>
  </si>
  <si>
    <t>0738</t>
  </si>
  <si>
    <t>Belmont Elementary School</t>
  </si>
  <si>
    <t>0860</t>
  </si>
  <si>
    <t>Beulah Heights Elementary School</t>
  </si>
  <si>
    <t>Monte Vista C-8</t>
  </si>
  <si>
    <t>6520</t>
  </si>
  <si>
    <t>Monte Vista On-Line Academy</t>
  </si>
  <si>
    <t>6044</t>
  </si>
  <si>
    <t>Monte Vista Middle School</t>
  </si>
  <si>
    <t>8744</t>
  </si>
  <si>
    <t>St Peter's Lutheran School</t>
  </si>
  <si>
    <t>2535</t>
  </si>
  <si>
    <t>Manzanola 3J</t>
  </si>
  <si>
    <t>5506</t>
  </si>
  <si>
    <t>Manzanola Junior-Senior High School</t>
  </si>
  <si>
    <t>Fowler Junior High School</t>
  </si>
  <si>
    <t>PARK</t>
  </si>
  <si>
    <t>2610</t>
  </si>
  <si>
    <t>Park County RE-2</t>
  </si>
  <si>
    <t>3681</t>
  </si>
  <si>
    <t>Guffey Charter School</t>
  </si>
  <si>
    <t>2630</t>
  </si>
  <si>
    <t>Haxtun RE-2J</t>
  </si>
  <si>
    <t>3846</t>
  </si>
  <si>
    <t>Haxtun Elementary School</t>
  </si>
  <si>
    <t>2036</t>
  </si>
  <si>
    <t>Children's Kiva Montessori School</t>
  </si>
  <si>
    <t>4767</t>
  </si>
  <si>
    <t>Lil Rascals Preschool</t>
  </si>
  <si>
    <t>5436</t>
  </si>
  <si>
    <t>Manaugh Elementary School</t>
  </si>
  <si>
    <t>8500</t>
  </si>
  <si>
    <t>Teddy Bear Preschool</t>
  </si>
  <si>
    <t>6262</t>
  </si>
  <si>
    <t>Peak Virtual Academy</t>
  </si>
  <si>
    <t>9149</t>
  </si>
  <si>
    <t>Vista Charter School</t>
  </si>
  <si>
    <t>7106</t>
  </si>
  <si>
    <t>6054</t>
  </si>
  <si>
    <t>Columbine Middle School</t>
  </si>
  <si>
    <t>6307</t>
  </si>
  <si>
    <t>Nucla Middle School</t>
  </si>
  <si>
    <t>8768</t>
  </si>
  <si>
    <t>Trinity Lutheran Christian Day</t>
  </si>
  <si>
    <t>3078</t>
  </si>
  <si>
    <t>Fort Morgan High School</t>
  </si>
  <si>
    <t>6698</t>
  </si>
  <si>
    <t>Otero Junior College Child Delelopment SER</t>
  </si>
  <si>
    <t>4800</t>
  </si>
  <si>
    <t>Jane's World Daycare</t>
  </si>
  <si>
    <t>8260</t>
  </si>
  <si>
    <t>Sterling High School</t>
  </si>
  <si>
    <t>8256</t>
  </si>
  <si>
    <t>Sterling Middle School</t>
  </si>
  <si>
    <t>1860</t>
  </si>
  <si>
    <t>Buffalo RE-4J</t>
  </si>
  <si>
    <t>5806</t>
  </si>
  <si>
    <t>Merino Junior Senior High School</t>
  </si>
  <si>
    <t>6946</t>
  </si>
  <si>
    <t>Ute Canyon Academy Head Start</t>
  </si>
  <si>
    <t>6691</t>
  </si>
  <si>
    <t>Ute Rocky Mountain SER</t>
  </si>
  <si>
    <t>0362</t>
  </si>
  <si>
    <t>Rim Rock Elementary School</t>
  </si>
  <si>
    <t>8763</t>
  </si>
  <si>
    <t>Holy Family Catholic School</t>
  </si>
  <si>
    <t>8628</t>
  </si>
  <si>
    <t>Intermountain Adventist Acadamy</t>
  </si>
  <si>
    <t>7236</t>
  </si>
  <si>
    <t>R-5 High School</t>
  </si>
  <si>
    <t>2392</t>
  </si>
  <si>
    <t>East Middle School</t>
  </si>
  <si>
    <t>3584</t>
  </si>
  <si>
    <t>Grand Mesa Middle School</t>
  </si>
  <si>
    <t>2373</t>
  </si>
  <si>
    <t>4254</t>
  </si>
  <si>
    <t>Ignacio Middle School</t>
  </si>
  <si>
    <t>4255</t>
  </si>
  <si>
    <t>Ignacio Early Learning Program</t>
  </si>
  <si>
    <t>7218</t>
  </si>
  <si>
    <t>Putnam Elementary School</t>
  </si>
  <si>
    <t>4633</t>
  </si>
  <si>
    <t>Cornerstone Christian School</t>
  </si>
  <si>
    <t>1436</t>
  </si>
  <si>
    <t>Children's House Montessori</t>
  </si>
  <si>
    <t>3242</t>
  </si>
  <si>
    <t>Fort Collins Montessori School</t>
  </si>
  <si>
    <t>7161</t>
  </si>
  <si>
    <t>Preston Middle School</t>
  </si>
  <si>
    <t>0146</t>
  </si>
  <si>
    <t>Ridgeview Classical Charter Schools</t>
  </si>
  <si>
    <t>4704</t>
  </si>
  <si>
    <t>Bright Horizons at Seven Oaks West</t>
  </si>
  <si>
    <t>4282</t>
  </si>
  <si>
    <t>Irish Elementary School</t>
  </si>
  <si>
    <t>9370</t>
  </si>
  <si>
    <t>Eyestone Elementary School</t>
  </si>
  <si>
    <t>0892</t>
  </si>
  <si>
    <t>Blevins Middle School</t>
  </si>
  <si>
    <t>5120</t>
  </si>
  <si>
    <t>Liberty Common Charter School</t>
  </si>
  <si>
    <t>1190</t>
  </si>
  <si>
    <t>Cache La Poudre Middle School</t>
  </si>
  <si>
    <t>0898</t>
  </si>
  <si>
    <t>Boltz Middle School</t>
  </si>
  <si>
    <t>2089</t>
  </si>
  <si>
    <t>Coyote Ridge Elementary School</t>
  </si>
  <si>
    <t>8589</t>
  </si>
  <si>
    <t>Children's Workshop Early Learning</t>
  </si>
  <si>
    <t>7004</t>
  </si>
  <si>
    <t xml:space="preserve">Eagle Rock School and Professional Development </t>
  </si>
  <si>
    <t>6849</t>
  </si>
  <si>
    <t>Primrose School of Bear Creek</t>
  </si>
  <si>
    <t>4512</t>
  </si>
  <si>
    <t>Knowledge Beginnings</t>
  </si>
  <si>
    <t>4489</t>
  </si>
  <si>
    <t>8276</t>
  </si>
  <si>
    <t>Stober Elementary School</t>
  </si>
  <si>
    <t>8734</t>
  </si>
  <si>
    <t>Montessori School of Evergreen</t>
  </si>
  <si>
    <t>1801</t>
  </si>
  <si>
    <t>Prestige Preschool Academy</t>
  </si>
  <si>
    <t>8782</t>
  </si>
  <si>
    <t>St Joan of Arc Early Learning Center</t>
  </si>
  <si>
    <t>Arvada Head Start</t>
  </si>
  <si>
    <t>5174</t>
  </si>
  <si>
    <t>King's Mill Head Start</t>
  </si>
  <si>
    <t>4709</t>
  </si>
  <si>
    <t>Jefferson County Head Start</t>
  </si>
  <si>
    <t>9432</t>
  </si>
  <si>
    <t>Dennison Elementary School</t>
  </si>
  <si>
    <t>9412</t>
  </si>
  <si>
    <t>Westgate Elementary School</t>
  </si>
  <si>
    <t>8740</t>
  </si>
  <si>
    <t>Red Rocks Christian Preschool</t>
  </si>
  <si>
    <t>9232</t>
  </si>
  <si>
    <t>Warder Elementary School</t>
  </si>
  <si>
    <t>4410</t>
  </si>
  <si>
    <t>Jefferson Academy High School</t>
  </si>
  <si>
    <t>9805</t>
  </si>
  <si>
    <t>Mountview Youth Service Center</t>
  </si>
  <si>
    <t>8300</t>
  </si>
  <si>
    <t>Stott Elementary School</t>
  </si>
  <si>
    <t>2550</t>
  </si>
  <si>
    <t>Eiber Elementary School</t>
  </si>
  <si>
    <t>5623</t>
  </si>
  <si>
    <t>Longview High School</t>
  </si>
  <si>
    <t>2836</t>
  </si>
  <si>
    <t>Evergreen High School</t>
  </si>
  <si>
    <t>2093</t>
  </si>
  <si>
    <t>Dakota Ridge Senior High School</t>
  </si>
  <si>
    <t>1522</t>
  </si>
  <si>
    <t>Chatfield High School</t>
  </si>
  <si>
    <t>3624</t>
  </si>
  <si>
    <t>Green Mountain Elementary School</t>
  </si>
  <si>
    <t>2328</t>
  </si>
  <si>
    <t>Eads Elementary School</t>
  </si>
  <si>
    <t>1490</t>
  </si>
  <si>
    <t>Bethune R-5</t>
  </si>
  <si>
    <t>0842</t>
  </si>
  <si>
    <t>Bethune Public Schools</t>
  </si>
  <si>
    <t>Burlington Middle School</t>
  </si>
  <si>
    <t>6738</t>
  </si>
  <si>
    <t>Park Elementary School</t>
  </si>
  <si>
    <t>5481</t>
  </si>
  <si>
    <t>Treehouse Early Learning Center</t>
  </si>
  <si>
    <t>5755</t>
  </si>
  <si>
    <t>Kaedra Jacober - Sprouts</t>
  </si>
  <si>
    <t>5485</t>
  </si>
  <si>
    <t>Animas Valley Early Childhood Center</t>
  </si>
  <si>
    <t>Fort Lewis Mesa Elementary School</t>
  </si>
  <si>
    <t>4756</t>
  </si>
  <si>
    <t>Durango Early Learning Center</t>
  </si>
  <si>
    <t>7402</t>
  </si>
  <si>
    <t>Riverview Elementary School</t>
  </si>
  <si>
    <t>0225</t>
  </si>
  <si>
    <t>Animas Valley Elementary School</t>
  </si>
  <si>
    <t>8129</t>
  </si>
  <si>
    <t>Cornerstone Classical School</t>
  </si>
  <si>
    <t>8038</t>
  </si>
  <si>
    <t>Sopris Elementary School</t>
  </si>
  <si>
    <t>4519</t>
  </si>
  <si>
    <t>Mount Sopris Montessori School</t>
  </si>
  <si>
    <t>5389</t>
  </si>
  <si>
    <t>Emmanuel Lutheran Preschool</t>
  </si>
  <si>
    <t>7890</t>
  </si>
  <si>
    <t>Cactus Valley Elementary School</t>
  </si>
  <si>
    <t>2762</t>
  </si>
  <si>
    <t>Longmont Children's Council - Head Start</t>
  </si>
  <si>
    <t>Apex Home School Enrichment Program</t>
  </si>
  <si>
    <t>4845</t>
  </si>
  <si>
    <t>Crossroads School</t>
  </si>
  <si>
    <t>5722</t>
  </si>
  <si>
    <t>Mead High School</t>
  </si>
  <si>
    <t>2766</t>
  </si>
  <si>
    <t>Frederick Head Start</t>
  </si>
  <si>
    <t>2765</t>
  </si>
  <si>
    <t>Casa de Esperanza</t>
  </si>
  <si>
    <t>4025</t>
  </si>
  <si>
    <t>Boulder Valley Waldorf School</t>
  </si>
  <si>
    <t>7157</t>
  </si>
  <si>
    <t>Prairie Ridge Elementary School</t>
  </si>
  <si>
    <t>0061</t>
  </si>
  <si>
    <t>Alpine Elementary School</t>
  </si>
  <si>
    <t>7568</t>
  </si>
  <si>
    <t>Salida High School</t>
  </si>
  <si>
    <t>5268</t>
  </si>
  <si>
    <t>Longfellow Elementary School</t>
  </si>
  <si>
    <t>3385</t>
  </si>
  <si>
    <t>Georgetown Community School</t>
  </si>
  <si>
    <t>7514</t>
  </si>
  <si>
    <t>Infinity Middle School</t>
  </si>
  <si>
    <t>8394</t>
  </si>
  <si>
    <t>7277</t>
  </si>
  <si>
    <t>Red Hawk Ridge Elementary School</t>
  </si>
  <si>
    <t>2428</t>
  </si>
  <si>
    <t>Eastridge Community Elementary School</t>
  </si>
  <si>
    <t>2292</t>
  </si>
  <si>
    <t>Dry Creek Elementary School</t>
  </si>
  <si>
    <t>2094</t>
  </si>
  <si>
    <t>Dakota Valley Elementary School</t>
  </si>
  <si>
    <t>0714</t>
  </si>
  <si>
    <t>Belleview Elementary School</t>
  </si>
  <si>
    <t>6814</t>
  </si>
  <si>
    <t>Peabody Elementary School</t>
  </si>
  <si>
    <t>3930</t>
  </si>
  <si>
    <t>Heritage High School</t>
  </si>
  <si>
    <t>0170</t>
  </si>
  <si>
    <t>Deer Trail 26J</t>
  </si>
  <si>
    <t>2136</t>
  </si>
  <si>
    <t>Deer Trail Elementary School</t>
  </si>
  <si>
    <t>0127</t>
  </si>
  <si>
    <t>Aurora Science &amp; Tech Middle School</t>
  </si>
  <si>
    <t>9125</t>
  </si>
  <si>
    <t>Vista Peak 9-12 Preparatory</t>
  </si>
  <si>
    <t>8078</t>
  </si>
  <si>
    <t>South Middle School</t>
  </si>
  <si>
    <t>9056</t>
  </si>
  <si>
    <t>Vanguard Classical School - West</t>
  </si>
  <si>
    <t>4024</t>
  </si>
  <si>
    <t>Hinkley High School</t>
  </si>
  <si>
    <t>5298</t>
  </si>
  <si>
    <t>Lotus School for Excellence</t>
  </si>
  <si>
    <t>8858</t>
  </si>
  <si>
    <t>Tollgate Elementary School of Expeditionary Learning</t>
  </si>
  <si>
    <t>2384</t>
  </si>
  <si>
    <t>6679</t>
  </si>
  <si>
    <t>Pagosa Peak Open School</t>
  </si>
  <si>
    <t>0240</t>
  </si>
  <si>
    <t>Pritchett RE-3</t>
  </si>
  <si>
    <t>7180</t>
  </si>
  <si>
    <t>Pritchett High School</t>
  </si>
  <si>
    <t>9090</t>
  </si>
  <si>
    <t>Vilas Elementary School</t>
  </si>
  <si>
    <t>8211</t>
  </si>
  <si>
    <t>The Studio School</t>
  </si>
  <si>
    <t>6150</t>
  </si>
  <si>
    <t>0059</t>
  </si>
  <si>
    <t>Meridian Elementary School</t>
  </si>
  <si>
    <t>6376</t>
  </si>
  <si>
    <t>North Star Elementary School</t>
  </si>
  <si>
    <t>5706</t>
  </si>
  <si>
    <t>McElwain Elementary School</t>
  </si>
  <si>
    <t>8820</t>
  </si>
  <si>
    <t>Turnberry Elementary</t>
  </si>
  <si>
    <t>8060</t>
  </si>
  <si>
    <t>South Elementary School</t>
  </si>
  <si>
    <t>1052</t>
  </si>
  <si>
    <t>Bromley East Charter School</t>
  </si>
  <si>
    <t>0775</t>
  </si>
  <si>
    <t>Bennett High School</t>
  </si>
  <si>
    <t>8328</t>
  </si>
  <si>
    <t>Strasburg Elementary School</t>
  </si>
  <si>
    <t>0110</t>
  </si>
  <si>
    <t>Sangre De Cristo Re-22J</t>
  </si>
  <si>
    <t>7626</t>
  </si>
  <si>
    <t>Sangre de Cristo Elementary School</t>
  </si>
  <si>
    <t>2752</t>
  </si>
  <si>
    <t>Englewood Middle School</t>
  </si>
  <si>
    <t>3054</t>
  </si>
  <si>
    <t>Alice Terry Elementary School</t>
  </si>
  <si>
    <t>9672</t>
  </si>
  <si>
    <t>Windsor High School</t>
  </si>
  <si>
    <t>7219</t>
  </si>
  <si>
    <t>Kenneth Homyak PK-8</t>
  </si>
  <si>
    <t>3962</t>
  </si>
  <si>
    <t>Highland High School</t>
  </si>
  <si>
    <t>3306</t>
  </si>
  <si>
    <t>Gardner Valley School</t>
  </si>
  <si>
    <t>1511</t>
  </si>
  <si>
    <t>Home School Academy</t>
  </si>
  <si>
    <t>Village High School</t>
  </si>
  <si>
    <t>1929</t>
  </si>
  <si>
    <t>Discovery Canyon Campus Elementary School</t>
  </si>
  <si>
    <t>2195</t>
  </si>
  <si>
    <t>Discovery Canyon Campus High School</t>
  </si>
  <si>
    <t>1627</t>
  </si>
  <si>
    <t>The Classical Academy Charter</t>
  </si>
  <si>
    <t>Hanover 28</t>
  </si>
  <si>
    <t>3941</t>
  </si>
  <si>
    <t>Hanover Online Academy</t>
  </si>
  <si>
    <t>6701</t>
  </si>
  <si>
    <t>Prairie Heights Elementary School</t>
  </si>
  <si>
    <t>2906</t>
  </si>
  <si>
    <t>Falcon Middle School</t>
  </si>
  <si>
    <t>2908</t>
  </si>
  <si>
    <t>Falcon High School</t>
  </si>
  <si>
    <t>1262</t>
  </si>
  <si>
    <t>Canon City Middle School</t>
  </si>
  <si>
    <t>Cotopaxi Elementary School</t>
  </si>
  <si>
    <t>4724</t>
  </si>
  <si>
    <t>Kiowa Elementary School</t>
  </si>
  <si>
    <t>0940</t>
  </si>
  <si>
    <t>Big Sandy 100J</t>
  </si>
  <si>
    <t>7922</t>
  </si>
  <si>
    <t>Simla High School</t>
  </si>
  <si>
    <t>4647</t>
  </si>
  <si>
    <t>Joshua Early Childhood Center</t>
  </si>
  <si>
    <t>2525</t>
  </si>
  <si>
    <t>Eastern Hills</t>
  </si>
  <si>
    <t>4579</t>
  </si>
  <si>
    <t>Denver Jewish Day School</t>
  </si>
  <si>
    <t>0091</t>
  </si>
  <si>
    <t>Ambleside School</t>
  </si>
  <si>
    <t>1487</t>
  </si>
  <si>
    <t>Creative Options Center for Early Ed</t>
  </si>
  <si>
    <t>0409</t>
  </si>
  <si>
    <t>Bethel Christian School</t>
  </si>
  <si>
    <t>4286</t>
  </si>
  <si>
    <t>Hudson</t>
  </si>
  <si>
    <t>2347</t>
  </si>
  <si>
    <t>Eastlake Montessori School</t>
  </si>
  <si>
    <t>4891</t>
  </si>
  <si>
    <t>Front Range Community College Lab School</t>
  </si>
  <si>
    <t>4889</t>
  </si>
  <si>
    <t>Adams County Head Start - Creekside Center</t>
  </si>
  <si>
    <t>1129</t>
  </si>
  <si>
    <t>Sunshine Elementary School</t>
  </si>
  <si>
    <t>4893</t>
  </si>
  <si>
    <t>Trinidad State Jr. College/Valley Campus</t>
  </si>
  <si>
    <t>6172</t>
  </si>
  <si>
    <t>Twombly Elementary School (Head Start)</t>
  </si>
  <si>
    <t>7093</t>
  </si>
  <si>
    <t>Twelve Stones Classical School</t>
  </si>
  <si>
    <t>4778</t>
  </si>
  <si>
    <t>Rocky Mountain Montessori Academy</t>
  </si>
  <si>
    <t>4391</t>
  </si>
  <si>
    <t>Playdate Inc</t>
  </si>
  <si>
    <t>4409</t>
  </si>
  <si>
    <t>The Giving Tree Preschool</t>
  </si>
  <si>
    <t>4708</t>
  </si>
  <si>
    <t>Fremont County Head Start</t>
  </si>
  <si>
    <t>4779</t>
  </si>
  <si>
    <t>Spin Early Childhood Care &amp; Education Center</t>
  </si>
  <si>
    <t>4994</t>
  </si>
  <si>
    <t>SA Wilson 1 2 Head Start</t>
  </si>
  <si>
    <t>4706</t>
  </si>
  <si>
    <t>Security 1</t>
  </si>
  <si>
    <t>9294</t>
  </si>
  <si>
    <t>Watson Junior High School</t>
  </si>
  <si>
    <t>6952</t>
  </si>
  <si>
    <t>Pinello Elementary School</t>
  </si>
  <si>
    <t>4626</t>
  </si>
  <si>
    <t>UCCS Family Development Center</t>
  </si>
  <si>
    <t>7556</t>
  </si>
  <si>
    <t>Sabin Middle School</t>
  </si>
  <si>
    <t>3470</t>
  </si>
  <si>
    <t>Globe Charter School</t>
  </si>
  <si>
    <t>2683</t>
  </si>
  <si>
    <t>Lincoln CPCD Preschool</t>
  </si>
  <si>
    <t>4623</t>
  </si>
  <si>
    <t>Kindercare Mesa</t>
  </si>
  <si>
    <t>4621</t>
  </si>
  <si>
    <t>Ascension Children's Learning Center</t>
  </si>
  <si>
    <t>4040</t>
  </si>
  <si>
    <t>Young Scholars Academy</t>
  </si>
  <si>
    <t>3175</t>
  </si>
  <si>
    <t>Freedom Elementary School</t>
  </si>
  <si>
    <t>8704</t>
  </si>
  <si>
    <t>St Mary's High School</t>
  </si>
  <si>
    <t>8466</t>
  </si>
  <si>
    <t>Taylor Elementary School</t>
  </si>
  <si>
    <t>7228</t>
  </si>
  <si>
    <t>Queen Palmer Elementary School</t>
  </si>
  <si>
    <t>8902</t>
  </si>
  <si>
    <t>Trailblazer Elementary School</t>
  </si>
  <si>
    <t>DSST Middle School @ Noel Campus</t>
  </si>
  <si>
    <t>6676</t>
  </si>
  <si>
    <t>Palmer Elementary School</t>
  </si>
  <si>
    <t>1561</t>
  </si>
  <si>
    <t>Colorado High School Charter - GES</t>
  </si>
  <si>
    <t>American Indian Academy of Denver</t>
  </si>
  <si>
    <t>3639</t>
  </si>
  <si>
    <t>Girls Athletic Leadership School Middle School</t>
  </si>
  <si>
    <t>2241</t>
  </si>
  <si>
    <t>Denver School of Innovation and Sustainable Design</t>
  </si>
  <si>
    <t>3698</t>
  </si>
  <si>
    <t>Creativity Challenge Community</t>
  </si>
  <si>
    <t>8149</t>
  </si>
  <si>
    <t>Stephen Knight Center for Early Education</t>
  </si>
  <si>
    <t>5448</t>
  </si>
  <si>
    <t>Manual High School</t>
  </si>
  <si>
    <t>6509</t>
  </si>
  <si>
    <t>Denver Online High School</t>
  </si>
  <si>
    <t>1928</t>
  </si>
  <si>
    <t>Cowell Elementary School</t>
  </si>
  <si>
    <t>2506</t>
  </si>
  <si>
    <t>2258</t>
  </si>
  <si>
    <t>Doull Elementary School</t>
  </si>
  <si>
    <t>5826</t>
  </si>
  <si>
    <t>Merrill Middle School</t>
  </si>
  <si>
    <t>3032</t>
  </si>
  <si>
    <t>Force Elementary School</t>
  </si>
  <si>
    <t>7694</t>
  </si>
  <si>
    <t>Charles M. Schenck (CMS) Community School</t>
  </si>
  <si>
    <t>6957</t>
  </si>
  <si>
    <t>University Prep - Steele St.</t>
  </si>
  <si>
    <t>9061</t>
  </si>
  <si>
    <t>Vail Ski and Snowboard Academy (VSSA)</t>
  </si>
  <si>
    <t>0038</t>
  </si>
  <si>
    <t>Brush Creek Elementary School</t>
  </si>
  <si>
    <t>5742</t>
  </si>
  <si>
    <t>Homestake Peak School</t>
  </si>
  <si>
    <t>2572</t>
  </si>
  <si>
    <t>Legacy Academy</t>
  </si>
  <si>
    <t>1812</t>
  </si>
  <si>
    <t>Las Animas Elementary School</t>
  </si>
  <si>
    <t>Adams City Middle School</t>
  </si>
  <si>
    <t>9734</t>
  </si>
  <si>
    <t xml:space="preserve">Early Learning Center at Perl Mack </t>
  </si>
  <si>
    <t>6224</t>
  </si>
  <si>
    <t>Nevin Platt Middle School</t>
  </si>
  <si>
    <t>1380</t>
  </si>
  <si>
    <t>Centaurus High School</t>
  </si>
  <si>
    <t>0125</t>
  </si>
  <si>
    <t>Arapahoe Ridge High School</t>
  </si>
  <si>
    <t>4878</t>
  </si>
  <si>
    <t>Angevine Middle School</t>
  </si>
  <si>
    <t>2240</t>
  </si>
  <si>
    <t>Douglass Elementary School</t>
  </si>
  <si>
    <t>3488</t>
  </si>
  <si>
    <t>Gold Hill Elementary School</t>
  </si>
  <si>
    <t>7616</t>
  </si>
  <si>
    <t>Sanford Junior/Senior High School</t>
  </si>
  <si>
    <t>3330</t>
  </si>
  <si>
    <t>Garnet Mesa Elementary School</t>
  </si>
  <si>
    <t>1367</t>
  </si>
  <si>
    <t>Castle View High School</t>
  </si>
  <si>
    <t>3327</t>
  </si>
  <si>
    <t>Global Village Academy - Douglas County</t>
  </si>
  <si>
    <t>5225</t>
  </si>
  <si>
    <t>Leman Classical Academy</t>
  </si>
  <si>
    <t>1509</t>
  </si>
  <si>
    <t>Cantril</t>
  </si>
  <si>
    <t>4271</t>
  </si>
  <si>
    <t>Legend High School</t>
  </si>
  <si>
    <t>7610</t>
  </si>
  <si>
    <t>Sand Creek Elementary School</t>
  </si>
  <si>
    <t>7134</t>
  </si>
  <si>
    <t>Prairie Crossing Elementary School</t>
  </si>
  <si>
    <t>2952</t>
  </si>
  <si>
    <t>Mammoth Heights Elementary</t>
  </si>
  <si>
    <t>1899</t>
  </si>
  <si>
    <t>Copper Mesa Elementary School</t>
  </si>
  <si>
    <t>4292</t>
  </si>
  <si>
    <t>Iron Horse Elementary School</t>
  </si>
  <si>
    <t>7448</t>
  </si>
  <si>
    <t>Rocky Heights Middle School</t>
  </si>
  <si>
    <t>2230</t>
  </si>
  <si>
    <t>Douglas County High School</t>
  </si>
  <si>
    <t>1873</t>
  </si>
  <si>
    <t>Parker Core Knowledge Charter School</t>
  </si>
  <si>
    <t>1131</t>
  </si>
  <si>
    <t>Buffalo Ridge Elementary School</t>
  </si>
  <si>
    <t>1503</t>
  </si>
  <si>
    <t>Chaparral High School</t>
  </si>
  <si>
    <t>0011</t>
  </si>
  <si>
    <t>Academy Charter School</t>
  </si>
  <si>
    <t>3172</t>
  </si>
  <si>
    <t>Franktown Elementary School</t>
  </si>
  <si>
    <t>6578</t>
  </si>
  <si>
    <t>Otero Elementary School</t>
  </si>
  <si>
    <t>9057</t>
  </si>
  <si>
    <t>The Vanguard School (High)</t>
  </si>
  <si>
    <t>1592</t>
  </si>
  <si>
    <t>Broadmoor Elementary School</t>
  </si>
  <si>
    <t>6900</t>
  </si>
  <si>
    <t>Peyton Junior High School</t>
  </si>
  <si>
    <t>Miami/Yoder 60 JT</t>
  </si>
  <si>
    <t>5850</t>
  </si>
  <si>
    <t>Miami/Yoder Elementary School</t>
  </si>
  <si>
    <t>5854</t>
  </si>
  <si>
    <t>Miami-Yoder Middle/High School</t>
  </si>
  <si>
    <t>1400</t>
  </si>
  <si>
    <t>La Veta Re-2</t>
  </si>
  <si>
    <t>4860</t>
  </si>
  <si>
    <t>La Veta Elementary School</t>
  </si>
  <si>
    <t>De Beque 49JT</t>
  </si>
  <si>
    <t>2126</t>
  </si>
  <si>
    <t>De Beque PK-12 School District 49JT</t>
  </si>
  <si>
    <t>2600</t>
  </si>
  <si>
    <t>Platte Canyon 1</t>
  </si>
  <si>
    <t>7046</t>
  </si>
  <si>
    <t>Platte Canyon High School</t>
  </si>
  <si>
    <t>7042</t>
  </si>
  <si>
    <t>Deer Creek Elementary School</t>
  </si>
  <si>
    <t>9134</t>
  </si>
  <si>
    <t>Vineland Middle School</t>
  </si>
  <si>
    <t>8420</t>
  </si>
  <si>
    <t>Swallows Charter Academy</t>
  </si>
  <si>
    <t>6354</t>
  </si>
  <si>
    <t>North Mesa Elementary School</t>
  </si>
  <si>
    <t>8379</t>
  </si>
  <si>
    <t>Summit Elementary School</t>
  </si>
  <si>
    <t>5855</t>
  </si>
  <si>
    <t>Meadow Ridge Elementary School</t>
  </si>
  <si>
    <t>7700</t>
  </si>
  <si>
    <t>6364</t>
  </si>
  <si>
    <t>Northridge High School</t>
  </si>
  <si>
    <t>4356</t>
  </si>
  <si>
    <t>Jackson Elementary School</t>
  </si>
  <si>
    <t>3880</t>
  </si>
  <si>
    <t>Heath Middle School</t>
  </si>
  <si>
    <t>8124</t>
  </si>
  <si>
    <t>Smarty Pants Academy</t>
  </si>
  <si>
    <t>1552</t>
  </si>
  <si>
    <t>Firefly Autism</t>
  </si>
  <si>
    <t>8595</t>
  </si>
  <si>
    <t>Blessed Sacrament Parish School</t>
  </si>
  <si>
    <t>4348</t>
  </si>
  <si>
    <t>DPS - Smith</t>
  </si>
  <si>
    <t>4342</t>
  </si>
  <si>
    <t>Volunteers of America</t>
  </si>
  <si>
    <t>4322</t>
  </si>
  <si>
    <t>Northside</t>
  </si>
  <si>
    <t>4290</t>
  </si>
  <si>
    <t>Westwood Child Development Center</t>
  </si>
  <si>
    <t>4575</t>
  </si>
  <si>
    <t>International School of Denver</t>
  </si>
  <si>
    <t>4431</t>
  </si>
  <si>
    <t>Catholic Charities Child Development Center</t>
  </si>
  <si>
    <t>4427</t>
  </si>
  <si>
    <t>Lowry</t>
  </si>
  <si>
    <t>8682</t>
  </si>
  <si>
    <t>Zion Evangelical Lutheran School</t>
  </si>
  <si>
    <t>8672</t>
  </si>
  <si>
    <t>Children Are the Future</t>
  </si>
  <si>
    <t>8668</t>
  </si>
  <si>
    <t>St James Catholic School</t>
  </si>
  <si>
    <t>8642</t>
  </si>
  <si>
    <t>8632</t>
  </si>
  <si>
    <t>The Denver Waldorf School</t>
  </si>
  <si>
    <t>2968</t>
  </si>
  <si>
    <t>St. Mary's Preschool</t>
  </si>
  <si>
    <t>5365</t>
  </si>
  <si>
    <t>Little Star Head Start</t>
  </si>
  <si>
    <t>4605</t>
  </si>
  <si>
    <t>Front Range Academy/Hope Co-op</t>
  </si>
  <si>
    <t>3508</t>
  </si>
  <si>
    <t>Ziji Early Elementary School</t>
  </si>
  <si>
    <t>3526</t>
  </si>
  <si>
    <t>First Presbyterian Preschool</t>
  </si>
  <si>
    <t>8972</t>
  </si>
  <si>
    <t>Kohl Street Kids Preschool and BASE</t>
  </si>
  <si>
    <t>9233</t>
  </si>
  <si>
    <t>Watershed School</t>
  </si>
  <si>
    <t>8565</t>
  </si>
  <si>
    <t>Promise Christian Preschool</t>
  </si>
  <si>
    <t>4225</t>
  </si>
  <si>
    <t>Children's Alley YWCA Boulder</t>
  </si>
  <si>
    <t>3634</t>
  </si>
  <si>
    <t>New Horizons Preschool</t>
  </si>
  <si>
    <t>4943</t>
  </si>
  <si>
    <t>Castle Academy</t>
  </si>
  <si>
    <t>6618</t>
  </si>
  <si>
    <t>Pikes Peak CPCD Head Start</t>
  </si>
  <si>
    <t>4993</t>
  </si>
  <si>
    <t>Early Childhood Center CPCD</t>
  </si>
  <si>
    <t>4995</t>
  </si>
  <si>
    <t>Colorado Preschool Project Lorraine I-II</t>
  </si>
  <si>
    <t>8705</t>
  </si>
  <si>
    <t>The Colorado Springs School</t>
  </si>
  <si>
    <t>4752</t>
  </si>
  <si>
    <t>Bayfield Early Education Program, Inc</t>
  </si>
  <si>
    <t>MINERAL</t>
  </si>
  <si>
    <t>2010</t>
  </si>
  <si>
    <t>Creede School District</t>
  </si>
  <si>
    <t>5309</t>
  </si>
  <si>
    <t>Creede Childcare Center</t>
  </si>
  <si>
    <t>7440</t>
  </si>
  <si>
    <t>Roaring Fork Kids</t>
  </si>
  <si>
    <t>4945</t>
  </si>
  <si>
    <t>Rangely Christian Academy</t>
  </si>
  <si>
    <t>4815</t>
  </si>
  <si>
    <t>Prime Time Child Care</t>
  </si>
  <si>
    <t>0068</t>
  </si>
  <si>
    <t>Adventure Child Care Center</t>
  </si>
  <si>
    <t>1269</t>
  </si>
  <si>
    <t>CDI - Dos Rios Head Start</t>
  </si>
  <si>
    <t>1305</t>
  </si>
  <si>
    <t>CDS - Centennial Head Start</t>
  </si>
  <si>
    <t>6170</t>
  </si>
  <si>
    <t>Island Grove Head Start Center</t>
  </si>
  <si>
    <t>3200</t>
  </si>
  <si>
    <t>Yuma 1</t>
  </si>
  <si>
    <t>9792</t>
  </si>
  <si>
    <t>Yuma Children's Academy</t>
  </si>
  <si>
    <t>6063</t>
  </si>
  <si>
    <t>Tennyson Center - CCH</t>
  </si>
  <si>
    <t>6210</t>
  </si>
  <si>
    <t>Serenity Education &amp; Day Treatment Center</t>
  </si>
  <si>
    <t>OUT OF STATE</t>
  </si>
  <si>
    <t>9999</t>
  </si>
  <si>
    <t>For District Wide School (9980)</t>
  </si>
  <si>
    <t>0001</t>
  </si>
  <si>
    <t>Facilities with District Run Education</t>
  </si>
  <si>
    <t>1505</t>
  </si>
  <si>
    <t>Colorado Military Academy</t>
  </si>
  <si>
    <t>1882</t>
  </si>
  <si>
    <t>Community Leadership Academy</t>
  </si>
  <si>
    <t>2067</t>
  </si>
  <si>
    <t>Colorado Early College Fort Collins</t>
  </si>
  <si>
    <t>6548</t>
  </si>
  <si>
    <t>Open Arms Childcare and Preschool</t>
  </si>
  <si>
    <t>5034</t>
  </si>
  <si>
    <t>Lake Dillon Preschool</t>
  </si>
  <si>
    <t>3030</t>
  </si>
  <si>
    <t>Akron R-1</t>
  </si>
  <si>
    <t>6712</t>
  </si>
  <si>
    <t>Akron United Methodist Church Head Start</t>
  </si>
  <si>
    <t>3060</t>
  </si>
  <si>
    <t>Lone Star 101</t>
  </si>
  <si>
    <t>5238</t>
  </si>
  <si>
    <t>Lone Star Middle School</t>
  </si>
  <si>
    <t>4854</t>
  </si>
  <si>
    <t>North Valley Middle School</t>
  </si>
  <si>
    <t>6235</t>
  </si>
  <si>
    <t>Northern Colorado Christian Academy</t>
  </si>
  <si>
    <t>3860</t>
  </si>
  <si>
    <t>Hayden Middle School</t>
  </si>
  <si>
    <t>3621</t>
  </si>
  <si>
    <t>Grandkids Childcare Center</t>
  </si>
  <si>
    <t>4611</t>
  </si>
  <si>
    <t>Emerald Mountain School</t>
  </si>
  <si>
    <t>4814</t>
  </si>
  <si>
    <t>Mountain Sprouts Preschool</t>
  </si>
  <si>
    <t>2862</t>
  </si>
  <si>
    <t>Julesburg Re-1</t>
  </si>
  <si>
    <t>4369</t>
  </si>
  <si>
    <t>Destinations Career Academy of Colorado</t>
  </si>
  <si>
    <t>2744</t>
  </si>
  <si>
    <t>Welcome Home Child and Family Development Center</t>
  </si>
  <si>
    <t>5777</t>
  </si>
  <si>
    <t>Melvin Hendrickson Development Center</t>
  </si>
  <si>
    <t>6677</t>
  </si>
  <si>
    <t>Paragon Learning Center</t>
  </si>
  <si>
    <t>8773</t>
  </si>
  <si>
    <t>Park Hill Christian Academy</t>
  </si>
  <si>
    <t>1488</t>
  </si>
  <si>
    <t>Chavez/Huerta K-12 Preparatory Academy</t>
  </si>
  <si>
    <t>2150</t>
  </si>
  <si>
    <t>Del Norte High Jr./Sr. High School</t>
  </si>
  <si>
    <t>2148</t>
  </si>
  <si>
    <t>Del Norte Elementary School</t>
  </si>
  <si>
    <t>7668</t>
  </si>
  <si>
    <t>Sargent Junior High School</t>
  </si>
  <si>
    <t>2580</t>
  </si>
  <si>
    <t>Ouray R-1</t>
  </si>
  <si>
    <t>6600</t>
  </si>
  <si>
    <t>Ouray Senior High School</t>
  </si>
  <si>
    <t>7342</t>
  </si>
  <si>
    <t>Ridgway Elementary School</t>
  </si>
  <si>
    <t>4076</t>
  </si>
  <si>
    <t>Holyoke Elementary School</t>
  </si>
  <si>
    <t>4765</t>
  </si>
  <si>
    <t>Children's Kiva Preschool and Kindergarten</t>
  </si>
  <si>
    <t>5836</t>
  </si>
  <si>
    <t>5424</t>
  </si>
  <si>
    <t>Mancos Valley Dragonfly Preschool</t>
  </si>
  <si>
    <t>6366</t>
  </si>
  <si>
    <t>Northside Elementary School</t>
  </si>
  <si>
    <t>6490</t>
  </si>
  <si>
    <t>Olathe Middle School</t>
  </si>
  <si>
    <t>3074</t>
  </si>
  <si>
    <t>Fort Morgan Middle School</t>
  </si>
  <si>
    <t>7442</t>
  </si>
  <si>
    <t>Rocky Ford Junior/Senior High School</t>
  </si>
  <si>
    <t>9264</t>
  </si>
  <si>
    <t>Washington Primary School</t>
  </si>
  <si>
    <t>5136</t>
  </si>
  <si>
    <t>Limon Junior-Senior High School</t>
  </si>
  <si>
    <t>5132</t>
  </si>
  <si>
    <t>Limon Elementary School</t>
  </si>
  <si>
    <t>Plateau RE-5</t>
  </si>
  <si>
    <t>6838</t>
  </si>
  <si>
    <t>Peetz Junior-Senior High School</t>
  </si>
  <si>
    <t>7024</t>
  </si>
  <si>
    <t>Plateau Valley Elementary School</t>
  </si>
  <si>
    <t>3582</t>
  </si>
  <si>
    <t>Grand Mesa High School</t>
  </si>
  <si>
    <t>6674</t>
  </si>
  <si>
    <t>Palisade Rocky Mountain SER</t>
  </si>
  <si>
    <t>6964</t>
  </si>
  <si>
    <t xml:space="preserve">Echo Canyon Academy Head Start </t>
  </si>
  <si>
    <t>7051</t>
  </si>
  <si>
    <t xml:space="preserve">Little Imaginations Early Learning Center </t>
  </si>
  <si>
    <t>6055</t>
  </si>
  <si>
    <t>Career Center Preschool</t>
  </si>
  <si>
    <t>4273</t>
  </si>
  <si>
    <t>Life Academy</t>
  </si>
  <si>
    <t>8765</t>
  </si>
  <si>
    <t>Pear Park Baptist</t>
  </si>
  <si>
    <t>4711</t>
  </si>
  <si>
    <t>Rocky Mountain SER, Western Slope Head Start</t>
  </si>
  <si>
    <t>9673</t>
  </si>
  <si>
    <t>Wingate Elementary School</t>
  </si>
  <si>
    <t>9406</t>
  </si>
  <si>
    <t>6554</t>
  </si>
  <si>
    <t>Orchard Avenue Elementary School</t>
  </si>
  <si>
    <t>3570</t>
  </si>
  <si>
    <t>Grand Junction High School</t>
  </si>
  <si>
    <t>1333</t>
  </si>
  <si>
    <t>Moffat County Christian Academy</t>
  </si>
  <si>
    <t>1936</t>
  </si>
  <si>
    <t>Sandrock Elementary</t>
  </si>
  <si>
    <t>4258</t>
  </si>
  <si>
    <t>Ignacio High School</t>
  </si>
  <si>
    <t>0572</t>
  </si>
  <si>
    <t>CSU Early Childhood Center</t>
  </si>
  <si>
    <t>8904</t>
  </si>
  <si>
    <t>The Children's Workshop Silverplume</t>
  </si>
  <si>
    <t>2684</t>
  </si>
  <si>
    <t>Hearts in Hand Child Development Center</t>
  </si>
  <si>
    <t>4028</t>
  </si>
  <si>
    <t>Front Range Baptist Academy</t>
  </si>
  <si>
    <t>5688</t>
  </si>
  <si>
    <t>McGraw Elementary School</t>
  </si>
  <si>
    <t>4698</t>
  </si>
  <si>
    <t>Kinard Core Knowledge Middle School</t>
  </si>
  <si>
    <t>0678</t>
  </si>
  <si>
    <t>Beattie Elementary School</t>
  </si>
  <si>
    <t>9374</t>
  </si>
  <si>
    <t>Wellington Middle School</t>
  </si>
  <si>
    <t>8460</t>
  </si>
  <si>
    <t>Tavelli Elementary School</t>
  </si>
  <si>
    <t>7834</t>
  </si>
  <si>
    <t>Shepardson Elementary School</t>
  </si>
  <si>
    <t>5292</t>
  </si>
  <si>
    <t>Lopez Elementary School</t>
  </si>
  <si>
    <t>4793</t>
  </si>
  <si>
    <t>Kruse Elementary School</t>
  </si>
  <si>
    <t>3945</t>
  </si>
  <si>
    <t>High Plains School</t>
  </si>
  <si>
    <t>5235</t>
  </si>
  <si>
    <t>Loveland Classical School</t>
  </si>
  <si>
    <t>6163</t>
  </si>
  <si>
    <t>Mountain View High School</t>
  </si>
  <si>
    <t>5316</t>
  </si>
  <si>
    <t>Loveland High School</t>
  </si>
  <si>
    <t>9228</t>
  </si>
  <si>
    <t>Walt Clark Middle School</t>
  </si>
  <si>
    <t>5170</t>
  </si>
  <si>
    <t>8925</t>
  </si>
  <si>
    <t>Turner Middle School</t>
  </si>
  <si>
    <t>8824</t>
  </si>
  <si>
    <t>Thompson Valley High School</t>
  </si>
  <si>
    <t>Mary Blair Elementary School</t>
  </si>
  <si>
    <t>8918</t>
  </si>
  <si>
    <t>Truscott Elementary School</t>
  </si>
  <si>
    <t>5992</t>
  </si>
  <si>
    <t>2788</t>
  </si>
  <si>
    <t>Estes Park Options School</t>
  </si>
  <si>
    <t>1750</t>
  </si>
  <si>
    <t>Branson Reorganized 82</t>
  </si>
  <si>
    <t>0978</t>
  </si>
  <si>
    <t>Branson School</t>
  </si>
  <si>
    <t>4449</t>
  </si>
  <si>
    <t>Stepping Stones Learning Center of Littleton</t>
  </si>
  <si>
    <t>0764</t>
  </si>
  <si>
    <t>Jacob Academy - Jewell</t>
  </si>
  <si>
    <t>0739</t>
  </si>
  <si>
    <t>Augustine Classical Edgewater</t>
  </si>
  <si>
    <t>3726</t>
  </si>
  <si>
    <t>Hackberry Hill Elementary School</t>
  </si>
  <si>
    <t>7468</t>
  </si>
  <si>
    <t>Rose Stein International Elementary</t>
  </si>
  <si>
    <t>1435</t>
  </si>
  <si>
    <t>Concordia Lutheran Preschool</t>
  </si>
  <si>
    <t>8671</t>
  </si>
  <si>
    <t>Denver Street School - West</t>
  </si>
  <si>
    <t>0268</t>
  </si>
  <si>
    <t>Green Mountain Village Preschool</t>
  </si>
  <si>
    <t>5479</t>
  </si>
  <si>
    <t>Patterson Child Care City of Lakewood</t>
  </si>
  <si>
    <t>4985</t>
  </si>
  <si>
    <t>La Petite Academy Littleton</t>
  </si>
  <si>
    <t>0349</t>
  </si>
  <si>
    <t>The Applewood School</t>
  </si>
  <si>
    <t>1451</t>
  </si>
  <si>
    <t>Addenbrooke Classical Academy</t>
  </si>
  <si>
    <t>4274</t>
  </si>
  <si>
    <t>Choice Living Services</t>
  </si>
  <si>
    <t>0951</t>
  </si>
  <si>
    <t>Blue Heron Elementary School</t>
  </si>
  <si>
    <t>6539</t>
  </si>
  <si>
    <t>Jefferson County Open Elementary School</t>
  </si>
  <si>
    <t>5944</t>
  </si>
  <si>
    <t>Mitchell Elementary School</t>
  </si>
  <si>
    <t>8742</t>
  </si>
  <si>
    <t>St Bernadette School</t>
  </si>
  <si>
    <t>8739</t>
  </si>
  <si>
    <t>Shepherd of the Valley Lutheran</t>
  </si>
  <si>
    <t>8728</t>
  </si>
  <si>
    <t>Hyland Christian School</t>
  </si>
  <si>
    <t>4190</t>
  </si>
  <si>
    <t>Hutchinson Elementary School</t>
  </si>
  <si>
    <t>8625</t>
  </si>
  <si>
    <t>Denver Christian School</t>
  </si>
  <si>
    <t>2963</t>
  </si>
  <si>
    <t>Falcon Bluffs Middle School</t>
  </si>
  <si>
    <t>9154</t>
  </si>
  <si>
    <t>Vivian Elementary School</t>
  </si>
  <si>
    <t>7128</t>
  </si>
  <si>
    <t>Powderhorn Elementary School</t>
  </si>
  <si>
    <t>6135</t>
  </si>
  <si>
    <t>Mount Carbon Elementary School</t>
  </si>
  <si>
    <t>6090</t>
  </si>
  <si>
    <t>Moore Middle School</t>
  </si>
  <si>
    <t>5892</t>
  </si>
  <si>
    <t>Miller Special Education</t>
  </si>
  <si>
    <t>2832</t>
  </si>
  <si>
    <t>Evergreen Middle School</t>
  </si>
  <si>
    <t>5580</t>
  </si>
  <si>
    <t>Marshdale Elementary School</t>
  </si>
  <si>
    <t>4830</t>
  </si>
  <si>
    <t>Kyffin Elementary School</t>
  </si>
  <si>
    <t>3622</t>
  </si>
  <si>
    <t>Green Gables Elementary School</t>
  </si>
  <si>
    <t>1730</t>
  </si>
  <si>
    <t>Coal Creek Canyon K-8 Elementary School</t>
  </si>
  <si>
    <t>0950</t>
  </si>
  <si>
    <t>Bradford K8 South</t>
  </si>
  <si>
    <t>Adams Elementary School</t>
  </si>
  <si>
    <t>1976</t>
  </si>
  <si>
    <t>Creighton Middle School</t>
  </si>
  <si>
    <t>1869</t>
  </si>
  <si>
    <t>Compass Montessori - Wheat Ridge Charter School</t>
  </si>
  <si>
    <t>0779</t>
  </si>
  <si>
    <t>Bergen Valley Intermediate School</t>
  </si>
  <si>
    <t>0724</t>
  </si>
  <si>
    <t>Belmar School of Integrated Arts</t>
  </si>
  <si>
    <t>2332</t>
  </si>
  <si>
    <t>Eads Middle School</t>
  </si>
  <si>
    <t>1460</t>
  </si>
  <si>
    <t>Hi-Plains R-23</t>
  </si>
  <si>
    <t>7746</t>
  </si>
  <si>
    <t>Hi-Plains School District R-23</t>
  </si>
  <si>
    <t>4901</t>
  </si>
  <si>
    <t>Lake County Intermediate School</t>
  </si>
  <si>
    <t>4384</t>
  </si>
  <si>
    <t>The Juniper School</t>
  </si>
  <si>
    <t>1526</t>
  </si>
  <si>
    <t>Colorado Connections Academy @ Durango</t>
  </si>
  <si>
    <t>2294</t>
  </si>
  <si>
    <t>Durango Montessori School</t>
  </si>
  <si>
    <t>7994</t>
  </si>
  <si>
    <t>Escalante Middle School</t>
  </si>
  <si>
    <t>8544</t>
  </si>
  <si>
    <t>Red Cliff School</t>
  </si>
  <si>
    <t>4743</t>
  </si>
  <si>
    <t>Florida Mesa Head Start</t>
  </si>
  <si>
    <t>4668</t>
  </si>
  <si>
    <t>Florida Mesa Child Care Center</t>
  </si>
  <si>
    <t>7005</t>
  </si>
  <si>
    <t xml:space="preserve">Ambleside at Skylark School </t>
  </si>
  <si>
    <t>8715</t>
  </si>
  <si>
    <t>St Stephen Catholic School</t>
  </si>
  <si>
    <t>3468</t>
  </si>
  <si>
    <t>Glenwood Springs High School</t>
  </si>
  <si>
    <t>1006</t>
  </si>
  <si>
    <t>Bridges</t>
  </si>
  <si>
    <t>0429</t>
  </si>
  <si>
    <t>Carbondale Community Charter School</t>
  </si>
  <si>
    <t>7360</t>
  </si>
  <si>
    <t>Rifle High School</t>
  </si>
  <si>
    <t>7388</t>
  </si>
  <si>
    <t>Riverside School</t>
  </si>
  <si>
    <t>8391</t>
  </si>
  <si>
    <t>Sunset Academy</t>
  </si>
  <si>
    <t>0573</t>
  </si>
  <si>
    <t>Blue Mountain Montessori</t>
  </si>
  <si>
    <t>4043</t>
  </si>
  <si>
    <t>Longmont Christian School</t>
  </si>
  <si>
    <t>3473</t>
  </si>
  <si>
    <t>Grand View Elementary</t>
  </si>
  <si>
    <t>4333</t>
  </si>
  <si>
    <t>Firestone Charter Academy</t>
  </si>
  <si>
    <t>5364</t>
  </si>
  <si>
    <t>Lyons Elementary School</t>
  </si>
  <si>
    <t>4223</t>
  </si>
  <si>
    <t>The Cottage School - Terry</t>
  </si>
  <si>
    <t>7789</t>
  </si>
  <si>
    <t>Silver Creek High School</t>
  </si>
  <si>
    <t>5286</t>
  </si>
  <si>
    <t>Sunset Middle School</t>
  </si>
  <si>
    <t>0226</t>
  </si>
  <si>
    <t>Altona Middle School</t>
  </si>
  <si>
    <t>8903</t>
  </si>
  <si>
    <t>Trail Ridge Middle School</t>
  </si>
  <si>
    <t>Legacy Elementary School</t>
  </si>
  <si>
    <t>7954</t>
  </si>
  <si>
    <t>Skyline High School</t>
  </si>
  <si>
    <t>5730</t>
  </si>
  <si>
    <t>Mead Middle School</t>
  </si>
  <si>
    <t>5288</t>
  </si>
  <si>
    <t>Longs Peak Middle School</t>
  </si>
  <si>
    <t>5284</t>
  </si>
  <si>
    <t>Longmont Estates Elementary School</t>
  </si>
  <si>
    <t>0137</t>
  </si>
  <si>
    <t>The Grove, BVSD's Early Learning Program</t>
  </si>
  <si>
    <t>8569</t>
  </si>
  <si>
    <t>Darren Patterson Christian</t>
  </si>
  <si>
    <t>8461</t>
  </si>
  <si>
    <t>Children's Discovery Ranch</t>
  </si>
  <si>
    <t>4700</t>
  </si>
  <si>
    <t>King-Murphy Elementary School</t>
  </si>
  <si>
    <t>0243</t>
  </si>
  <si>
    <t>Coyote Hills Elementary School</t>
  </si>
  <si>
    <t>0102</t>
  </si>
  <si>
    <t>Altitude Elementary School</t>
  </si>
  <si>
    <t>6367</t>
  </si>
  <si>
    <t>Options School</t>
  </si>
  <si>
    <t>0016</t>
  </si>
  <si>
    <t>Fox Hollow Elementary School</t>
  </si>
  <si>
    <t>1155</t>
  </si>
  <si>
    <t>Buffalo Trail Elementary School</t>
  </si>
  <si>
    <t>9108</t>
  </si>
  <si>
    <t>Village East Community Elementary School</t>
  </si>
  <si>
    <t>6820</t>
  </si>
  <si>
    <t>Peakview Elementary School</t>
  </si>
  <si>
    <t>3988</t>
  </si>
  <si>
    <t>Highline Community Elementary School</t>
  </si>
  <si>
    <t>7606</t>
  </si>
  <si>
    <t>Sandburg Elementary School</t>
  </si>
  <si>
    <t>7233</t>
  </si>
  <si>
    <t>Rocky Mountain Prep: Fletcher</t>
  </si>
  <si>
    <t>Arkansas Elementary School</t>
  </si>
  <si>
    <t>0126</t>
  </si>
  <si>
    <t>Academy of Advanced Learning</t>
  </si>
  <si>
    <t>0213</t>
  </si>
  <si>
    <t>AXL Academy</t>
  </si>
  <si>
    <t>4385</t>
  </si>
  <si>
    <t>Jamaica Child Development Center</t>
  </si>
  <si>
    <t>0458</t>
  </si>
  <si>
    <t>Aurora Academy Charter School</t>
  </si>
  <si>
    <t>7932</t>
  </si>
  <si>
    <t>Sixth Avenue Elementary School</t>
  </si>
  <si>
    <t>7865</t>
  </si>
  <si>
    <t>Side Creek Elementary School</t>
  </si>
  <si>
    <t>6728</t>
  </si>
  <si>
    <t>Paris Elementary School</t>
  </si>
  <si>
    <t>1800</t>
  </si>
  <si>
    <t>Columbia Middle School</t>
  </si>
  <si>
    <t>1470</t>
  </si>
  <si>
    <t>Century Elementary School</t>
  </si>
  <si>
    <t>8994</t>
  </si>
  <si>
    <t>Astravo Online Academy Elementary School</t>
  </si>
  <si>
    <t>2269</t>
  </si>
  <si>
    <t>San Juan Mountain School</t>
  </si>
  <si>
    <t>6657</t>
  </si>
  <si>
    <t>Pagosa Springs Middle School</t>
  </si>
  <si>
    <t>7176</t>
  </si>
  <si>
    <t>Pritchett Middle School</t>
  </si>
  <si>
    <t>3623</t>
  </si>
  <si>
    <t>Global Primary Academy</t>
  </si>
  <si>
    <t>0187</t>
  </si>
  <si>
    <t>Mapleton Expeditionary School of the Arts</t>
  </si>
  <si>
    <t>0505</t>
  </si>
  <si>
    <t>Achieve Academy</t>
  </si>
  <si>
    <t>6802</t>
  </si>
  <si>
    <t>Prospect Ridge Academy</t>
  </si>
  <si>
    <t>Adams12 Five Star Preschool</t>
  </si>
  <si>
    <t>8225</t>
  </si>
  <si>
    <t>Stellar Elementary School</t>
  </si>
  <si>
    <t>5814</t>
  </si>
  <si>
    <t xml:space="preserve">Thornton Middle School </t>
  </si>
  <si>
    <t>6060</t>
  </si>
  <si>
    <t>Mountain Range High School</t>
  </si>
  <si>
    <t>4187</t>
  </si>
  <si>
    <t>Silver Hills Middle School</t>
  </si>
  <si>
    <t>2918</t>
  </si>
  <si>
    <t>Federal Heights Elementary School</t>
  </si>
  <si>
    <t>2582</t>
  </si>
  <si>
    <t>Rocky Mountain Elementary School</t>
  </si>
  <si>
    <t>9682</t>
  </si>
  <si>
    <t>Woodglen Elementary School</t>
  </si>
  <si>
    <t>4172</t>
  </si>
  <si>
    <t>Hulstrom Options K-8 School</t>
  </si>
  <si>
    <t>4000</t>
  </si>
  <si>
    <t>Hillcrest Elementary School</t>
  </si>
  <si>
    <t>2576</t>
  </si>
  <si>
    <t>Cherry Drive Elementary School</t>
  </si>
  <si>
    <t>1937</t>
  </si>
  <si>
    <t>7318</t>
  </si>
  <si>
    <t>Reunion Elementary School</t>
  </si>
  <si>
    <t>7129</t>
  </si>
  <si>
    <t>Prairie View High School</t>
  </si>
  <si>
    <t>9230</t>
  </si>
  <si>
    <t>Vikan Middle School</t>
  </si>
  <si>
    <t>6294</t>
  </si>
  <si>
    <t>North Elementary School</t>
  </si>
  <si>
    <t>1021</t>
  </si>
  <si>
    <t>Innovations &amp; Options</t>
  </si>
  <si>
    <t>8334</t>
  </si>
  <si>
    <t>Strasburg High School</t>
  </si>
  <si>
    <t>0055</t>
  </si>
  <si>
    <t>Grandview Elementary School</t>
  </si>
  <si>
    <t>9246</t>
  </si>
  <si>
    <t>Little Trappers Preschool</t>
  </si>
  <si>
    <t>7154</t>
  </si>
  <si>
    <t>Prairie Elementary School</t>
  </si>
  <si>
    <t>Garfield 16</t>
  </si>
  <si>
    <t>3585</t>
  </si>
  <si>
    <t>Grand Valley Center for Family Learning</t>
  </si>
  <si>
    <t>3578</t>
  </si>
  <si>
    <t>Bea Underwood Elementary School</t>
  </si>
  <si>
    <t>3586</t>
  </si>
  <si>
    <t>Grand Valley High School</t>
  </si>
  <si>
    <t>3182</t>
  </si>
  <si>
    <t>Fraser Valley Elementary School</t>
  </si>
  <si>
    <t>6242</t>
  </si>
  <si>
    <t>New Summit Charter Academy</t>
  </si>
  <si>
    <t>6960</t>
  </si>
  <si>
    <t>Pioneer Elementary School</t>
  </si>
  <si>
    <t>6158</t>
  </si>
  <si>
    <t>8851</t>
  </si>
  <si>
    <t>Timberview Middle School</t>
  </si>
  <si>
    <t>6653</t>
  </si>
  <si>
    <t>Power Technical Early College</t>
  </si>
  <si>
    <t>0431</t>
  </si>
  <si>
    <t>Falcon Homeschool Program</t>
  </si>
  <si>
    <t>0696</t>
  </si>
  <si>
    <t>Bennett Ranch Elementary School</t>
  </si>
  <si>
    <t>6810</t>
  </si>
  <si>
    <t>Patriot High School</t>
  </si>
  <si>
    <t>6483</t>
  </si>
  <si>
    <t>Odyssey Elementary School</t>
  </si>
  <si>
    <t>6752</t>
  </si>
  <si>
    <t>Mount View Core Knowledge Charter School</t>
  </si>
  <si>
    <t>1266</t>
  </si>
  <si>
    <t>Canon City High School</t>
  </si>
  <si>
    <t>7918</t>
  </si>
  <si>
    <t>Simla Junior High School</t>
  </si>
  <si>
    <t>7914</t>
  </si>
  <si>
    <t>Simla Elementary School</t>
  </si>
  <si>
    <t>1609</t>
  </si>
  <si>
    <t>Calvary Christian Academy</t>
  </si>
  <si>
    <t>8550</t>
  </si>
  <si>
    <t>Crescent View Academy</t>
  </si>
  <si>
    <t>4594</t>
  </si>
  <si>
    <t>Three Bears Learning Center</t>
  </si>
  <si>
    <t>4560</t>
  </si>
  <si>
    <t>Willows Olde-Mill Learning Center</t>
  </si>
  <si>
    <t>4554</t>
  </si>
  <si>
    <t>Village Child Development Center</t>
  </si>
  <si>
    <t>8707</t>
  </si>
  <si>
    <t>Peace with Christ Christian School</t>
  </si>
  <si>
    <t>8648</t>
  </si>
  <si>
    <t>Mackintosh Academy</t>
  </si>
  <si>
    <t>2231</t>
  </si>
  <si>
    <t>The Denver School East</t>
  </si>
  <si>
    <t>4913</t>
  </si>
  <si>
    <t>Lowry Preschool</t>
  </si>
  <si>
    <t>4221</t>
  </si>
  <si>
    <t>Picken's Kids Tech</t>
  </si>
  <si>
    <t>2907</t>
  </si>
  <si>
    <t>Frassati Catholic Academy</t>
  </si>
  <si>
    <t>4023</t>
  </si>
  <si>
    <t>Northside Christian Daycare</t>
  </si>
  <si>
    <t>4012</t>
  </si>
  <si>
    <t>Gethsemane Lutheran School</t>
  </si>
  <si>
    <t>4003</t>
  </si>
  <si>
    <t>Thorncreek Christian School</t>
  </si>
  <si>
    <t>7177</t>
  </si>
  <si>
    <t>Prairie Learning Center Inc</t>
  </si>
  <si>
    <t>5373</t>
  </si>
  <si>
    <t>Migrant Head Start Alamosa (Otero Jr. College)</t>
  </si>
  <si>
    <t>4556</t>
  </si>
  <si>
    <t>All Souls Catholic School</t>
  </si>
  <si>
    <t>7059</t>
  </si>
  <si>
    <t>Rising Star</t>
  </si>
  <si>
    <t>7001</t>
  </si>
  <si>
    <t>Blooming Littles Learning Center</t>
  </si>
  <si>
    <t>4885</t>
  </si>
  <si>
    <t>Platte Valley Early Learning Center</t>
  </si>
  <si>
    <t>0113</t>
  </si>
  <si>
    <t>ABC Ault</t>
  </si>
  <si>
    <t>5112</t>
  </si>
  <si>
    <t>Parachute Rocky Mountain SER</t>
  </si>
  <si>
    <t>4524</t>
  </si>
  <si>
    <t>Grand Kids Learning Center</t>
  </si>
  <si>
    <t>8397</t>
  </si>
  <si>
    <t>Seasons Schoolhouse Inc</t>
  </si>
  <si>
    <t>8708</t>
  </si>
  <si>
    <t>Ellicott Baptist School</t>
  </si>
  <si>
    <t>8226</t>
  </si>
  <si>
    <t>Sunshine House Early Learning Academy</t>
  </si>
  <si>
    <t>7423</t>
  </si>
  <si>
    <t>Stellar Care and Services LLC</t>
  </si>
  <si>
    <t>6615</t>
  </si>
  <si>
    <t>Falcon CPCD Head Start</t>
  </si>
  <si>
    <t>4269</t>
  </si>
  <si>
    <t>New Child Montessori Preschool</t>
  </si>
  <si>
    <t>9560</t>
  </si>
  <si>
    <t>Discovery High School</t>
  </si>
  <si>
    <t>4275</t>
  </si>
  <si>
    <t>Immaculate Heart of Mary School</t>
  </si>
  <si>
    <t>2400</t>
  </si>
  <si>
    <t>Odyssey Early College and Career Options</t>
  </si>
  <si>
    <t>6014</t>
  </si>
  <si>
    <t>Monroe CPCD Preschool</t>
  </si>
  <si>
    <t>5101</t>
  </si>
  <si>
    <t>Edison Head Start</t>
  </si>
  <si>
    <t>2682</t>
  </si>
  <si>
    <t>Rogers CPCD Preschool</t>
  </si>
  <si>
    <t>4565</t>
  </si>
  <si>
    <t>La Petite Academy</t>
  </si>
  <si>
    <t>9618</t>
  </si>
  <si>
    <t>Rogers Elementary School</t>
  </si>
  <si>
    <t>5604</t>
  </si>
  <si>
    <t>King Elementary School</t>
  </si>
  <si>
    <t>3920</t>
  </si>
  <si>
    <t>Henry Elementary School</t>
  </si>
  <si>
    <t>2202</t>
  </si>
  <si>
    <t>Doherty High School</t>
  </si>
  <si>
    <t>1032</t>
  </si>
  <si>
    <t>Bristol Elementary School</t>
  </si>
  <si>
    <t>4750</t>
  </si>
  <si>
    <t>Olney Springs Child Development Services - Otero Jr College</t>
  </si>
  <si>
    <t>2994</t>
  </si>
  <si>
    <t>5280 High School</t>
  </si>
  <si>
    <t>1529</t>
  </si>
  <si>
    <t>DSST: Conservatory Green High School</t>
  </si>
  <si>
    <t>2223</t>
  </si>
  <si>
    <t>DSST: Cole Middle School</t>
  </si>
  <si>
    <t>1077</t>
  </si>
  <si>
    <t>Bear Valley International School</t>
  </si>
  <si>
    <t>6368</t>
  </si>
  <si>
    <t>Northfield High School</t>
  </si>
  <si>
    <t>4049</t>
  </si>
  <si>
    <t>Highline Academy Northeast</t>
  </si>
  <si>
    <t>2115</t>
  </si>
  <si>
    <t>DSST: Montview Middle School</t>
  </si>
  <si>
    <t>8131</t>
  </si>
  <si>
    <t>Oakland Elementary</t>
  </si>
  <si>
    <t>5608</t>
  </si>
  <si>
    <t>Mathematics and Science Leadership Academy</t>
  </si>
  <si>
    <t>3340</t>
  </si>
  <si>
    <t>Lena Archuleta Elementary School</t>
  </si>
  <si>
    <t>7698</t>
  </si>
  <si>
    <t>Schmitt Elementary School</t>
  </si>
  <si>
    <t>7578</t>
  </si>
  <si>
    <t>Samuels Elementary School</t>
  </si>
  <si>
    <t>3605</t>
  </si>
  <si>
    <t>Grant Ranch ECE-8 School</t>
  </si>
  <si>
    <t>7163</t>
  </si>
  <si>
    <t>Prep Academy</t>
  </si>
  <si>
    <t>6970</t>
  </si>
  <si>
    <t>Florida Pitt-Waller ECE-8 School</t>
  </si>
  <si>
    <t>5158</t>
  </si>
  <si>
    <t>2185</t>
  </si>
  <si>
    <t>DSST: Montview High School</t>
  </si>
  <si>
    <t>4498</t>
  </si>
  <si>
    <t>Kaiser Elementary School</t>
  </si>
  <si>
    <t>2364</t>
  </si>
  <si>
    <t>Eagleton Elementary School</t>
  </si>
  <si>
    <t>0964</t>
  </si>
  <si>
    <t>Bradley International School</t>
  </si>
  <si>
    <t>0650</t>
  </si>
  <si>
    <t>Beach Court Elementary School</t>
  </si>
  <si>
    <t>5702</t>
  </si>
  <si>
    <t>McKinley-Thatcher Elementary School</t>
  </si>
  <si>
    <t>2726</t>
  </si>
  <si>
    <t>Emily Griffith High School</t>
  </si>
  <si>
    <t>8776</t>
  </si>
  <si>
    <t>Teller Elementary School</t>
  </si>
  <si>
    <t>0604</t>
  </si>
  <si>
    <t>Battle Mountain High School</t>
  </si>
  <si>
    <t>7517</t>
  </si>
  <si>
    <t>Running Creek Elementary School</t>
  </si>
  <si>
    <t>1426</t>
  </si>
  <si>
    <t>0022</t>
  </si>
  <si>
    <t>Lester R Arnold High School</t>
  </si>
  <si>
    <t>7810</t>
  </si>
  <si>
    <t>John E. Flynn A Marzano Academy</t>
  </si>
  <si>
    <t>6962</t>
  </si>
  <si>
    <t>Pioneer Bilingual Elementary School</t>
  </si>
  <si>
    <t>9544</t>
  </si>
  <si>
    <t>Whittier Elementary School</t>
  </si>
  <si>
    <t>5302</t>
  </si>
  <si>
    <t>Louisville Elementary School</t>
  </si>
  <si>
    <t>0652</t>
  </si>
  <si>
    <t>Bear Creek Elementary School</t>
  </si>
  <si>
    <t>6212</t>
  </si>
  <si>
    <t>Nederland Middle-Senior High School</t>
  </si>
  <si>
    <t>5306</t>
  </si>
  <si>
    <t>Louisville Middle School</t>
  </si>
  <si>
    <t>1842</t>
  </si>
  <si>
    <t>1352</t>
  </si>
  <si>
    <t>Casey Middle School</t>
  </si>
  <si>
    <t>5999</t>
  </si>
  <si>
    <t>Monarch High School</t>
  </si>
  <si>
    <t>1608</t>
  </si>
  <si>
    <t>Cheyenne Wells Elementary School</t>
  </si>
  <si>
    <t>4124</t>
  </si>
  <si>
    <t>Hotchkiss Elementary School</t>
  </si>
  <si>
    <t>1372</t>
  </si>
  <si>
    <t>Cedaredge High School</t>
  </si>
  <si>
    <t>7244</t>
  </si>
  <si>
    <t>Renaissance Secondary School</t>
  </si>
  <si>
    <t>3847</t>
  </si>
  <si>
    <t>HOPE Online Learning Academy Middle School</t>
  </si>
  <si>
    <t>1512</t>
  </si>
  <si>
    <t>Challenge to Excellence Charter School</t>
  </si>
  <si>
    <t>7118</t>
  </si>
  <si>
    <t>Ponderosa High School</t>
  </si>
  <si>
    <t>0215</t>
  </si>
  <si>
    <t>American Academy</t>
  </si>
  <si>
    <t>7297</t>
  </si>
  <si>
    <t>Redstone Elementary School</t>
  </si>
  <si>
    <t>7435</t>
  </si>
  <si>
    <t>Rock Canyon High School</t>
  </si>
  <si>
    <t>3980</t>
  </si>
  <si>
    <t>Highlands Ranch High School</t>
  </si>
  <si>
    <t>2232</t>
  </si>
  <si>
    <t>Rock Ridge Elementary School</t>
  </si>
  <si>
    <t>1270</t>
  </si>
  <si>
    <t>0201</t>
  </si>
  <si>
    <t>Daniel C Oakes High School--Castle Rock</t>
  </si>
  <si>
    <t>3522</t>
  </si>
  <si>
    <t>Fox Meadow Middle School</t>
  </si>
  <si>
    <t>3392</t>
  </si>
  <si>
    <t>Giberson Elementary School</t>
  </si>
  <si>
    <t>4474</t>
  </si>
  <si>
    <t>Jordahl Elementary School</t>
  </si>
  <si>
    <t>6953</t>
  </si>
  <si>
    <t>Pinon Valley Elementary School</t>
  </si>
  <si>
    <t>0632</t>
  </si>
  <si>
    <t>Bayfield Intermediate School</t>
  </si>
  <si>
    <t>1580</t>
  </si>
  <si>
    <t>Trinidad 1</t>
  </si>
  <si>
    <t>8906</t>
  </si>
  <si>
    <t>Trinidad High School</t>
  </si>
  <si>
    <t>6817</t>
  </si>
  <si>
    <t>PSAS Homeschool Program</t>
  </si>
  <si>
    <t>Lochbuie Elementary School</t>
  </si>
  <si>
    <t>3173</t>
  </si>
  <si>
    <t>Fred Tjardes School of Innovation</t>
  </si>
  <si>
    <t>0053</t>
  </si>
  <si>
    <t>Winograd K-8 Elementary School</t>
  </si>
  <si>
    <t>5660</t>
  </si>
  <si>
    <t>S. Christa McAuliffe STEM Academy</t>
  </si>
  <si>
    <t>2222</t>
  </si>
  <si>
    <t>Dos Rios Elementary School</t>
  </si>
  <si>
    <t>3162</t>
  </si>
  <si>
    <t>Franklin Middle School</t>
  </si>
  <si>
    <t>3146</t>
  </si>
  <si>
    <t>Briggsdale RE-10</t>
  </si>
  <si>
    <t>1012</t>
  </si>
  <si>
    <t>Briggsdale Undivided High School</t>
  </si>
  <si>
    <t>8037</t>
  </si>
  <si>
    <t>Sewall at Z Place</t>
  </si>
  <si>
    <t>7168</t>
  </si>
  <si>
    <t>Linden Early Learning Center</t>
  </si>
  <si>
    <t>7138</t>
  </si>
  <si>
    <t>A Biggs Step</t>
  </si>
  <si>
    <t>8795</t>
  </si>
  <si>
    <t>Little Einsteins Academy</t>
  </si>
  <si>
    <t>2903</t>
  </si>
  <si>
    <t>Kids 4 Real Inc</t>
  </si>
  <si>
    <t>2969</t>
  </si>
  <si>
    <t>Florence Crittenton Parent Pathways</t>
  </si>
  <si>
    <t>4828</t>
  </si>
  <si>
    <t>Agape Creative Day Care Center</t>
  </si>
  <si>
    <t>8614</t>
  </si>
  <si>
    <t>Christ the King Roman Catholic</t>
  </si>
  <si>
    <t>8609</t>
  </si>
  <si>
    <t>Children's Garden Montessori</t>
  </si>
  <si>
    <t>4340</t>
  </si>
  <si>
    <t>Avondale</t>
  </si>
  <si>
    <t>4321</t>
  </si>
  <si>
    <t>DPS - Columbine</t>
  </si>
  <si>
    <t>4318</t>
  </si>
  <si>
    <t>Elyria</t>
  </si>
  <si>
    <t>4237</t>
  </si>
  <si>
    <t>Early Success Academy</t>
  </si>
  <si>
    <t>4609</t>
  </si>
  <si>
    <t>Denver Academy of Torah</t>
  </si>
  <si>
    <t>4297</t>
  </si>
  <si>
    <t>DPS - Ford</t>
  </si>
  <si>
    <t>4588</t>
  </si>
  <si>
    <t>Rick's Center for Gifted Children</t>
  </si>
  <si>
    <t>4702</t>
  </si>
  <si>
    <t>Little Munchkins</t>
  </si>
  <si>
    <t>4249</t>
  </si>
  <si>
    <t>Warren Village Inc</t>
  </si>
  <si>
    <t>8678</t>
  </si>
  <si>
    <t>Excel Institute</t>
  </si>
  <si>
    <t>8676</t>
  </si>
  <si>
    <t>Temple Emanuel</t>
  </si>
  <si>
    <t>8665</t>
  </si>
  <si>
    <t>St Anne's Episcopal</t>
  </si>
  <si>
    <t>8634</t>
  </si>
  <si>
    <t>Good Shepherd Catholic School</t>
  </si>
  <si>
    <t>7049</t>
  </si>
  <si>
    <t>The Family Learning Center</t>
  </si>
  <si>
    <t>8686</t>
  </si>
  <si>
    <t>Vail Christian High School</t>
  </si>
  <si>
    <t>4914</t>
  </si>
  <si>
    <t>Jump Start Learning Center (Head Start)</t>
  </si>
  <si>
    <t>6003</t>
  </si>
  <si>
    <t>Little Giants Learning Center</t>
  </si>
  <si>
    <t>3530</t>
  </si>
  <si>
    <t>Boulder Jewish Community Center Preschool</t>
  </si>
  <si>
    <t>8557</t>
  </si>
  <si>
    <t>Mountain Shadows Montessori</t>
  </si>
  <si>
    <t>8601</t>
  </si>
  <si>
    <t>Appletree Christian Prekindergarten and Kindergarten</t>
  </si>
  <si>
    <t>8581</t>
  </si>
  <si>
    <t>The Acorn School for Early Childhood Development</t>
  </si>
  <si>
    <t>8563</t>
  </si>
  <si>
    <t>Saint Louis Catholic School</t>
  </si>
  <si>
    <t>4639</t>
  </si>
  <si>
    <t>Mt Zion Lutheran Church &amp; Preschool</t>
  </si>
  <si>
    <t>3637</t>
  </si>
  <si>
    <t>Rainbow Tree Preschool</t>
  </si>
  <si>
    <t>3645</t>
  </si>
  <si>
    <t>Boulder HS Woodland</t>
  </si>
  <si>
    <t>4590</t>
  </si>
  <si>
    <t>Countryside Montessori School</t>
  </si>
  <si>
    <t>4570</t>
  </si>
  <si>
    <t>Cherry Hills Christian</t>
  </si>
  <si>
    <t>4263</t>
  </si>
  <si>
    <t>Lone Tree Preschool</t>
  </si>
  <si>
    <t>6613</t>
  </si>
  <si>
    <t>Valley Hi CPCD Head Start</t>
  </si>
  <si>
    <t>4933</t>
  </si>
  <si>
    <t>Centennial CPCD Preschool</t>
  </si>
  <si>
    <t>8770</t>
  </si>
  <si>
    <t>Aspen Country Day School</t>
  </si>
  <si>
    <t>6654</t>
  </si>
  <si>
    <t>Pueblo West Christian Academy</t>
  </si>
  <si>
    <t>5384</t>
  </si>
  <si>
    <t>La Frontera Head Start - Center</t>
  </si>
  <si>
    <t>5336</t>
  </si>
  <si>
    <t>Small Wonders Preschool</t>
  </si>
  <si>
    <t>0077</t>
  </si>
  <si>
    <t>ABC East</t>
  </si>
  <si>
    <t>6167</t>
  </si>
  <si>
    <t>Family Education Network Weld County Madison</t>
  </si>
  <si>
    <t>3210</t>
  </si>
  <si>
    <t>Wray RD-2</t>
  </si>
  <si>
    <t>0218</t>
  </si>
  <si>
    <t>Wray Community Child Care Center</t>
  </si>
  <si>
    <t>6199</t>
  </si>
  <si>
    <t>Southern Peaks Regional Treatment Center</t>
  </si>
  <si>
    <t>9361</t>
  </si>
  <si>
    <t>Rite of Passage - Jeffco</t>
  </si>
  <si>
    <t>6240</t>
  </si>
  <si>
    <t>Spectra Autism Center</t>
  </si>
  <si>
    <t>6416</t>
  </si>
  <si>
    <t>Third Way Center (Joan Farley Academy)</t>
  </si>
  <si>
    <t>6107</t>
  </si>
  <si>
    <t>National Jewish Hospital</t>
  </si>
  <si>
    <t>6204</t>
  </si>
  <si>
    <t>Shiloh Home - Adams</t>
  </si>
  <si>
    <t>6092</t>
  </si>
  <si>
    <t>Laradon Hall</t>
  </si>
  <si>
    <t>6015</t>
  </si>
  <si>
    <t>Community Reach Center</t>
  </si>
  <si>
    <t>8103</t>
  </si>
  <si>
    <t>Department of Corrections</t>
  </si>
  <si>
    <t>2759</t>
  </si>
  <si>
    <t>Youthful Offender System</t>
  </si>
  <si>
    <t>Colorado Preparatory Academy High School</t>
  </si>
  <si>
    <t>9050</t>
  </si>
  <si>
    <t>San Juan BOCES</t>
  </si>
  <si>
    <t>8121</t>
  </si>
  <si>
    <t>Southwest Colorado eSchool</t>
  </si>
  <si>
    <t>0493</t>
  </si>
  <si>
    <t>Axis International Academy</t>
  </si>
  <si>
    <t>2196</t>
  </si>
  <si>
    <t xml:space="preserve">Colorado Early Colleges Douglas County </t>
  </si>
  <si>
    <t>5957</t>
  </si>
  <si>
    <t>Montessori del Mundo Charter School</t>
  </si>
  <si>
    <t>6914</t>
  </si>
  <si>
    <t>The Pinnacle Charter School</t>
  </si>
  <si>
    <t>3040</t>
  </si>
  <si>
    <t>Arickaree R-2</t>
  </si>
  <si>
    <t>0308</t>
  </si>
  <si>
    <t>Arickaree Undivided High School</t>
  </si>
  <si>
    <t>6181</t>
  </si>
  <si>
    <t>The Peak School</t>
  </si>
  <si>
    <t>3010</t>
  </si>
  <si>
    <t>Cripple Creek-Victor RE-1</t>
  </si>
  <si>
    <t>6711</t>
  </si>
  <si>
    <t>Pioneer Preschool</t>
  </si>
  <si>
    <t>5258</t>
  </si>
  <si>
    <t>Lone Star Undivided High School</t>
  </si>
  <si>
    <t>5254</t>
  </si>
  <si>
    <t>Lone Star Elementary School</t>
  </si>
  <si>
    <t>7056</t>
  </si>
  <si>
    <t>Platteville Elementary School</t>
  </si>
  <si>
    <t>2522</t>
  </si>
  <si>
    <t>Hayden Valley Elementary School</t>
  </si>
  <si>
    <t>3996</t>
  </si>
  <si>
    <t>Holy Name Preschool</t>
  </si>
  <si>
    <t>9757</t>
  </si>
  <si>
    <t>Yampa Valley High School</t>
  </si>
  <si>
    <t>4810</t>
  </si>
  <si>
    <t>Young Tracks Inc</t>
  </si>
  <si>
    <t>2780</t>
  </si>
  <si>
    <t>South Routt RE 3</t>
  </si>
  <si>
    <t>8048</t>
  </si>
  <si>
    <t>Soroco Middle School</t>
  </si>
  <si>
    <t>7902</t>
  </si>
  <si>
    <t>Silverton Middle School</t>
  </si>
  <si>
    <t>6137</t>
  </si>
  <si>
    <t>Mountain Munchkins/Town of Mountain Village</t>
  </si>
  <si>
    <t>4488</t>
  </si>
  <si>
    <t>Julesburg Elementary School</t>
  </si>
  <si>
    <t>6699</t>
  </si>
  <si>
    <t>Lamar Annex Otero Junior College</t>
  </si>
  <si>
    <t>6399</t>
  </si>
  <si>
    <t>Northmoor Preschool</t>
  </si>
  <si>
    <t>8603</t>
  </si>
  <si>
    <t>Christian Growth Academy</t>
  </si>
  <si>
    <t>8775</t>
  </si>
  <si>
    <t>Daystar Christian School</t>
  </si>
  <si>
    <t>4004</t>
  </si>
  <si>
    <t>5048</t>
  </si>
  <si>
    <t>Pueblo Academy of Arts</t>
  </si>
  <si>
    <t>7209</t>
  </si>
  <si>
    <t>Pueblo Charter School for the Arts &amp; Sciences</t>
  </si>
  <si>
    <t>5916</t>
  </si>
  <si>
    <t>Minnequa Elementary School</t>
  </si>
  <si>
    <t>2394</t>
  </si>
  <si>
    <t>East High School</t>
  </si>
  <si>
    <t>1402</t>
  </si>
  <si>
    <t>Centennial High School</t>
  </si>
  <si>
    <t>3724</t>
  </si>
  <si>
    <t>Haaff Elementary School</t>
  </si>
  <si>
    <t>5381</t>
  </si>
  <si>
    <t>Monte Vista Head Start</t>
  </si>
  <si>
    <t>6046</t>
  </si>
  <si>
    <t>Monte Vista Senior High School</t>
  </si>
  <si>
    <t>6030</t>
  </si>
  <si>
    <t>Byron Syring Delta Center</t>
  </si>
  <si>
    <t>2211</t>
  </si>
  <si>
    <t>Lil Rascals Child Care Center</t>
  </si>
  <si>
    <t>8118</t>
  </si>
  <si>
    <t>South Park High School</t>
  </si>
  <si>
    <t>4582</t>
  </si>
  <si>
    <t>Bristlecone Children's School</t>
  </si>
  <si>
    <t>8688</t>
  </si>
  <si>
    <t>Lighthouse Christian Academy</t>
  </si>
  <si>
    <t>4769</t>
  </si>
  <si>
    <t>Treehouse Learning Center</t>
  </si>
  <si>
    <t>6026</t>
  </si>
  <si>
    <t>Montezuma-Cortez High School</t>
  </si>
  <si>
    <t>5450</t>
  </si>
  <si>
    <t>Mancos Middle School</t>
  </si>
  <si>
    <t>5452</t>
  </si>
  <si>
    <t>Mancos High School</t>
  </si>
  <si>
    <t>4458</t>
  </si>
  <si>
    <t>8423</t>
  </si>
  <si>
    <t>Colorado West Christian School</t>
  </si>
  <si>
    <t>6695</t>
  </si>
  <si>
    <t>6494</t>
  </si>
  <si>
    <t>Olathe High School</t>
  </si>
  <si>
    <t>6486</t>
  </si>
  <si>
    <t>Olathe Elementary School</t>
  </si>
  <si>
    <t>6718</t>
  </si>
  <si>
    <t>Paradox Valley Charter School</t>
  </si>
  <si>
    <t>8832</t>
  </si>
  <si>
    <t>Thomson Primary School</t>
  </si>
  <si>
    <t>3620</t>
  </si>
  <si>
    <t>Green Acres Elementary School</t>
  </si>
  <si>
    <t>5455</t>
  </si>
  <si>
    <t>Tiger Trades Academy</t>
  </si>
  <si>
    <t>4841</t>
  </si>
  <si>
    <t>La Junta Intermediate School</t>
  </si>
  <si>
    <t>8769</t>
  </si>
  <si>
    <t>Pioneer Christian School</t>
  </si>
  <si>
    <t>7811</t>
  </si>
  <si>
    <t>Small World Christian Child Care</t>
  </si>
  <si>
    <t>0515</t>
  </si>
  <si>
    <t>Ayres Elementary School</t>
  </si>
  <si>
    <t>1321</t>
  </si>
  <si>
    <t>2988</t>
  </si>
  <si>
    <t>Fleming High School</t>
  </si>
  <si>
    <t>7008</t>
  </si>
  <si>
    <t xml:space="preserve">Little Blossoms Early Learning </t>
  </si>
  <si>
    <t>4439</t>
  </si>
  <si>
    <t>Juniper Ridge Community School</t>
  </si>
  <si>
    <t>8548</t>
  </si>
  <si>
    <t>Grand Valley Mennonite School</t>
  </si>
  <si>
    <t>1046</t>
  </si>
  <si>
    <t>Broadway Elementary School</t>
  </si>
  <si>
    <t>0262</t>
  </si>
  <si>
    <t>Appleton Elementary School</t>
  </si>
  <si>
    <t>8398</t>
  </si>
  <si>
    <t>Sunset Elementary School</t>
  </si>
  <si>
    <t>8878</t>
  </si>
  <si>
    <t>Treehouse Montessori School</t>
  </si>
  <si>
    <t>8751</t>
  </si>
  <si>
    <t>Rivendell School</t>
  </si>
  <si>
    <t>8893</t>
  </si>
  <si>
    <t>The Children's Workshop</t>
  </si>
  <si>
    <t>1393</t>
  </si>
  <si>
    <t>Christ Fellowship Church Child Development Center</t>
  </si>
  <si>
    <t>3287</t>
  </si>
  <si>
    <t>Goddard School</t>
  </si>
  <si>
    <t>6484</t>
  </si>
  <si>
    <t>Open Arms Christian Preschool</t>
  </si>
  <si>
    <t>1917</t>
  </si>
  <si>
    <t>Compass Community Collaborative School</t>
  </si>
  <si>
    <t>0498</t>
  </si>
  <si>
    <t>Bethke Elementary School</t>
  </si>
  <si>
    <t>6007</t>
  </si>
  <si>
    <t>Base Camp/Stove Prairie Preschool</t>
  </si>
  <si>
    <t>4599</t>
  </si>
  <si>
    <t>River Song Waldorf School</t>
  </si>
  <si>
    <t>7325</t>
  </si>
  <si>
    <t>Rice Elementary School</t>
  </si>
  <si>
    <t>7350</t>
  </si>
  <si>
    <t>Riffenburgh Elementary School</t>
  </si>
  <si>
    <t>6476</t>
  </si>
  <si>
    <t>O'Dea Elementary School</t>
  </si>
  <si>
    <t>8757</t>
  </si>
  <si>
    <t>Protestant Reformed Christian</t>
  </si>
  <si>
    <t>8758</t>
  </si>
  <si>
    <t>Resurrection Christian</t>
  </si>
  <si>
    <t>1920</t>
  </si>
  <si>
    <t>Cottonwood Plains Elementary School</t>
  </si>
  <si>
    <t>4501</t>
  </si>
  <si>
    <t>0092</t>
  </si>
  <si>
    <t>Abiding Hope Preschool</t>
  </si>
  <si>
    <t>0755</t>
  </si>
  <si>
    <t>Jacob Academy - Flower</t>
  </si>
  <si>
    <t>4662</t>
  </si>
  <si>
    <t>La Petite Academy Eaton</t>
  </si>
  <si>
    <t>0094</t>
  </si>
  <si>
    <t>Advantage Learning Center</t>
  </si>
  <si>
    <t>8856</t>
  </si>
  <si>
    <t>Three Creeks K-8</t>
  </si>
  <si>
    <t>7125</t>
  </si>
  <si>
    <t xml:space="preserve">South Table Mountain Preschool </t>
  </si>
  <si>
    <t>0109</t>
  </si>
  <si>
    <t>Arvada K-8</t>
  </si>
  <si>
    <t>5477</t>
  </si>
  <si>
    <t>Patterson Head Start City of Lakewood</t>
  </si>
  <si>
    <t>5178</t>
  </si>
  <si>
    <t>5171</t>
  </si>
  <si>
    <t>Eagles' Nest Early Learning Center</t>
  </si>
  <si>
    <t>7529</t>
  </si>
  <si>
    <t>6848</t>
  </si>
  <si>
    <t>Peak Expeditionary - Pennington</t>
  </si>
  <si>
    <t>6286</t>
  </si>
  <si>
    <t>Normandy Elementary School</t>
  </si>
  <si>
    <t>6237</t>
  </si>
  <si>
    <t>New America School</t>
  </si>
  <si>
    <t>0965</t>
  </si>
  <si>
    <t>Brady Exploration School</t>
  </si>
  <si>
    <t>9428</t>
  </si>
  <si>
    <t>West Jefferson Middle School</t>
  </si>
  <si>
    <t>8746</t>
  </si>
  <si>
    <t>Wooden Shoe Preschool</t>
  </si>
  <si>
    <t>8741</t>
  </si>
  <si>
    <t>Shrine of St Anne</t>
  </si>
  <si>
    <t>8726</t>
  </si>
  <si>
    <t>Havern School</t>
  </si>
  <si>
    <t>8719</t>
  </si>
  <si>
    <t>Bethlehem Lutheran School</t>
  </si>
  <si>
    <t>4549</t>
  </si>
  <si>
    <t>Kendallvue Elementary School</t>
  </si>
  <si>
    <t>4422</t>
  </si>
  <si>
    <t>Jefferson Junior/Senior High School</t>
  </si>
  <si>
    <t>4402</t>
  </si>
  <si>
    <t>Jefferson Academy Elementary</t>
  </si>
  <si>
    <t>8280</t>
  </si>
  <si>
    <t>Stony Creek Elementary School</t>
  </si>
  <si>
    <t>9490</t>
  </si>
  <si>
    <t>Westridge Elementary School</t>
  </si>
  <si>
    <t>9342</t>
  </si>
  <si>
    <t>Welchester Elementary School</t>
  </si>
  <si>
    <t>3025</t>
  </si>
  <si>
    <t>7701</t>
  </si>
  <si>
    <t>Collegiate Academy of Colorado</t>
  </si>
  <si>
    <t>6330</t>
  </si>
  <si>
    <t>North Arvada Middle School</t>
  </si>
  <si>
    <t>5004</t>
  </si>
  <si>
    <t>Lasley Elementary School</t>
  </si>
  <si>
    <t>2300</t>
  </si>
  <si>
    <t>Dunstan Middle School</t>
  </si>
  <si>
    <t>1861</t>
  </si>
  <si>
    <t>Columbine Hills Elementary School</t>
  </si>
  <si>
    <t>0378</t>
  </si>
  <si>
    <t>Arvada West High School</t>
  </si>
  <si>
    <t>1440</t>
  </si>
  <si>
    <t>Plainview RE-2</t>
  </si>
  <si>
    <t>6992</t>
  </si>
  <si>
    <t>Plainview Elementary School</t>
  </si>
  <si>
    <t>4669</t>
  </si>
  <si>
    <t>New Horizons Educational Environment</t>
  </si>
  <si>
    <t>3571</t>
  </si>
  <si>
    <t>Durango Big Picture High School</t>
  </si>
  <si>
    <t>2941</t>
  </si>
  <si>
    <t>Summit Christian School</t>
  </si>
  <si>
    <t>4760</t>
  </si>
  <si>
    <t>Riverhouse Preschool</t>
  </si>
  <si>
    <t>4758</t>
  </si>
  <si>
    <t>Mercy Child Care Center</t>
  </si>
  <si>
    <t>8388</t>
  </si>
  <si>
    <t>Sunnyside Elementary School</t>
  </si>
  <si>
    <t>2318</t>
  </si>
  <si>
    <t>Durango High School</t>
  </si>
  <si>
    <t>5108</t>
  </si>
  <si>
    <t>CMC Start-Up Literacy Program</t>
  </si>
  <si>
    <t>3460</t>
  </si>
  <si>
    <t>Glenwood Springs Elementary School</t>
  </si>
  <si>
    <t>0561</t>
  </si>
  <si>
    <t>Basalt Middle School</t>
  </si>
  <si>
    <t>0570</t>
  </si>
  <si>
    <t>Basalt High School</t>
  </si>
  <si>
    <t>3464</t>
  </si>
  <si>
    <t>Glenwood Springs Middle School</t>
  </si>
  <si>
    <t>7356</t>
  </si>
  <si>
    <t>Rifle Middle School</t>
  </si>
  <si>
    <t>1583</t>
  </si>
  <si>
    <t>Caring Kids Preschool</t>
  </si>
  <si>
    <t>2573</t>
  </si>
  <si>
    <t>Elk Creek Elementary</t>
  </si>
  <si>
    <t>3281</t>
  </si>
  <si>
    <t>Graham Mesa Elementary School</t>
  </si>
  <si>
    <t>5111</t>
  </si>
  <si>
    <t>Even Start</t>
  </si>
  <si>
    <t>9231</t>
  </si>
  <si>
    <t>Wamsley Elementary School</t>
  </si>
  <si>
    <t>8396</t>
  </si>
  <si>
    <t>Smiling Faces Academy</t>
  </si>
  <si>
    <t>7839</t>
  </si>
  <si>
    <t>St. Vrain Global Online Academy</t>
  </si>
  <si>
    <t>7565</t>
  </si>
  <si>
    <t>St. Vrain Community Montessori School</t>
  </si>
  <si>
    <t>2912</t>
  </si>
  <si>
    <t>Fall River Elementary School</t>
  </si>
  <si>
    <t>7464</t>
  </si>
  <si>
    <t>3194</t>
  </si>
  <si>
    <t>Coal Ridge Middle School</t>
  </si>
  <si>
    <t>9430</t>
  </si>
  <si>
    <t>Westview Middle School</t>
  </si>
  <si>
    <t>2758</t>
  </si>
  <si>
    <t>Erie Elementary School</t>
  </si>
  <si>
    <t>3192</t>
  </si>
  <si>
    <t>Thunder Valley PK-8</t>
  </si>
  <si>
    <t>1132</t>
  </si>
  <si>
    <t xml:space="preserve">Buena Vista Middle School </t>
  </si>
  <si>
    <t>1554</t>
  </si>
  <si>
    <t>Crest Academy</t>
  </si>
  <si>
    <t>4742</t>
  </si>
  <si>
    <t>Kit Carson Junior-Senior High School</t>
  </si>
  <si>
    <t>4216</t>
  </si>
  <si>
    <t>Clear Creek High School</t>
  </si>
  <si>
    <t>4448</t>
  </si>
  <si>
    <t>Black Forest Hills Elementary School</t>
  </si>
  <si>
    <t>7559</t>
  </si>
  <si>
    <t>Sagebrush Elementary School</t>
  </si>
  <si>
    <t>7102</t>
  </si>
  <si>
    <t>Polton Community Elementary School</t>
  </si>
  <si>
    <t>4276</t>
  </si>
  <si>
    <t>Independence Elementary School</t>
  </si>
  <si>
    <t>1916</t>
  </si>
  <si>
    <t>Cottonwood Creek Elementary School</t>
  </si>
  <si>
    <t>1574</t>
  </si>
  <si>
    <t>Cherry Hills Village Elementary School</t>
  </si>
  <si>
    <t>8887</t>
  </si>
  <si>
    <t>Trails West Elementary School</t>
  </si>
  <si>
    <t>2357</t>
  </si>
  <si>
    <t>Eaglecrest High School</t>
  </si>
  <si>
    <t>1970</t>
  </si>
  <si>
    <t>Creekside Elementary School</t>
  </si>
  <si>
    <t>Cherry Creek High School</t>
  </si>
  <si>
    <t>1145</t>
  </si>
  <si>
    <t>Village at Highland</t>
  </si>
  <si>
    <t>9600</t>
  </si>
  <si>
    <t>Wilder Elementary School</t>
  </si>
  <si>
    <t>5236</t>
  </si>
  <si>
    <t>Lois Lenski Elementary School</t>
  </si>
  <si>
    <t>5229</t>
  </si>
  <si>
    <t>Littleton Academy</t>
  </si>
  <si>
    <t>2140</t>
  </si>
  <si>
    <t>Deer Trail Junior-Senior High School</t>
  </si>
  <si>
    <t>9189</t>
  </si>
  <si>
    <t>Vanguard Classical School - East</t>
  </si>
  <si>
    <t>9083</t>
  </si>
  <si>
    <t>Vista Peak P-8 Exploratory</t>
  </si>
  <si>
    <t>6758</t>
  </si>
  <si>
    <t>Park Lane Elementary School</t>
  </si>
  <si>
    <t>8356</t>
  </si>
  <si>
    <t>William Smith High School</t>
  </si>
  <si>
    <t>6310</t>
  </si>
  <si>
    <t>North Middle School Health Sciences and Technology Campus</t>
  </si>
  <si>
    <t>5361</t>
  </si>
  <si>
    <t>Lyn Knoll Elementary School</t>
  </si>
  <si>
    <t>9396</t>
  </si>
  <si>
    <t>Aurora West College Preparatory Academy</t>
  </si>
  <si>
    <t>2618</t>
  </si>
  <si>
    <t>Elkhart Elementary School</t>
  </si>
  <si>
    <t>2114</t>
  </si>
  <si>
    <t>Dartmouth Elementary School</t>
  </si>
  <si>
    <t>1720</t>
  </si>
  <si>
    <t>Clyde Miller K-8</t>
  </si>
  <si>
    <t>2356</t>
  </si>
  <si>
    <t>Astravo Academy High School</t>
  </si>
  <si>
    <t>6263</t>
  </si>
  <si>
    <t>Colorado Virtual Academy Middle School</t>
  </si>
  <si>
    <t>0270</t>
  </si>
  <si>
    <t>Campo RE-6</t>
  </si>
  <si>
    <t>1248</t>
  </si>
  <si>
    <t>Campo Elementary School</t>
  </si>
  <si>
    <t>1796</t>
  </si>
  <si>
    <t>Colorado Connections Academy</t>
  </si>
  <si>
    <t>6315</t>
  </si>
  <si>
    <t>North Valley School for Young Adults</t>
  </si>
  <si>
    <t>0309</t>
  </si>
  <si>
    <t>Academy High School</t>
  </si>
  <si>
    <t>8814</t>
  </si>
  <si>
    <t>Thunder Vista P-8</t>
  </si>
  <si>
    <t>4699</t>
  </si>
  <si>
    <t>New America School - Thornton</t>
  </si>
  <si>
    <t>2410</t>
  </si>
  <si>
    <t>Tarver Elementary School</t>
  </si>
  <si>
    <t>5816</t>
  </si>
  <si>
    <t>Thornton High School</t>
  </si>
  <si>
    <t>Hunters Glen Elementary School</t>
  </si>
  <si>
    <t>1914</t>
  </si>
  <si>
    <t>Cotton Creek Elementary School</t>
  </si>
  <si>
    <t>7340</t>
  </si>
  <si>
    <t>Riverdale Ridge High School</t>
  </si>
  <si>
    <t>1013</t>
  </si>
  <si>
    <t>Brantner Elementary School</t>
  </si>
  <si>
    <t>6638</t>
  </si>
  <si>
    <t>Overland Trail Middle School</t>
  </si>
  <si>
    <t>8130</t>
  </si>
  <si>
    <t>Southeast Elementary School</t>
  </si>
  <si>
    <t>7133</t>
  </si>
  <si>
    <t>Prairie Creek High School</t>
  </si>
  <si>
    <t>1556</t>
  </si>
  <si>
    <t>Cherrelyn Elementary School</t>
  </si>
  <si>
    <t>5902</t>
  </si>
  <si>
    <t>Milliken Middle School</t>
  </si>
  <si>
    <t>Fort Lupton High School</t>
  </si>
  <si>
    <t>1632</t>
  </si>
  <si>
    <t>Gilpin County Elementary School</t>
  </si>
  <si>
    <t>3690</t>
  </si>
  <si>
    <t>Gunnison Elementary School</t>
  </si>
  <si>
    <t>HINSDALE</t>
  </si>
  <si>
    <t>Hinsdale County RE 1</t>
  </si>
  <si>
    <t>4899</t>
  </si>
  <si>
    <t>Lake City Community School</t>
  </si>
  <si>
    <t>1421</t>
  </si>
  <si>
    <t>Chinook Trail Middle School</t>
  </si>
  <si>
    <t>0249</t>
  </si>
  <si>
    <t>Antelope Trails Elementary School</t>
  </si>
  <si>
    <t>9714</t>
  </si>
  <si>
    <t>Woodmen-Roberts Elementary School</t>
  </si>
  <si>
    <t>5126</t>
  </si>
  <si>
    <t>Liberty High School</t>
  </si>
  <si>
    <t>8813</t>
  </si>
  <si>
    <t>The Da Vinci Academy School</t>
  </si>
  <si>
    <t>2524</t>
  </si>
  <si>
    <t>Edith Wolford Elementary School</t>
  </si>
  <si>
    <t>0209</t>
  </si>
  <si>
    <t>Aspen Valley Campus</t>
  </si>
  <si>
    <t>3758</t>
  </si>
  <si>
    <t>Hanover Junior-Senior High School</t>
  </si>
  <si>
    <t>0467</t>
  </si>
  <si>
    <t>Mountain View Academy</t>
  </si>
  <si>
    <t>0101</t>
  </si>
  <si>
    <t>ALLIES</t>
  </si>
  <si>
    <t>4102</t>
  </si>
  <si>
    <t>2523</t>
  </si>
  <si>
    <t>Edison Prep</t>
  </si>
  <si>
    <t>2526</t>
  </si>
  <si>
    <t>Edison Junior-Senior High School</t>
  </si>
  <si>
    <t>0048</t>
  </si>
  <si>
    <t>Agate Junior Senior High School</t>
  </si>
  <si>
    <t>3978</t>
  </si>
  <si>
    <t>Holy Love Preschool and Kindergarten</t>
  </si>
  <si>
    <t>4634</t>
  </si>
  <si>
    <t>1881</t>
  </si>
  <si>
    <t>Creative Learning Academy</t>
  </si>
  <si>
    <t>1978</t>
  </si>
  <si>
    <t>E&amp;R Cannon Child Care Center</t>
  </si>
  <si>
    <t>8599</t>
  </si>
  <si>
    <t>Cedarwood Christian Academy</t>
  </si>
  <si>
    <t>4625</t>
  </si>
  <si>
    <t>Rocky Mountain Christian Academy</t>
  </si>
  <si>
    <t>4614</t>
  </si>
  <si>
    <t>Christ Our Redeemer Lutheran</t>
  </si>
  <si>
    <t>4761</t>
  </si>
  <si>
    <t>Seeds of Learning</t>
  </si>
  <si>
    <t>9407</t>
  </si>
  <si>
    <t>Westminster Day Program</t>
  </si>
  <si>
    <t>4591</t>
  </si>
  <si>
    <t>Cornerstone Christian Academy</t>
  </si>
  <si>
    <t>2913</t>
  </si>
  <si>
    <t>FirstArt Christian Academy</t>
  </si>
  <si>
    <t>5371</t>
  </si>
  <si>
    <t>Gingerbread House CPP (Adams State College)</t>
  </si>
  <si>
    <t>7002</t>
  </si>
  <si>
    <t>New Horizons Academy Preschool</t>
  </si>
  <si>
    <t>6715</t>
  </si>
  <si>
    <t>Milliken Head Start Weld County</t>
  </si>
  <si>
    <t>4508</t>
  </si>
  <si>
    <t>Kids in Motion of Milliken</t>
  </si>
  <si>
    <t>5386</t>
  </si>
  <si>
    <t>Little Red Schoolhouse</t>
  </si>
  <si>
    <t>8796</t>
  </si>
  <si>
    <t>Wee Care in Lake City</t>
  </si>
  <si>
    <t>7881</t>
  </si>
  <si>
    <t>5104</t>
  </si>
  <si>
    <t>Pikes Peak Community College CDC</t>
  </si>
  <si>
    <t>5105</t>
  </si>
  <si>
    <t>Ellicott Head Start</t>
  </si>
  <si>
    <t>4392</t>
  </si>
  <si>
    <t>Goodwill Ind of Colorado Springs</t>
  </si>
  <si>
    <t>4388</t>
  </si>
  <si>
    <t>Special Kids/Special Families</t>
  </si>
  <si>
    <t>6614</t>
  </si>
  <si>
    <t>Evans CPCD Head Start</t>
  </si>
  <si>
    <t>Elbert 200</t>
  </si>
  <si>
    <t>7178</t>
  </si>
  <si>
    <t>Elbert</t>
  </si>
  <si>
    <t>1210</t>
  </si>
  <si>
    <t>Calhan Elementary School</t>
  </si>
  <si>
    <t>9334</t>
  </si>
  <si>
    <t>Webster Elementary School</t>
  </si>
  <si>
    <t>9566</t>
  </si>
  <si>
    <t>Widefield High School</t>
  </si>
  <si>
    <t>8178</t>
  </si>
  <si>
    <t>Sproul Junior High School</t>
  </si>
  <si>
    <t>3234</t>
  </si>
  <si>
    <t>French Elementary School</t>
  </si>
  <si>
    <t>3504</t>
  </si>
  <si>
    <t>Hope Montessori</t>
  </si>
  <si>
    <t>8702</t>
  </si>
  <si>
    <t>Pikes Peak Christian School</t>
  </si>
  <si>
    <t>8692</t>
  </si>
  <si>
    <t>Springs Baptist Academy</t>
  </si>
  <si>
    <t>5404</t>
  </si>
  <si>
    <t>Madison Elementary School</t>
  </si>
  <si>
    <t>0269</t>
  </si>
  <si>
    <t>Achieve Online</t>
  </si>
  <si>
    <t>2034</t>
  </si>
  <si>
    <t>Colorado Springs Child Nursery-Antlers</t>
  </si>
  <si>
    <t>4636</t>
  </si>
  <si>
    <t>7482</t>
  </si>
  <si>
    <t>Roosevelt Charter Academy</t>
  </si>
  <si>
    <t>4571</t>
  </si>
  <si>
    <t>4555</t>
  </si>
  <si>
    <t>Holy Apostles Preschool</t>
  </si>
  <si>
    <t>4401</t>
  </si>
  <si>
    <t>FUMC Preschool</t>
  </si>
  <si>
    <t>4397</t>
  </si>
  <si>
    <t>Counterpoint School Inc</t>
  </si>
  <si>
    <t>4039</t>
  </si>
  <si>
    <t>Colorado Children's Academy</t>
  </si>
  <si>
    <t>4006</t>
  </si>
  <si>
    <t>Jr Academy Children Center Ltd</t>
  </si>
  <si>
    <t>5146</t>
  </si>
  <si>
    <t>Eastlake High School of Colorado Springs</t>
  </si>
  <si>
    <t>4358</t>
  </si>
  <si>
    <t>2528</t>
  </si>
  <si>
    <t>Nikola Tesla Education Opportunity Center</t>
  </si>
  <si>
    <t>6856</t>
  </si>
  <si>
    <t>Penrose Elementary School</t>
  </si>
  <si>
    <t>Carver Elementary School</t>
  </si>
  <si>
    <t>1030</t>
  </si>
  <si>
    <t>Manitou Springs 14</t>
  </si>
  <si>
    <t>5468</t>
  </si>
  <si>
    <t>Manitou Springs High School</t>
  </si>
  <si>
    <t>0580</t>
  </si>
  <si>
    <t>South Conejos RE-10</t>
  </si>
  <si>
    <t>5376</t>
  </si>
  <si>
    <t>Rocky Mountain SER Head Start Conejos Center</t>
  </si>
  <si>
    <t>0250</t>
  </si>
  <si>
    <t>Antonito Middle School</t>
  </si>
  <si>
    <t>0740</t>
  </si>
  <si>
    <t>Sierra Grande R-30</t>
  </si>
  <si>
    <t>4233</t>
  </si>
  <si>
    <t>Tiny Hands Day Care Inc</t>
  </si>
  <si>
    <t>2054</t>
  </si>
  <si>
    <t>Crowley County Elementary K-6</t>
  </si>
  <si>
    <t>CUSTER</t>
  </si>
  <si>
    <t>Custer County School District C-1</t>
  </si>
  <si>
    <t>2088</t>
  </si>
  <si>
    <t>Custer County Elementary School</t>
  </si>
  <si>
    <t>1056</t>
  </si>
  <si>
    <t>Bromwell Elementary School</t>
  </si>
  <si>
    <t>5044</t>
  </si>
  <si>
    <t>Legacy Options High School</t>
  </si>
  <si>
    <t>3655</t>
  </si>
  <si>
    <t>Center for Talent Development at Greenlee</t>
  </si>
  <si>
    <t>5897</t>
  </si>
  <si>
    <t>McAuliffe International School</t>
  </si>
  <si>
    <t>2244</t>
  </si>
  <si>
    <t>DSST: College View High School</t>
  </si>
  <si>
    <t>4383</t>
  </si>
  <si>
    <t>Joe Shoemaker School</t>
  </si>
  <si>
    <t>4500</t>
  </si>
  <si>
    <t>KIPP Northeast Elementary</t>
  </si>
  <si>
    <t>2188</t>
  </si>
  <si>
    <t>Denver Center for 21st-Century Learning at Wyman</t>
  </si>
  <si>
    <t>2207</t>
  </si>
  <si>
    <t>Downtown Denver Expeditionary School</t>
  </si>
  <si>
    <t>1489</t>
  </si>
  <si>
    <t>Compassion Road Academy</t>
  </si>
  <si>
    <t>2181</t>
  </si>
  <si>
    <t>DSST: Green Valley Ranch Middle School</t>
  </si>
  <si>
    <t>2227</t>
  </si>
  <si>
    <t>Denver Discovery School</t>
  </si>
  <si>
    <t>3540</t>
  </si>
  <si>
    <t>Girls Athletic Leadership School High School</t>
  </si>
  <si>
    <t>9336</t>
  </si>
  <si>
    <t>STRIVE Prep - Sunnyside</t>
  </si>
  <si>
    <t>2127</t>
  </si>
  <si>
    <t>Denver Language School</t>
  </si>
  <si>
    <t>4732</t>
  </si>
  <si>
    <t>KIPP Sunshine Peak Academy</t>
  </si>
  <si>
    <t>5685</t>
  </si>
  <si>
    <t>McGlone Academy</t>
  </si>
  <si>
    <t>6397</t>
  </si>
  <si>
    <t>Academia Ana Marie Sandoval</t>
  </si>
  <si>
    <t>4444</t>
  </si>
  <si>
    <t>John F Kennedy High School</t>
  </si>
  <si>
    <t>8232</t>
  </si>
  <si>
    <t>Stedman Elementary School</t>
  </si>
  <si>
    <t>1788</t>
  </si>
  <si>
    <t>College View Elementary School</t>
  </si>
  <si>
    <t>1319</t>
  </si>
  <si>
    <t>Career Education Center Early College</t>
  </si>
  <si>
    <t>0408</t>
  </si>
  <si>
    <t>Valdez Elementary School</t>
  </si>
  <si>
    <t>1106</t>
  </si>
  <si>
    <t>Bryant Webster Dual Language ECE-8 School</t>
  </si>
  <si>
    <t>0418</t>
  </si>
  <si>
    <t>Ashley Elementary School</t>
  </si>
  <si>
    <t>3746</t>
  </si>
  <si>
    <t>Hamilton Middle School</t>
  </si>
  <si>
    <t>3704</t>
  </si>
  <si>
    <t>Gust Elementary School</t>
  </si>
  <si>
    <t>9496</t>
  </si>
  <si>
    <t>Castro Elementary School</t>
  </si>
  <si>
    <t>8006</t>
  </si>
  <si>
    <t>Smith Elementary School</t>
  </si>
  <si>
    <t>7554</t>
  </si>
  <si>
    <t>Sabin World School</t>
  </si>
  <si>
    <t>6754</t>
  </si>
  <si>
    <t>Park Hill School</t>
  </si>
  <si>
    <t>6314</t>
  </si>
  <si>
    <t>North High School</t>
  </si>
  <si>
    <t>2643</t>
  </si>
  <si>
    <t>Eagle Valley Early College High School</t>
  </si>
  <si>
    <t>0039</t>
  </si>
  <si>
    <t>Gypsum Creek Middle School</t>
  </si>
  <si>
    <t>0037</t>
  </si>
  <si>
    <t>Red Hill Elementary School</t>
  </si>
  <si>
    <t>2350</t>
  </si>
  <si>
    <t>Eagle Valley High School</t>
  </si>
  <si>
    <t>2355</t>
  </si>
  <si>
    <t>Eagle Valley Middle School</t>
  </si>
  <si>
    <t>2604</t>
  </si>
  <si>
    <t>Elizabeth Middle School</t>
  </si>
  <si>
    <t>5880</t>
  </si>
  <si>
    <t>Mildred L Sanville Preschool</t>
  </si>
  <si>
    <t>9236</t>
  </si>
  <si>
    <t>Westminster Academy for International Studies</t>
  </si>
  <si>
    <t>7952</t>
  </si>
  <si>
    <t>Skyline Vista Elementary School</t>
  </si>
  <si>
    <t>8798</t>
  </si>
  <si>
    <t>Tennyson Knolls Preparatory School</t>
  </si>
  <si>
    <t>6816</t>
  </si>
  <si>
    <t>Peak to Peak Charter School</t>
  </si>
  <si>
    <t>4496</t>
  </si>
  <si>
    <t>Justice High Charter School</t>
  </si>
  <si>
    <t>4874</t>
  </si>
  <si>
    <t>Lafayette Elementary School</t>
  </si>
  <si>
    <t>3940</t>
  </si>
  <si>
    <t>High Peaks Elementary School</t>
  </si>
  <si>
    <t>1883</t>
  </si>
  <si>
    <t>Community Montessori School</t>
  </si>
  <si>
    <t>0872</t>
  </si>
  <si>
    <t>Birch Elementary School</t>
  </si>
  <si>
    <t>0934</t>
  </si>
  <si>
    <t>Boulder Prep Charter High School</t>
  </si>
  <si>
    <t>2166</t>
  </si>
  <si>
    <t>Vision Charter Academy</t>
  </si>
  <si>
    <t>2160</t>
  </si>
  <si>
    <t>Delta Middle School</t>
  </si>
  <si>
    <t>6164</t>
  </si>
  <si>
    <t>0135</t>
  </si>
  <si>
    <t>Ben Franklin Academy</t>
  </si>
  <si>
    <t>6019</t>
  </si>
  <si>
    <t>Aspen View Academy</t>
  </si>
  <si>
    <t>1555</t>
  </si>
  <si>
    <t>Cloverleaf Home Education</t>
  </si>
  <si>
    <t>0265</t>
  </si>
  <si>
    <t>Clear Sky Elementary</t>
  </si>
  <si>
    <t>0266</t>
  </si>
  <si>
    <t>Gold Rush Elementary</t>
  </si>
  <si>
    <t>2965</t>
  </si>
  <si>
    <t>Flagstone Elementary School</t>
  </si>
  <si>
    <t>7319</t>
  </si>
  <si>
    <t>Renaissance Expedition Learn Outward Bound School</t>
  </si>
  <si>
    <t>6961</t>
  </si>
  <si>
    <t>6772</t>
  </si>
  <si>
    <t>Sagewood Middle School</t>
  </si>
  <si>
    <t>6152</t>
  </si>
  <si>
    <t>1579</t>
  </si>
  <si>
    <t>North Star Academy</t>
  </si>
  <si>
    <t>8382</t>
  </si>
  <si>
    <t>Summit View Elementary School</t>
  </si>
  <si>
    <t>7047</t>
  </si>
  <si>
    <t>Platte River Charter Academy</t>
  </si>
  <si>
    <t>6938</t>
  </si>
  <si>
    <t>Pine Grove Elementary School</t>
  </si>
  <si>
    <t>6396</t>
  </si>
  <si>
    <t>Northeast Elementary School</t>
  </si>
  <si>
    <t>5997</t>
  </si>
  <si>
    <t>DC Montessori Charter School</t>
  </si>
  <si>
    <t>3138</t>
  </si>
  <si>
    <t>Fox Creek Elementary School</t>
  </si>
  <si>
    <t>8923</t>
  </si>
  <si>
    <t>Turman Elementary School</t>
  </si>
  <si>
    <t>3870</t>
  </si>
  <si>
    <t>Career Readiness Academy</t>
  </si>
  <si>
    <t>6018</t>
  </si>
  <si>
    <t>Monterey Elementary School</t>
  </si>
  <si>
    <t>8034</t>
  </si>
  <si>
    <t>Soaring Eagles Elementary School</t>
  </si>
  <si>
    <t>1306</t>
  </si>
  <si>
    <t>Carmel Middle School</t>
  </si>
  <si>
    <t>9610</t>
  </si>
  <si>
    <t>Weikel Elementary School</t>
  </si>
  <si>
    <t>3108</t>
  </si>
  <si>
    <t>6138</t>
  </si>
  <si>
    <t>Mountainside Elementary School</t>
  </si>
  <si>
    <t>Fountain-Fort Carson High School</t>
  </si>
  <si>
    <t>1582</t>
  </si>
  <si>
    <t>The Vanguard School (Elementary)</t>
  </si>
  <si>
    <t>6811</t>
  </si>
  <si>
    <t>Peyton College Academy</t>
  </si>
  <si>
    <t>6626</t>
  </si>
  <si>
    <t>Peyton Online Academy</t>
  </si>
  <si>
    <t>2295</t>
  </si>
  <si>
    <t>Monument Charter Academy</t>
  </si>
  <si>
    <t>7165</t>
  </si>
  <si>
    <t>Prairie Winds Elementary School</t>
  </si>
  <si>
    <t>8342</t>
  </si>
  <si>
    <t>2944</t>
  </si>
  <si>
    <t>Fisher's Peak Elementary School</t>
  </si>
  <si>
    <t>1386</t>
  </si>
  <si>
    <t>Trinidad Middle School</t>
  </si>
  <si>
    <t>1966</t>
  </si>
  <si>
    <t>Creede School</t>
  </si>
  <si>
    <t>0042</t>
  </si>
  <si>
    <t>Aspen Community Charter School</t>
  </si>
  <si>
    <t>7532</t>
  </si>
  <si>
    <t>Craver Middle School</t>
  </si>
  <si>
    <t>Center High School</t>
  </si>
  <si>
    <t>1412</t>
  </si>
  <si>
    <t>Haskin Elementary School</t>
  </si>
  <si>
    <t>9692</t>
  </si>
  <si>
    <t>Gateway Elementary School</t>
  </si>
  <si>
    <t>5412</t>
  </si>
  <si>
    <t>7814</t>
  </si>
  <si>
    <t>Shawsheen Elementary School</t>
  </si>
  <si>
    <t>1008</t>
  </si>
  <si>
    <t>Briggsdale Elementary School</t>
  </si>
  <si>
    <t>9733</t>
  </si>
  <si>
    <t>Wray Junior Senior High School</t>
  </si>
  <si>
    <t>4245</t>
  </si>
  <si>
    <t>Rocky Mountain SER Centro</t>
  </si>
  <si>
    <t>8640</t>
  </si>
  <si>
    <t>Iliff Preschool and Kindergarten</t>
  </si>
  <si>
    <t>4262</t>
  </si>
  <si>
    <t>CEC Early Learning Academy</t>
  </si>
  <si>
    <t>4676</t>
  </si>
  <si>
    <t>The Baby Haven Child Care Center</t>
  </si>
  <si>
    <t>8403</t>
  </si>
  <si>
    <t>Sewall Child Development Center - St. John's Cathedral</t>
  </si>
  <si>
    <t>6005</t>
  </si>
  <si>
    <t>West Side Day Care Center-Mile High Montessori</t>
  </si>
  <si>
    <t>4928</t>
  </si>
  <si>
    <t>Southwest YMCA</t>
  </si>
  <si>
    <t>4927</t>
  </si>
  <si>
    <t>Schlessman YMCA</t>
  </si>
  <si>
    <t>4370</t>
  </si>
  <si>
    <t>Lincoln</t>
  </si>
  <si>
    <t>4345</t>
  </si>
  <si>
    <t>Apache</t>
  </si>
  <si>
    <t>4324</t>
  </si>
  <si>
    <t>Highland Wrap</t>
  </si>
  <si>
    <t>4319</t>
  </si>
  <si>
    <t>DPS - Whittier</t>
  </si>
  <si>
    <t>4317</t>
  </si>
  <si>
    <t>Sunnyside</t>
  </si>
  <si>
    <t>4703</t>
  </si>
  <si>
    <t>Lowry Wrap Around</t>
  </si>
  <si>
    <t>4240</t>
  </si>
  <si>
    <t>Day One Learning Center</t>
  </si>
  <si>
    <t>8643</t>
  </si>
  <si>
    <t>Love Christian Fellowship Educational Center</t>
  </si>
  <si>
    <t>8637</t>
  </si>
  <si>
    <t>Graland Country Day School</t>
  </si>
  <si>
    <t>8621</t>
  </si>
  <si>
    <t>Westminster Learning Center</t>
  </si>
  <si>
    <t>1989</t>
  </si>
  <si>
    <t>Our School Preschool</t>
  </si>
  <si>
    <t>3527</t>
  </si>
  <si>
    <t>Cottage School South</t>
  </si>
  <si>
    <t>8712</t>
  </si>
  <si>
    <t>Take A Break Inc</t>
  </si>
  <si>
    <t>1986</t>
  </si>
  <si>
    <t>Fairview Montessori</t>
  </si>
  <si>
    <t>8578</t>
  </si>
  <si>
    <t>Harmony Preschool</t>
  </si>
  <si>
    <t>8560</t>
  </si>
  <si>
    <t>Sunflower Preschool</t>
  </si>
  <si>
    <t>3636</t>
  </si>
  <si>
    <t>Mt Calvary Rainbow Child Care Center</t>
  </si>
  <si>
    <t>4615</t>
  </si>
  <si>
    <t>Kindercare</t>
  </si>
  <si>
    <t>1979</t>
  </si>
  <si>
    <t>Care Lot Preschool</t>
  </si>
  <si>
    <t>4833</t>
  </si>
  <si>
    <t>Castle Rock Christian Academy</t>
  </si>
  <si>
    <t>8684</t>
  </si>
  <si>
    <t>4941</t>
  </si>
  <si>
    <t>Stratton Meadows Elementary Preschool Project</t>
  </si>
  <si>
    <t>4938</t>
  </si>
  <si>
    <t>Giberson CPCD Preschool Modular</t>
  </si>
  <si>
    <t>4936</t>
  </si>
  <si>
    <t>Stratmoor Hills CPCD Preschool</t>
  </si>
  <si>
    <t>4929</t>
  </si>
  <si>
    <t>Bricker Head Start Modular</t>
  </si>
  <si>
    <t>1515</t>
  </si>
  <si>
    <t>CPCD Head Start Fort Carson Center</t>
  </si>
  <si>
    <t>1524</t>
  </si>
  <si>
    <t>Hope Montessori Academy</t>
  </si>
  <si>
    <t>4775</t>
  </si>
  <si>
    <t>SCCOG Early Learning Center</t>
  </si>
  <si>
    <t>5343</t>
  </si>
  <si>
    <t>WPCC Learning Center</t>
  </si>
  <si>
    <t>0080</t>
  </si>
  <si>
    <t>ABC Scott</t>
  </si>
  <si>
    <t>6171</t>
  </si>
  <si>
    <t>Parent and Family Center Jefferson School</t>
  </si>
  <si>
    <t>4587</t>
  </si>
  <si>
    <t>Shepherd of the Hills Lutheran School</t>
  </si>
  <si>
    <t>4026</t>
  </si>
  <si>
    <t>Dayspring Christian School</t>
  </si>
  <si>
    <t>6037</t>
  </si>
  <si>
    <t>Hampden Youth Campus</t>
  </si>
  <si>
    <t>6053</t>
  </si>
  <si>
    <t>Valley View Youth Recovery Center</t>
  </si>
  <si>
    <t>6178</t>
  </si>
  <si>
    <t>Colorado Mental Health Institute at Pueblo</t>
  </si>
  <si>
    <t>6031</t>
  </si>
  <si>
    <t>Cedar Springs Hospital</t>
  </si>
  <si>
    <t>6032</t>
  </si>
  <si>
    <t>Jefferson Hills - Aurora</t>
  </si>
  <si>
    <t>6082</t>
  </si>
  <si>
    <t>Devereux Cleo Wallace - Westminster</t>
  </si>
  <si>
    <t>8104</t>
  </si>
  <si>
    <t>Division of Youth Services</t>
  </si>
  <si>
    <t>2688</t>
  </si>
  <si>
    <t>Lookout Mountain</t>
  </si>
  <si>
    <t>Expeditionary BOCES</t>
  </si>
  <si>
    <t>Rocky Mountain School of Expeditionary Learning</t>
  </si>
  <si>
    <t>0006</t>
  </si>
  <si>
    <t>County Jails with District Run Education</t>
  </si>
  <si>
    <t>9000</t>
  </si>
  <si>
    <t>Colorado School for the Deaf and Blind</t>
  </si>
  <si>
    <t>1924</t>
  </si>
  <si>
    <t>1607</t>
  </si>
  <si>
    <t>Centennial BOCES High School</t>
  </si>
  <si>
    <t>1387</t>
  </si>
  <si>
    <t>Colorado Early Colleges Windsor</t>
  </si>
  <si>
    <t>0149</t>
  </si>
  <si>
    <t>Colorado Early Colleges Fort Collins West</t>
  </si>
  <si>
    <t>3513</t>
  </si>
  <si>
    <t>Early Learning Center at New Legacy Charter School</t>
  </si>
  <si>
    <t>1633</t>
  </si>
  <si>
    <t>Colorado Early Colleges Aurora</t>
  </si>
  <si>
    <t>3326</t>
  </si>
  <si>
    <t>Colorado International Language Academy</t>
  </si>
  <si>
    <t>4403</t>
  </si>
  <si>
    <t>James Irwin Charter Academy</t>
  </si>
  <si>
    <t>5453</t>
  </si>
  <si>
    <t>Mountain Middle School</t>
  </si>
  <si>
    <t>1279</t>
  </si>
  <si>
    <t>Caprock Academy</t>
  </si>
  <si>
    <t>8370</t>
  </si>
  <si>
    <t>Dillon Valley Elementary School</t>
  </si>
  <si>
    <t>4827</t>
  </si>
  <si>
    <t>Little Red School House</t>
  </si>
  <si>
    <t>6713</t>
  </si>
  <si>
    <t>Platteville Head Start</t>
  </si>
  <si>
    <t>8630</t>
  </si>
  <si>
    <t>New Hope Academy</t>
  </si>
  <si>
    <t>6363</t>
  </si>
  <si>
    <t>North Routt Charter School</t>
  </si>
  <si>
    <t>4013</t>
  </si>
  <si>
    <t>Steamboat Mountain School</t>
  </si>
  <si>
    <t>8210</t>
  </si>
  <si>
    <t>Steamboat Springs Middle School</t>
  </si>
  <si>
    <t>8208</t>
  </si>
  <si>
    <t>Soda Creek Elementary School</t>
  </si>
  <si>
    <t>7904</t>
  </si>
  <si>
    <t>Silverton High School</t>
  </si>
  <si>
    <t>8794</t>
  </si>
  <si>
    <t>Telluride High School</t>
  </si>
  <si>
    <t>8786</t>
  </si>
  <si>
    <t>Telluride Intermediate School</t>
  </si>
  <si>
    <t>6794</t>
  </si>
  <si>
    <t>9608</t>
  </si>
  <si>
    <t>Wiley Junior-Senior High School</t>
  </si>
  <si>
    <t>2732</t>
  </si>
  <si>
    <t>Fulton Heights</t>
  </si>
  <si>
    <t>3924</t>
  </si>
  <si>
    <t>Heritage Elementary School</t>
  </si>
  <si>
    <t>2438</t>
  </si>
  <si>
    <t>Eva R Baca Elementary School</t>
  </si>
  <si>
    <t>1454</t>
  </si>
  <si>
    <t>Central High School</t>
  </si>
  <si>
    <t>6036</t>
  </si>
  <si>
    <t>Bill Metz Elementary School</t>
  </si>
  <si>
    <t>4749</t>
  </si>
  <si>
    <t>Manzanola Child Development</t>
  </si>
  <si>
    <t>6598</t>
  </si>
  <si>
    <t>Ouray Middle School</t>
  </si>
  <si>
    <t>7346</t>
  </si>
  <si>
    <t>Ridgway High School</t>
  </si>
  <si>
    <t>4080</t>
  </si>
  <si>
    <t>Holyoke Senior High School</t>
  </si>
  <si>
    <t>3507</t>
  </si>
  <si>
    <t>Cortez Seventh Day Adventist School</t>
  </si>
  <si>
    <t>4046</t>
  </si>
  <si>
    <t>High Desert Early Head Start</t>
  </si>
  <si>
    <t>7082</t>
  </si>
  <si>
    <t>Pleasant View Elementary School</t>
  </si>
  <si>
    <t>4770</t>
  </si>
  <si>
    <t>Trinity Lutheran Preschool</t>
  </si>
  <si>
    <t>8133</t>
  </si>
  <si>
    <t>Southwest Open Charter School</t>
  </si>
  <si>
    <t>7430</t>
  </si>
  <si>
    <t>Beech Street Preschool</t>
  </si>
  <si>
    <t>5446</t>
  </si>
  <si>
    <t>Mancos Elementary School</t>
  </si>
  <si>
    <t>1392</t>
  </si>
  <si>
    <t>Centennial Middle School</t>
  </si>
  <si>
    <t>6436</t>
  </si>
  <si>
    <t>Nucla High School</t>
  </si>
  <si>
    <t>1438</t>
  </si>
  <si>
    <t>Beaver Valley Elementary School</t>
  </si>
  <si>
    <t>6954</t>
  </si>
  <si>
    <t>4712</t>
  </si>
  <si>
    <t>Fort Morgan Head Start</t>
  </si>
  <si>
    <t>2505</t>
  </si>
  <si>
    <t>Weldon Valley RE-20(J)</t>
  </si>
  <si>
    <t>9352</t>
  </si>
  <si>
    <t>Weldon Valley Elementary School</t>
  </si>
  <si>
    <t>5015</t>
  </si>
  <si>
    <t>La Junta Jr/Sr High School</t>
  </si>
  <si>
    <t>8792</t>
  </si>
  <si>
    <t>Trinity Lutheran Early Education Center</t>
  </si>
  <si>
    <t>4794</t>
  </si>
  <si>
    <t>Little Folks Preschool/Daycare</t>
  </si>
  <si>
    <t>7007</t>
  </si>
  <si>
    <t>Caring 4 Kids Campus Preschool</t>
  </si>
  <si>
    <t>6943</t>
  </si>
  <si>
    <t>Red Canyon Academy Head Start</t>
  </si>
  <si>
    <t>4084</t>
  </si>
  <si>
    <t>Lincoln Park Preschool</t>
  </si>
  <si>
    <t>6673</t>
  </si>
  <si>
    <t>Orchard Mesa Rocky Mountain SER</t>
  </si>
  <si>
    <t>2736</t>
  </si>
  <si>
    <t>Serendipity Preschool</t>
  </si>
  <si>
    <t>8764</t>
  </si>
  <si>
    <t>Lutheran Church of the Messiah</t>
  </si>
  <si>
    <t>2128</t>
  </si>
  <si>
    <t>Independence Academy</t>
  </si>
  <si>
    <t>1450</t>
  </si>
  <si>
    <t>8876</t>
  </si>
  <si>
    <t>Tope Elementary School</t>
  </si>
  <si>
    <t>8462</t>
  </si>
  <si>
    <t>6070</t>
  </si>
  <si>
    <t>Fruita Monument High School</t>
  </si>
  <si>
    <t>3244</t>
  </si>
  <si>
    <t>Fruita Middle School</t>
  </si>
  <si>
    <t>4497</t>
  </si>
  <si>
    <t>Westgate Kindercare</t>
  </si>
  <si>
    <t>0216</t>
  </si>
  <si>
    <t>Rocky Mountain Kindercare</t>
  </si>
  <si>
    <t>7043</t>
  </si>
  <si>
    <t>PSD Options School</t>
  </si>
  <si>
    <t>2658</t>
  </si>
  <si>
    <t>El Nidito at the Family Center</t>
  </si>
  <si>
    <t>5487</t>
  </si>
  <si>
    <t>Poudre R1 Early Childhood Program Pv</t>
  </si>
  <si>
    <t>7127</t>
  </si>
  <si>
    <t>Poudre Community Academy</t>
  </si>
  <si>
    <t>8750</t>
  </si>
  <si>
    <t>Fort Collins Christian School</t>
  </si>
  <si>
    <t>9251</t>
  </si>
  <si>
    <t>Traut Core Elementary School</t>
  </si>
  <si>
    <t>Bacon Elementary School</t>
  </si>
  <si>
    <t>5014</t>
  </si>
  <si>
    <t>Laurel Elementary School</t>
  </si>
  <si>
    <t>3787</t>
  </si>
  <si>
    <t>Harris Bilingual Elementary School</t>
  </si>
  <si>
    <t>9260</t>
  </si>
  <si>
    <t>Harold Ferguson High School</t>
  </si>
  <si>
    <t>6194</t>
  </si>
  <si>
    <t>Namaqua Elementary School</t>
  </si>
  <si>
    <t>7113</t>
  </si>
  <si>
    <t>Ponderosa Elementary</t>
  </si>
  <si>
    <t>9674</t>
  </si>
  <si>
    <t>Winona Elementary School</t>
  </si>
  <si>
    <t>8755</t>
  </si>
  <si>
    <t>H.M.S. Richards Adventist</t>
  </si>
  <si>
    <t>3320</t>
  </si>
  <si>
    <t>Garfield Elementary School</t>
  </si>
  <si>
    <t>1323</t>
  </si>
  <si>
    <t>Carrie Martin Elementary School</t>
  </si>
  <si>
    <t>0066</t>
  </si>
  <si>
    <t>Aguilar Junior-Senior High School</t>
  </si>
  <si>
    <t>1780</t>
  </si>
  <si>
    <t>Genoa-Hugo C113</t>
  </si>
  <si>
    <t>4162</t>
  </si>
  <si>
    <t>Genoa-Hugo School</t>
  </si>
  <si>
    <t>4505</t>
  </si>
  <si>
    <t>Coal Mine Kindercare</t>
  </si>
  <si>
    <t>0576</t>
  </si>
  <si>
    <t>Inspiration Preschool</t>
  </si>
  <si>
    <t>9678</t>
  </si>
  <si>
    <t>Witt Elementary School</t>
  </si>
  <si>
    <t>3502</t>
  </si>
  <si>
    <t>Golden High School</t>
  </si>
  <si>
    <t>2496</t>
  </si>
  <si>
    <t>Edgewater Elementary School</t>
  </si>
  <si>
    <t>0778</t>
  </si>
  <si>
    <t>Tiny Hearts Academy - Lakewood</t>
  </si>
  <si>
    <t>9121</t>
  </si>
  <si>
    <t>Vertical Skills Academy</t>
  </si>
  <si>
    <t>7191</t>
  </si>
  <si>
    <t>Primrose School of Ken Caryl</t>
  </si>
  <si>
    <t>0478</t>
  </si>
  <si>
    <t>Colorado Kids Academy</t>
  </si>
  <si>
    <t>0753</t>
  </si>
  <si>
    <t>Child Priority Preschool</t>
  </si>
  <si>
    <t>9245</t>
  </si>
  <si>
    <t>Warren Tech North</t>
  </si>
  <si>
    <t>8793</t>
  </si>
  <si>
    <t>Two Roads Charter School</t>
  </si>
  <si>
    <t>8610</t>
  </si>
  <si>
    <t>Foothills Christian Kindergarten</t>
  </si>
  <si>
    <t>7870</t>
  </si>
  <si>
    <t>Sierra Elementary School</t>
  </si>
  <si>
    <t>5472</t>
  </si>
  <si>
    <t>Manning Options School</t>
  </si>
  <si>
    <t>4667</t>
  </si>
  <si>
    <t>Renaissance Children's Center</t>
  </si>
  <si>
    <t>6139</t>
  </si>
  <si>
    <t>Mountain Phoenix Community School</t>
  </si>
  <si>
    <t>5024</t>
  </si>
  <si>
    <t>Lawrence Elementary School</t>
  </si>
  <si>
    <t>8729</t>
  </si>
  <si>
    <t>8724</t>
  </si>
  <si>
    <t>Littleton Montessori School</t>
  </si>
  <si>
    <t>8722</t>
  </si>
  <si>
    <t>Colorado Academy</t>
  </si>
  <si>
    <t>8720</t>
  </si>
  <si>
    <t>Evergreen Country Day School</t>
  </si>
  <si>
    <t>7833</t>
  </si>
  <si>
    <t>Shelton Elementary School</t>
  </si>
  <si>
    <t>6844</t>
  </si>
  <si>
    <t>Peiffer Elementary School</t>
  </si>
  <si>
    <t>2194</t>
  </si>
  <si>
    <t>Devinny Elementary School</t>
  </si>
  <si>
    <t>1318</t>
  </si>
  <si>
    <t>Carmody Middle School</t>
  </si>
  <si>
    <t>2288</t>
  </si>
  <si>
    <t>Drake Junior High School</t>
  </si>
  <si>
    <t>3536</t>
  </si>
  <si>
    <t>Governor's Ranch Elementary School</t>
  </si>
  <si>
    <t>3450</t>
  </si>
  <si>
    <t>Glennon Heights Elementary School</t>
  </si>
  <si>
    <t>7009</t>
  </si>
  <si>
    <t>Plainview Junior-Senior High School</t>
  </si>
  <si>
    <t>1144</t>
  </si>
  <si>
    <t>Burlington Elementary School</t>
  </si>
  <si>
    <t>2097</t>
  </si>
  <si>
    <t>District 9-R Shared School</t>
  </si>
  <si>
    <t>3998</t>
  </si>
  <si>
    <t>Spotted Pony</t>
  </si>
  <si>
    <t>4393</t>
  </si>
  <si>
    <t>Kids Life Preschool &amp; Childcare Center</t>
  </si>
  <si>
    <t>8273</t>
  </si>
  <si>
    <t>St. Paul's Lutheran Preschool</t>
  </si>
  <si>
    <t>2756</t>
  </si>
  <si>
    <t>Everyday Learning Child Care</t>
  </si>
  <si>
    <t>5486</t>
  </si>
  <si>
    <t>Needham Preschool</t>
  </si>
  <si>
    <t>5483</t>
  </si>
  <si>
    <t>Campbell Child and Family Center</t>
  </si>
  <si>
    <t>8598</t>
  </si>
  <si>
    <t>Grace Preparatory Academy</t>
  </si>
  <si>
    <t>8748</t>
  </si>
  <si>
    <t>Sonflower Christian School</t>
  </si>
  <si>
    <t>7298</t>
  </si>
  <si>
    <t>Riverview School</t>
  </si>
  <si>
    <t>5109</t>
  </si>
  <si>
    <t>Campus Kids</t>
  </si>
  <si>
    <t>7422</t>
  </si>
  <si>
    <t>Roaring Fork High School</t>
  </si>
  <si>
    <t>2063</t>
  </si>
  <si>
    <t>Crystal River Elementary School</t>
  </si>
  <si>
    <t>3967</t>
  </si>
  <si>
    <t>0574</t>
  </si>
  <si>
    <t>Bloom Montessori School</t>
  </si>
  <si>
    <t>0379</t>
  </si>
  <si>
    <t>Wee School Preschool</t>
  </si>
  <si>
    <t>8617</t>
  </si>
  <si>
    <t>Messiah Early Learning Center</t>
  </si>
  <si>
    <t>0389</t>
  </si>
  <si>
    <t>The Bella Vita School</t>
  </si>
  <si>
    <t>0071</t>
  </si>
  <si>
    <t>Aspen Ridge Preparatory School</t>
  </si>
  <si>
    <t>1245</t>
  </si>
  <si>
    <t>Centennial Elementary</t>
  </si>
  <si>
    <t>8552</t>
  </si>
  <si>
    <t>Desiderata School Inc</t>
  </si>
  <si>
    <t>4607</t>
  </si>
  <si>
    <t>Kindercare Center</t>
  </si>
  <si>
    <t>5726</t>
  </si>
  <si>
    <t>Mead Elementary School</t>
  </si>
  <si>
    <t>4278</t>
  </si>
  <si>
    <t>Indian Peaks Elementary School</t>
  </si>
  <si>
    <t>Erie Middle School</t>
  </si>
  <si>
    <t>1148</t>
  </si>
  <si>
    <t>4306</t>
  </si>
  <si>
    <t>Avery/Parsons Elementary School</t>
  </si>
  <si>
    <t>2747</t>
  </si>
  <si>
    <t>5422</t>
  </si>
  <si>
    <t>Manassa Elementary School</t>
  </si>
  <si>
    <t>1378</t>
  </si>
  <si>
    <t>Centauri High School</t>
  </si>
  <si>
    <t>4412</t>
  </si>
  <si>
    <t>The Journey Preschool</t>
  </si>
  <si>
    <t>1551</t>
  </si>
  <si>
    <t>Cherokee Trail High School</t>
  </si>
  <si>
    <t>6625</t>
  </si>
  <si>
    <t>Overland High School</t>
  </si>
  <si>
    <t>8848</t>
  </si>
  <si>
    <t>Thunder Ridge Middle School</t>
  </si>
  <si>
    <t>8380</t>
  </si>
  <si>
    <t>3648</t>
  </si>
  <si>
    <t>Greenwood Elementary School</t>
  </si>
  <si>
    <t>5574</t>
  </si>
  <si>
    <t>Twain Elementary School</t>
  </si>
  <si>
    <t>2926</t>
  </si>
  <si>
    <t>Field Elementary School</t>
  </si>
  <si>
    <t>6068</t>
  </si>
  <si>
    <t>Montview Math &amp; Health Sciences Elementary School</t>
  </si>
  <si>
    <t>2673</t>
  </si>
  <si>
    <t>Edna and John W. Mosley P-8</t>
  </si>
  <si>
    <t>1458</t>
  </si>
  <si>
    <t>Aurora Central High School</t>
  </si>
  <si>
    <t>4970</t>
  </si>
  <si>
    <t>Lansing Elementary Community School</t>
  </si>
  <si>
    <t>6546</t>
  </si>
  <si>
    <t>6160</t>
  </si>
  <si>
    <t>Mrachek Middle School</t>
  </si>
  <si>
    <t>1948</t>
  </si>
  <si>
    <t>Crawford Elementary School</t>
  </si>
  <si>
    <t>2793</t>
  </si>
  <si>
    <t>Astravo Academy Middle School</t>
  </si>
  <si>
    <t>1168</t>
  </si>
  <si>
    <t>Byers Elementary School</t>
  </si>
  <si>
    <t>7174</t>
  </si>
  <si>
    <t>Pritchett Elementary School</t>
  </si>
  <si>
    <t>0212</t>
  </si>
  <si>
    <t>Mapleton Early College High School</t>
  </si>
  <si>
    <t>9036</t>
  </si>
  <si>
    <t>Valley View K-8</t>
  </si>
  <si>
    <t>8275</t>
  </si>
  <si>
    <t>STEM Lab</t>
  </si>
  <si>
    <t>0014</t>
  </si>
  <si>
    <t>Glacier Peak Elementary School</t>
  </si>
  <si>
    <t>8842</t>
  </si>
  <si>
    <t>Thornton Elementary School</t>
  </si>
  <si>
    <t>0057</t>
  </si>
  <si>
    <t>Rocky Top Middle School</t>
  </si>
  <si>
    <t>5058</t>
  </si>
  <si>
    <t>Leroy Drive Elementary School</t>
  </si>
  <si>
    <t>2584</t>
  </si>
  <si>
    <t>Riverdale Elementary School</t>
  </si>
  <si>
    <t>0210</t>
  </si>
  <si>
    <t>Vantage Point</t>
  </si>
  <si>
    <t>4950</t>
  </si>
  <si>
    <t>Landmark Academy at Reunion</t>
  </si>
  <si>
    <t>0763</t>
  </si>
  <si>
    <t>Bennett Preschool</t>
  </si>
  <si>
    <t>0115</t>
  </si>
  <si>
    <t>Alamosa Elementary School 3-5</t>
  </si>
  <si>
    <t>0114</t>
  </si>
  <si>
    <t>Ortega Middle School</t>
  </si>
  <si>
    <t>0206</t>
  </si>
  <si>
    <t>Colorado's Finest High School of Choice</t>
  </si>
  <si>
    <t>Englewood Leadership Academy</t>
  </si>
  <si>
    <t>1514</t>
  </si>
  <si>
    <t>Charles Hay World School</t>
  </si>
  <si>
    <t>5318</t>
  </si>
  <si>
    <t>Englewood Early Childhood Education Center at Maddox</t>
  </si>
  <si>
    <t>7052</t>
  </si>
  <si>
    <t>Platte Valley Elementary School</t>
  </si>
  <si>
    <t>5050</t>
  </si>
  <si>
    <t>Leo William Butler Elementary School</t>
  </si>
  <si>
    <t>8274</t>
  </si>
  <si>
    <t>Grand Valley Middle School</t>
  </si>
  <si>
    <t>1447</t>
  </si>
  <si>
    <t>Crested Butte Elementary School</t>
  </si>
  <si>
    <t>3697</t>
  </si>
  <si>
    <t>Gunnison Middle School</t>
  </si>
  <si>
    <t>JACKSON</t>
  </si>
  <si>
    <t>1410</t>
  </si>
  <si>
    <t>North Park R-1</t>
  </si>
  <si>
    <t>6358</t>
  </si>
  <si>
    <t>North Park School</t>
  </si>
  <si>
    <t>1033</t>
  </si>
  <si>
    <t>Briargate Preschool</t>
  </si>
  <si>
    <t>1615</t>
  </si>
  <si>
    <t>Chinook Trail Elementary School</t>
  </si>
  <si>
    <t>2642</t>
  </si>
  <si>
    <t>Ellicott Senior High School</t>
  </si>
  <si>
    <t>4272</t>
  </si>
  <si>
    <t>Inspiration View Elementary School</t>
  </si>
  <si>
    <t>0555</t>
  </si>
  <si>
    <t>Banning Lewis Ranch Academy</t>
  </si>
  <si>
    <t>5191</t>
  </si>
  <si>
    <t>Liberty Tree Academy</t>
  </si>
  <si>
    <t>8010</t>
  </si>
  <si>
    <t>Springs Ranch Elementary School</t>
  </si>
  <si>
    <t>7463</t>
  </si>
  <si>
    <t>Rocky Mountain Classical Academy</t>
  </si>
  <si>
    <t>7613</t>
  </si>
  <si>
    <t>Sand Creek High School</t>
  </si>
  <si>
    <t>1618</t>
  </si>
  <si>
    <t>Evans Elementary School</t>
  </si>
  <si>
    <t>9706</t>
  </si>
  <si>
    <t>Woodmen Hills Elementary School</t>
  </si>
  <si>
    <t>5704</t>
  </si>
  <si>
    <t>McKinley Elementary School</t>
  </si>
  <si>
    <t>3002</t>
  </si>
  <si>
    <t>Florence Jr./Sr. High School</t>
  </si>
  <si>
    <t>4592</t>
  </si>
  <si>
    <t>St Mary's Academy</t>
  </si>
  <si>
    <t>4011</t>
  </si>
  <si>
    <t>St Thomas More School</t>
  </si>
  <si>
    <t>9802</t>
  </si>
  <si>
    <t>Marvin W Foote Youth Services</t>
  </si>
  <si>
    <t>1909</t>
  </si>
  <si>
    <t>Anastasis Academy</t>
  </si>
  <si>
    <t>7119</t>
  </si>
  <si>
    <t>Our Father Preschool</t>
  </si>
  <si>
    <t>1573</t>
  </si>
  <si>
    <t>Children's Chalet Inc</t>
  </si>
  <si>
    <t>0411</t>
  </si>
  <si>
    <t>Kay's Kindercare</t>
  </si>
  <si>
    <t>4912</t>
  </si>
  <si>
    <t>Village Green Child Care</t>
  </si>
  <si>
    <t>4289</t>
  </si>
  <si>
    <t>Ironton</t>
  </si>
  <si>
    <t>0116</t>
  </si>
  <si>
    <t>Wings Early Childhood Center</t>
  </si>
  <si>
    <t>8576</t>
  </si>
  <si>
    <t>Northglenn United Methodist Church ECC</t>
  </si>
  <si>
    <t>7252</t>
  </si>
  <si>
    <t>Rocky Mountain Lutheran High School</t>
  </si>
  <si>
    <t>8616</t>
  </si>
  <si>
    <t>Humanex Academy</t>
  </si>
  <si>
    <t>6006</t>
  </si>
  <si>
    <t>Early Education Center</t>
  </si>
  <si>
    <t>6659</t>
  </si>
  <si>
    <t>Paradise Place</t>
  </si>
  <si>
    <t>6755</t>
  </si>
  <si>
    <t>Primrose School of Briargate</t>
  </si>
  <si>
    <t>4389</t>
  </si>
  <si>
    <t>Autism Behavior Associates Inc</t>
  </si>
  <si>
    <t>8710</t>
  </si>
  <si>
    <t>Calvary Christian School</t>
  </si>
  <si>
    <t>3692</t>
  </si>
  <si>
    <t>Grand Mountain School</t>
  </si>
  <si>
    <t>8122</t>
  </si>
  <si>
    <t>Venetucci Elementary School</t>
  </si>
  <si>
    <t>9656</t>
  </si>
  <si>
    <t>Widefield District 3 Preschool</t>
  </si>
  <si>
    <t>9562</t>
  </si>
  <si>
    <t>Widefield Elementary School of the Arts</t>
  </si>
  <si>
    <t>4394</t>
  </si>
  <si>
    <t>Janitell Junior High School</t>
  </si>
  <si>
    <t>4787</t>
  </si>
  <si>
    <t>Wilson Head Start</t>
  </si>
  <si>
    <t>4563</t>
  </si>
  <si>
    <t>Discovery Trails Early Learning</t>
  </si>
  <si>
    <t>5390</t>
  </si>
  <si>
    <t>Mark Twain CPCD Head Start</t>
  </si>
  <si>
    <t>4998</t>
  </si>
  <si>
    <t>Bristol CPCD Preschool</t>
  </si>
  <si>
    <t>8541</t>
  </si>
  <si>
    <t>Temple Shalom Preschool</t>
  </si>
  <si>
    <t>5576</t>
  </si>
  <si>
    <t>8690</t>
  </si>
  <si>
    <t>Springs Adventist Academy</t>
  </si>
  <si>
    <t>5878</t>
  </si>
  <si>
    <t>Midland Elementary School</t>
  </si>
  <si>
    <t>3218</t>
  </si>
  <si>
    <t>1613</t>
  </si>
  <si>
    <t>Chipeta Elementary School</t>
  </si>
  <si>
    <t>0252</t>
  </si>
  <si>
    <t>Antonito High School</t>
  </si>
  <si>
    <t>2091</t>
  </si>
  <si>
    <t>Custer Middle School</t>
  </si>
  <si>
    <t>2092</t>
  </si>
  <si>
    <t>Custer County High School</t>
  </si>
  <si>
    <t>5255</t>
  </si>
  <si>
    <t>Lake Middle School</t>
  </si>
  <si>
    <t>9639</t>
  </si>
  <si>
    <t>STRIVE Prep - Smart Academy</t>
  </si>
  <si>
    <t>4513</t>
  </si>
  <si>
    <t>Kepner Beacon Middle School</t>
  </si>
  <si>
    <t>2167</t>
  </si>
  <si>
    <t>Denver Montessori Junior/Senior High School</t>
  </si>
  <si>
    <t>2209</t>
  </si>
  <si>
    <t>DCIS at Montbello</t>
  </si>
  <si>
    <t>6308</t>
  </si>
  <si>
    <t>North High School Engagement Center</t>
  </si>
  <si>
    <t>2186</t>
  </si>
  <si>
    <t>DSST: Byers Middle School</t>
  </si>
  <si>
    <t>4381</t>
  </si>
  <si>
    <t>DSST: College View Middle School</t>
  </si>
  <si>
    <t>9735</t>
  </si>
  <si>
    <t>STRIVE Prep - Montbello</t>
  </si>
  <si>
    <t>8995</t>
  </si>
  <si>
    <t>Vista Academy</t>
  </si>
  <si>
    <t>8145</t>
  </si>
  <si>
    <t>Summit Academy</t>
  </si>
  <si>
    <t>6350</t>
  </si>
  <si>
    <t>Bruce Randolph School</t>
  </si>
  <si>
    <t>3641</t>
  </si>
  <si>
    <t>Green Valley Elementary School</t>
  </si>
  <si>
    <t>5844</t>
  </si>
  <si>
    <t>Contemporary Learning Academy</t>
  </si>
  <si>
    <t>3987</t>
  </si>
  <si>
    <t>Highline Academy Southeast</t>
  </si>
  <si>
    <t>4762</t>
  </si>
  <si>
    <t>Knapp Elementary School</t>
  </si>
  <si>
    <t>2184</t>
  </si>
  <si>
    <t>Denver School of the Arts</t>
  </si>
  <si>
    <t>John H. Amesse Elementary</t>
  </si>
  <si>
    <t>1816</t>
  </si>
  <si>
    <t>1774</t>
  </si>
  <si>
    <t>Colfax Elementary School</t>
  </si>
  <si>
    <t>3778</t>
  </si>
  <si>
    <t>International Academy of Denver at Harrington</t>
  </si>
  <si>
    <t>5605</t>
  </si>
  <si>
    <t>Dr. Martin Luther King Jr. Early College</t>
  </si>
  <si>
    <t>4450</t>
  </si>
  <si>
    <t>3990</t>
  </si>
  <si>
    <t>Hill Campus of Arts and Sciences</t>
  </si>
  <si>
    <t>9548</t>
  </si>
  <si>
    <t>Whittier ECE-8 School</t>
  </si>
  <si>
    <t>Valverde Elementary School</t>
  </si>
  <si>
    <t>8888</t>
  </si>
  <si>
    <t>Traylor Academy</t>
  </si>
  <si>
    <t>8242</t>
  </si>
  <si>
    <t>8086</t>
  </si>
  <si>
    <t>3710</t>
  </si>
  <si>
    <t>Gypsum Elementary School</t>
  </si>
  <si>
    <t>2608</t>
  </si>
  <si>
    <t>Elizabeth High School</t>
  </si>
  <si>
    <t>7924</t>
  </si>
  <si>
    <t>Singing Hills Preschool</t>
  </si>
  <si>
    <t>4495</t>
  </si>
  <si>
    <t>Jump Start Learning Center</t>
  </si>
  <si>
    <t>4536</t>
  </si>
  <si>
    <t>Kemp Elementary School</t>
  </si>
  <si>
    <t>7500</t>
  </si>
  <si>
    <t>Rose Hill Elementary School</t>
  </si>
  <si>
    <t>6534</t>
  </si>
  <si>
    <t>Hanson Elementary School</t>
  </si>
  <si>
    <t>3931</t>
  </si>
  <si>
    <t>Hidden Lake High School</t>
  </si>
  <si>
    <t>1622</t>
  </si>
  <si>
    <t>Metropolitan Arts Academy</t>
  </si>
  <si>
    <t>5834</t>
  </si>
  <si>
    <t>0441</t>
  </si>
  <si>
    <t>Aspen Creek K-8 School</t>
  </si>
  <si>
    <t>2970</t>
  </si>
  <si>
    <t>Flatirons Elementary School</t>
  </si>
  <si>
    <t>3022</t>
  </si>
  <si>
    <t>Foothill Elementary School</t>
  </si>
  <si>
    <t>0489</t>
  </si>
  <si>
    <t>Backpack Early Learning Academy</t>
  </si>
  <si>
    <t>1934</t>
  </si>
  <si>
    <t>Coyote Creek Elementary School</t>
  </si>
  <si>
    <t>5259</t>
  </si>
  <si>
    <t>STEM School Highlands Ranch</t>
  </si>
  <si>
    <t>3995</t>
  </si>
  <si>
    <t>HOPE Online Learning Academy High School</t>
  </si>
  <si>
    <t>3241</t>
  </si>
  <si>
    <t>Frontier Valley Elementary School</t>
  </si>
  <si>
    <t>6165</t>
  </si>
  <si>
    <t>Mountain Vista High School</t>
  </si>
  <si>
    <t>3928</t>
  </si>
  <si>
    <t>2953</t>
  </si>
  <si>
    <t>Stone Mountain Elementary</t>
  </si>
  <si>
    <t>2012</t>
  </si>
  <si>
    <t>Cresthill Middle School</t>
  </si>
  <si>
    <t>0651</t>
  </si>
  <si>
    <t>Bear Canyon Elementary School</t>
  </si>
  <si>
    <t>5898</t>
  </si>
  <si>
    <t xml:space="preserve">Atlas Preparatory Elementary School </t>
  </si>
  <si>
    <t>6162</t>
  </si>
  <si>
    <t>Mountain Vista Community School</t>
  </si>
  <si>
    <t>1383</t>
  </si>
  <si>
    <t>Centennial Elementary School</t>
  </si>
  <si>
    <t>8337</t>
  </si>
  <si>
    <t>Stratmoor Hills Elementary School</t>
  </si>
  <si>
    <t>6686</t>
  </si>
  <si>
    <t>Panorama Middle School</t>
  </si>
  <si>
    <t>3806</t>
  </si>
  <si>
    <t>Harrison High School</t>
  </si>
  <si>
    <t>1941</t>
  </si>
  <si>
    <t>Conrad Early Learning Center</t>
  </si>
  <si>
    <t>3027</t>
  </si>
  <si>
    <t>Eagleside Elementary School</t>
  </si>
  <si>
    <t>8351</t>
  </si>
  <si>
    <t>Stratton Middle School</t>
  </si>
  <si>
    <t>0636</t>
  </si>
  <si>
    <t>Bayfield Middle School</t>
  </si>
  <si>
    <t>9263</t>
  </si>
  <si>
    <t>Wiggins Middle School</t>
  </si>
  <si>
    <t>1377</t>
  </si>
  <si>
    <t>Cedar Ridge Elementary School</t>
  </si>
  <si>
    <t>7210</t>
  </si>
  <si>
    <t>Liberty Point Elementary School</t>
  </si>
  <si>
    <t>7153</t>
  </si>
  <si>
    <t>7214</t>
  </si>
  <si>
    <t>Pueblo West High School</t>
  </si>
  <si>
    <t>0856</t>
  </si>
  <si>
    <t>Beulah Middle School</t>
  </si>
  <si>
    <t>1368</t>
  </si>
  <si>
    <t>Center Virtual Academy</t>
  </si>
  <si>
    <t>9698</t>
  </si>
  <si>
    <t>9700</t>
  </si>
  <si>
    <t>Woodlin Elementary School</t>
  </si>
  <si>
    <t>1446</t>
  </si>
  <si>
    <t>Weld Central Senior High School</t>
  </si>
  <si>
    <t>0054</t>
  </si>
  <si>
    <t>Bella Romero Academy of Applied Technology</t>
  </si>
  <si>
    <t>0052</t>
  </si>
  <si>
    <t>Heiman Elementary School</t>
  </si>
  <si>
    <t>3610</t>
  </si>
  <si>
    <t>Greeley Central High School</t>
  </si>
  <si>
    <t>1384</t>
  </si>
  <si>
    <t>5221</t>
  </si>
  <si>
    <t>Little Indians Preschool</t>
  </si>
  <si>
    <t>4227</t>
  </si>
  <si>
    <t>Idalia Elementary School</t>
  </si>
  <si>
    <t>1398</t>
  </si>
  <si>
    <t>Centennial School</t>
  </si>
  <si>
    <t>3237</t>
  </si>
  <si>
    <t>Fisher Early Learning Center</t>
  </si>
  <si>
    <t>2917</t>
  </si>
  <si>
    <t>First Steps at Monarch Montessori</t>
  </si>
  <si>
    <t>4944</t>
  </si>
  <si>
    <t>La Esperanza Adventist School</t>
  </si>
  <si>
    <t>1325</t>
  </si>
  <si>
    <t>Annunciation</t>
  </si>
  <si>
    <t>4921</t>
  </si>
  <si>
    <t>Volunteers of America Rainbow House</t>
  </si>
  <si>
    <t>8593</t>
  </si>
  <si>
    <t>Beth Jacob High School</t>
  </si>
  <si>
    <t>4354</t>
  </si>
  <si>
    <t>DPS - McGlone</t>
  </si>
  <si>
    <t>8571</t>
  </si>
  <si>
    <t>Innercity Christian School</t>
  </si>
  <si>
    <t>4701</t>
  </si>
  <si>
    <t>Academia</t>
  </si>
  <si>
    <t>4434</t>
  </si>
  <si>
    <t>Harrington</t>
  </si>
  <si>
    <t>4429</t>
  </si>
  <si>
    <t>Casa de Ninos</t>
  </si>
  <si>
    <t>4261</t>
  </si>
  <si>
    <t>Family Star NE</t>
  </si>
  <si>
    <t>4248</t>
  </si>
  <si>
    <t>Sewall Child Development Center</t>
  </si>
  <si>
    <t>4246</t>
  </si>
  <si>
    <t>Kiddie Cat</t>
  </si>
  <si>
    <t>8667</t>
  </si>
  <si>
    <t>St Francis de Sales</t>
  </si>
  <si>
    <t>8654</t>
  </si>
  <si>
    <t>Mullen High School</t>
  </si>
  <si>
    <t>4398</t>
  </si>
  <si>
    <t>Holy Trinity Catholic School</t>
  </si>
  <si>
    <t>3510</t>
  </si>
  <si>
    <t>September School</t>
  </si>
  <si>
    <t>1984</t>
  </si>
  <si>
    <t>Commerce Children's Center</t>
  </si>
  <si>
    <t>1992</t>
  </si>
  <si>
    <t>Miss Catherine's Learning Center</t>
  </si>
  <si>
    <t>8567</t>
  </si>
  <si>
    <t>Shining Mountain Waldorf School</t>
  </si>
  <si>
    <t>8561</t>
  </si>
  <si>
    <t>Sacred Heart of Jesus School</t>
  </si>
  <si>
    <t>8555</t>
  </si>
  <si>
    <t>Treehouse Learning</t>
  </si>
  <si>
    <t>8549</t>
  </si>
  <si>
    <t>Bixby School</t>
  </si>
  <si>
    <t>8547</t>
  </si>
  <si>
    <t>Beautiful Savior Lutheran School</t>
  </si>
  <si>
    <t>3629</t>
  </si>
  <si>
    <t>Children's House Preschool</t>
  </si>
  <si>
    <t>4581</t>
  </si>
  <si>
    <t>Boulder Country Day School</t>
  </si>
  <si>
    <t>4561</t>
  </si>
  <si>
    <t>Mackintosh Academy: Boulder Campus</t>
  </si>
  <si>
    <t>4400</t>
  </si>
  <si>
    <t>Bal Swan Children's Center</t>
  </si>
  <si>
    <t>4014</t>
  </si>
  <si>
    <t>Boulder Journey School</t>
  </si>
  <si>
    <t>8636</t>
  </si>
  <si>
    <t>Nativity of Our Lord Catholic</t>
  </si>
  <si>
    <t>9054</t>
  </si>
  <si>
    <t>Valor Christian High School</t>
  </si>
  <si>
    <t>4940</t>
  </si>
  <si>
    <t>Chamberlin Elementary Preschool Project</t>
  </si>
  <si>
    <t>4939</t>
  </si>
  <si>
    <t>Child Nursery Centers at South Chelton</t>
  </si>
  <si>
    <t>2100</t>
  </si>
  <si>
    <t xml:space="preserve">Aragon CPCD Preschool </t>
  </si>
  <si>
    <t>5340</t>
  </si>
  <si>
    <t>5385</t>
  </si>
  <si>
    <t>Migrant Head Start Center (Otero Jr. College)</t>
  </si>
  <si>
    <t>8600</t>
  </si>
  <si>
    <t>Colorado Springs Christian School</t>
  </si>
  <si>
    <t>4817</t>
  </si>
  <si>
    <t>Just for Kids Childcare</t>
  </si>
  <si>
    <t>Family Educational Network of Weld County</t>
  </si>
  <si>
    <t>4879</t>
  </si>
  <si>
    <t>ABC West Child Development Center</t>
  </si>
  <si>
    <t>8975</t>
  </si>
  <si>
    <t>Union Colony Elementary School</t>
  </si>
  <si>
    <t>2365</t>
  </si>
  <si>
    <t>Early Childhood University</t>
  </si>
  <si>
    <t>4256</t>
  </si>
  <si>
    <t>Inspiring Talkers</t>
  </si>
  <si>
    <t>6268</t>
  </si>
  <si>
    <t>Elevation Ability Services</t>
  </si>
  <si>
    <t>6022</t>
  </si>
  <si>
    <t xml:space="preserve">North Greeley Academy </t>
  </si>
  <si>
    <t>6412</t>
  </si>
  <si>
    <t>2687</t>
  </si>
  <si>
    <t>5147</t>
  </si>
  <si>
    <t>Launch High School</t>
  </si>
  <si>
    <t>8821</t>
  </si>
  <si>
    <t>Two Rivers Community School</t>
  </si>
  <si>
    <t>9037</t>
  </si>
  <si>
    <t>Victory Preparatory Academy High State Charter School</t>
  </si>
  <si>
    <t>9040</t>
  </si>
  <si>
    <t>Victory Preparatory Academy Middle State Charter School</t>
  </si>
  <si>
    <t>0075</t>
  </si>
  <si>
    <t>Animas High School</t>
  </si>
  <si>
    <t>2837</t>
  </si>
  <si>
    <t>Early College of Arvada</t>
  </si>
  <si>
    <t>8375</t>
  </si>
  <si>
    <t>Snowy Peaks Junior/Senior High School</t>
  </si>
  <si>
    <t>8374</t>
  </si>
  <si>
    <t>Frisco Elementary School</t>
  </si>
  <si>
    <t>0304</t>
  </si>
  <si>
    <t>Arickaree Elementary School</t>
  </si>
  <si>
    <t>8212</t>
  </si>
  <si>
    <t>Steamboat Springs High School</t>
  </si>
  <si>
    <t>8358</t>
  </si>
  <si>
    <t>Strawberry Park Elementary School</t>
  </si>
  <si>
    <t>8120</t>
  </si>
  <si>
    <t>South Routt Elementary School</t>
  </si>
  <si>
    <t>8119</t>
  </si>
  <si>
    <t>Soroco Preschool at Yampa</t>
  </si>
  <si>
    <t>8050</t>
  </si>
  <si>
    <t>Soroco High School</t>
  </si>
  <si>
    <t>2018</t>
  </si>
  <si>
    <t>Crestone Charter School</t>
  </si>
  <si>
    <t>4816</t>
  </si>
  <si>
    <t>Janelle's Preschool</t>
  </si>
  <si>
    <t>7322</t>
  </si>
  <si>
    <t>Revere Junior-Senior High School</t>
  </si>
  <si>
    <t>0200</t>
  </si>
  <si>
    <t>Alta Vista Charter School</t>
  </si>
  <si>
    <t>8116</t>
  </si>
  <si>
    <t>South Park Elementary School</t>
  </si>
  <si>
    <t>7481</t>
  </si>
  <si>
    <t>Roncalli Stem Academy</t>
  </si>
  <si>
    <t>6132</t>
  </si>
  <si>
    <t>Morton Elementary School</t>
  </si>
  <si>
    <t>4376</t>
  </si>
  <si>
    <t>Risley International Academy of Innovation</t>
  </si>
  <si>
    <t>9808</t>
  </si>
  <si>
    <t>Pueblo Youth Service Center</t>
  </si>
  <si>
    <t>0954</t>
  </si>
  <si>
    <t>Bradford Elementary School</t>
  </si>
  <si>
    <t>1304</t>
  </si>
  <si>
    <t>Carlile Elementary School</t>
  </si>
  <si>
    <t>5762</t>
  </si>
  <si>
    <t>Meeker High School</t>
  </si>
  <si>
    <t>5498</t>
  </si>
  <si>
    <t>Manzanola Elementary School</t>
  </si>
  <si>
    <t>4773</t>
  </si>
  <si>
    <t>Fowler Preschool</t>
  </si>
  <si>
    <t>4908</t>
  </si>
  <si>
    <t>Lake George Charter School</t>
  </si>
  <si>
    <t>8114</t>
  </si>
  <si>
    <t>Edith Teter Elementary School</t>
  </si>
  <si>
    <t>3850</t>
  </si>
  <si>
    <t>Haxtun High School</t>
  </si>
  <si>
    <t>6179</t>
  </si>
  <si>
    <t>Mancos Early Learning Center</t>
  </si>
  <si>
    <t>5658</t>
  </si>
  <si>
    <t>Maslow Academy</t>
  </si>
  <si>
    <t>8979</t>
  </si>
  <si>
    <t>United Presbyterian Preschool</t>
  </si>
  <si>
    <t>5180</t>
  </si>
  <si>
    <t>Lincoln High School</t>
  </si>
  <si>
    <t>9360</t>
  </si>
  <si>
    <t>Weldon Valley Jr/Sr High School</t>
  </si>
  <si>
    <t>5114</t>
  </si>
  <si>
    <t>Jefferson Intermediate School</t>
  </si>
  <si>
    <t>0355</t>
  </si>
  <si>
    <t>The Learning Tree</t>
  </si>
  <si>
    <t>3328</t>
  </si>
  <si>
    <t>Grand Junction Regional Center</t>
  </si>
  <si>
    <t>1297</t>
  </si>
  <si>
    <t>Monument Ridge Elementary School</t>
  </si>
  <si>
    <t>1619</t>
  </si>
  <si>
    <t>0361</t>
  </si>
  <si>
    <t>Fruita 8/9 School</t>
  </si>
  <si>
    <t>6672</t>
  </si>
  <si>
    <t>Glendam Rocky Mountain SER</t>
  </si>
  <si>
    <t>6671</t>
  </si>
  <si>
    <t>Fruita Rocky Mountain SER</t>
  </si>
  <si>
    <t>7832</t>
  </si>
  <si>
    <t>Shelledy Elementary School</t>
  </si>
  <si>
    <t>8846</t>
  </si>
  <si>
    <t>Thunder Mountain Elementary School</t>
  </si>
  <si>
    <t>9434</t>
  </si>
  <si>
    <t>Scenic Elementary School</t>
  </si>
  <si>
    <t>5210</t>
  </si>
  <si>
    <t>Lincoln Orchard Mesa Elementary School</t>
  </si>
  <si>
    <t>Bookcliff Middle School</t>
  </si>
  <si>
    <t>7467</t>
  </si>
  <si>
    <t>2224</t>
  </si>
  <si>
    <t>1338</t>
  </si>
  <si>
    <t>Eagles' Nest Preschool</t>
  </si>
  <si>
    <t>4746</t>
  </si>
  <si>
    <t>Southern Ute Child and Family Center</t>
  </si>
  <si>
    <t>7198</t>
  </si>
  <si>
    <t>PSD Global Academy</t>
  </si>
  <si>
    <t>2644</t>
  </si>
  <si>
    <t>First United Methodist Co-op Preschool</t>
  </si>
  <si>
    <t>6480</t>
  </si>
  <si>
    <t>Oakridge Kindercare</t>
  </si>
  <si>
    <t>7470</t>
  </si>
  <si>
    <t>Rocky Mountain High School</t>
  </si>
  <si>
    <t>4718</t>
  </si>
  <si>
    <t>Little People's Landing</t>
  </si>
  <si>
    <t>9380</t>
  </si>
  <si>
    <t>Werner Elementary School</t>
  </si>
  <si>
    <t>7124</t>
  </si>
  <si>
    <t>Poudre High School</t>
  </si>
  <si>
    <t>3046</t>
  </si>
  <si>
    <t>Fort Collins High School</t>
  </si>
  <si>
    <t>8759</t>
  </si>
  <si>
    <t>St John the Evangelist</t>
  </si>
  <si>
    <t>5121</t>
  </si>
  <si>
    <t>LEAP School</t>
  </si>
  <si>
    <t>1385</t>
  </si>
  <si>
    <t>Big Thompson Elementary School</t>
  </si>
  <si>
    <t>0812</t>
  </si>
  <si>
    <t>Berthoud High School</t>
  </si>
  <si>
    <t>Conrad Ball Middle School</t>
  </si>
  <si>
    <t>2795</t>
  </si>
  <si>
    <t xml:space="preserve">Mountaintop Childcare, Inc. </t>
  </si>
  <si>
    <t>2794</t>
  </si>
  <si>
    <t>Estes Park High School</t>
  </si>
  <si>
    <t>1600</t>
  </si>
  <si>
    <t>Hoehne Reorganized 3</t>
  </si>
  <si>
    <t>4048</t>
  </si>
  <si>
    <t>Hoehne Schools</t>
  </si>
  <si>
    <t>9235</t>
  </si>
  <si>
    <t>West Woods Kindercare</t>
  </si>
  <si>
    <t>7283</t>
  </si>
  <si>
    <t>2959</t>
  </si>
  <si>
    <t>5280 Early Childhood Education Center</t>
  </si>
  <si>
    <t>8737</t>
  </si>
  <si>
    <t>Our Lady of Fatima Catholic School</t>
  </si>
  <si>
    <t>7181</t>
  </si>
  <si>
    <t>School of Innovative Technologies and World Lang</t>
  </si>
  <si>
    <t>4514</t>
  </si>
  <si>
    <t>Kindercare Canyon Point</t>
  </si>
  <si>
    <t>8036</t>
  </si>
  <si>
    <t>Sobesky Academy</t>
  </si>
  <si>
    <t>4798</t>
  </si>
  <si>
    <t>Connections Learning Center on the Earle Johnson Campus</t>
  </si>
  <si>
    <t>5475</t>
  </si>
  <si>
    <t>Lumberg Head Start Jefferson County</t>
  </si>
  <si>
    <t>5173</t>
  </si>
  <si>
    <t>UCC Preschool and Head Start</t>
  </si>
  <si>
    <t>7780</t>
  </si>
  <si>
    <t>Shaffer Elementary School</t>
  </si>
  <si>
    <t>7282</t>
  </si>
  <si>
    <t>Red Rocks Elementary School</t>
  </si>
  <si>
    <t>7239</t>
  </si>
  <si>
    <t>Ralston Valley Senior High School</t>
  </si>
  <si>
    <t>7483</t>
  </si>
  <si>
    <t>Rooney Ranch Elementary School</t>
  </si>
  <si>
    <t>7114</t>
  </si>
  <si>
    <t>Pomona High School</t>
  </si>
  <si>
    <t>6828</t>
  </si>
  <si>
    <t>Peck Elementary School</t>
  </si>
  <si>
    <t>6806</t>
  </si>
  <si>
    <t>Parr Elementary School</t>
  </si>
  <si>
    <t>9427</t>
  </si>
  <si>
    <t>Woodrow Wilson Charter Academy</t>
  </si>
  <si>
    <t>5758</t>
  </si>
  <si>
    <t>Meiklejohn Elementary</t>
  </si>
  <si>
    <t>9648</t>
  </si>
  <si>
    <t>Wilmot Elementary School</t>
  </si>
  <si>
    <t>9299</t>
  </si>
  <si>
    <t>Wayne Carle Middle School</t>
  </si>
  <si>
    <t>8738</t>
  </si>
  <si>
    <t>5145</t>
  </si>
  <si>
    <t>Lincoln Charter Academy</t>
  </si>
  <si>
    <t>8730</t>
  </si>
  <si>
    <t>8718</t>
  </si>
  <si>
    <t>Beth Eden Baptist School</t>
  </si>
  <si>
    <t>9510</t>
  </si>
  <si>
    <t>Wheat Ridge High School</t>
  </si>
  <si>
    <t>8834</t>
  </si>
  <si>
    <t>Thomson Elementary School</t>
  </si>
  <si>
    <t>8432</t>
  </si>
  <si>
    <t>Swanson Elementary School</t>
  </si>
  <si>
    <t>7753</t>
  </si>
  <si>
    <t>Semper Elementary School</t>
  </si>
  <si>
    <t>5036</t>
  </si>
  <si>
    <t>Leawood Elementary School</t>
  </si>
  <si>
    <t>4548</t>
  </si>
  <si>
    <t>Ken Caryl Middle School</t>
  </si>
  <si>
    <t>4478</t>
  </si>
  <si>
    <t>Sheridan Green Elementary School</t>
  </si>
  <si>
    <t>2946</t>
  </si>
  <si>
    <t>Fitzmorris Elementary School</t>
  </si>
  <si>
    <t>0660</t>
  </si>
  <si>
    <t>Bear Creek K-8 School</t>
  </si>
  <si>
    <t>0370</t>
  </si>
  <si>
    <t>Arvada High School</t>
  </si>
  <si>
    <t>1864</t>
  </si>
  <si>
    <t>Columbine High School</t>
  </si>
  <si>
    <t>Colorow Elementary School</t>
  </si>
  <si>
    <t>0664</t>
  </si>
  <si>
    <t>Bear Creek High School</t>
  </si>
  <si>
    <t>5480</t>
  </si>
  <si>
    <t>Lake County School District R-1 Head Start</t>
  </si>
  <si>
    <t>8804</t>
  </si>
  <si>
    <t>Pitts Elementary School</t>
  </si>
  <si>
    <t>5484</t>
  </si>
  <si>
    <t>Por Dia Preschool and Daycare</t>
  </si>
  <si>
    <t>8747</t>
  </si>
  <si>
    <t>Saint Columba School</t>
  </si>
  <si>
    <t>6222</t>
  </si>
  <si>
    <t>Needham Elementary School</t>
  </si>
  <si>
    <t>5106</t>
  </si>
  <si>
    <t>Carbondale Rocky Mountain SER</t>
  </si>
  <si>
    <t>4520</t>
  </si>
  <si>
    <t>Blue Lake Preschool</t>
  </si>
  <si>
    <t>0065</t>
  </si>
  <si>
    <t>Coal Ridge High School</t>
  </si>
  <si>
    <t>8405</t>
  </si>
  <si>
    <t>Sonshine Daycare and Preschool</t>
  </si>
  <si>
    <t>0111</t>
  </si>
  <si>
    <t>Aspen Center for Child Development</t>
  </si>
  <si>
    <t>0878</t>
  </si>
  <si>
    <t>Blue Mountain Elementary</t>
  </si>
  <si>
    <t>8553</t>
  </si>
  <si>
    <t>Hopewell Baptist Academy</t>
  </si>
  <si>
    <t>7584</t>
  </si>
  <si>
    <t>Sanborn Elementary School</t>
  </si>
  <si>
    <t>6404</t>
  </si>
  <si>
    <t>Northridge Elementary School</t>
  </si>
  <si>
    <t>8663</t>
  </si>
  <si>
    <t>8927</t>
  </si>
  <si>
    <t>Twin Peaks Charter Academy</t>
  </si>
  <si>
    <t>3196</t>
  </si>
  <si>
    <t>Frederick Senior High School</t>
  </si>
  <si>
    <t>2343</t>
  </si>
  <si>
    <t>Eagle Crest Elementary School</t>
  </si>
  <si>
    <t>1508</t>
  </si>
  <si>
    <t>Chaffee County High School</t>
  </si>
  <si>
    <t>7643</t>
  </si>
  <si>
    <t>Salida Early Childhood Center</t>
  </si>
  <si>
    <t>4212</t>
  </si>
  <si>
    <t>Carlson Elementary School</t>
  </si>
  <si>
    <t>4836</t>
  </si>
  <si>
    <t>La Jara Elementary School</t>
  </si>
  <si>
    <t>1276</t>
  </si>
  <si>
    <t>Centauri Middle School</t>
  </si>
  <si>
    <t>2653</t>
  </si>
  <si>
    <t>Endeavor Academy</t>
  </si>
  <si>
    <t>Fox Ridge Middle School</t>
  </si>
  <si>
    <t>1273</t>
  </si>
  <si>
    <t>Canyon Creek Elementary School</t>
  </si>
  <si>
    <t>5744</t>
  </si>
  <si>
    <t>Meadow Point Elementary School</t>
  </si>
  <si>
    <t>2897</t>
  </si>
  <si>
    <t>Falcon Creek Middle School</t>
  </si>
  <si>
    <t>9200</t>
  </si>
  <si>
    <t>Walnut Hills Community Elementary School</t>
  </si>
  <si>
    <t>8020</t>
  </si>
  <si>
    <t>Smoky Hill High School</t>
  </si>
  <si>
    <t>7476</t>
  </si>
  <si>
    <t>Rolling Hills Elementary School</t>
  </si>
  <si>
    <t>7116</t>
  </si>
  <si>
    <t>Ponderosa Elementary School</t>
  </si>
  <si>
    <t>3926</t>
  </si>
  <si>
    <t>0242</t>
  </si>
  <si>
    <t>Antelope Ridge Elementary School</t>
  </si>
  <si>
    <t>8064</t>
  </si>
  <si>
    <t>Moody Elementary School</t>
  </si>
  <si>
    <t>2382</t>
  </si>
  <si>
    <t>East Elementary School</t>
  </si>
  <si>
    <t>5572</t>
  </si>
  <si>
    <t>Hopkins Elementary School</t>
  </si>
  <si>
    <t>2804</t>
  </si>
  <si>
    <t>Euclid Middle School</t>
  </si>
  <si>
    <t>9756</t>
  </si>
  <si>
    <t>Yale Elementary School</t>
  </si>
  <si>
    <t>9514</t>
  </si>
  <si>
    <t>Wheeling Elementary School</t>
  </si>
  <si>
    <t>9140</t>
  </si>
  <si>
    <t>Virginia Court Elementary School</t>
  </si>
  <si>
    <t>9059</t>
  </si>
  <si>
    <t>Vassar Elementary School</t>
  </si>
  <si>
    <t>7250</t>
  </si>
  <si>
    <t>Rangeview High School</t>
  </si>
  <si>
    <t>4973</t>
  </si>
  <si>
    <t>Laredo Elementary School</t>
  </si>
  <si>
    <t>2095</t>
  </si>
  <si>
    <t>Dalton Elementary School</t>
  </si>
  <si>
    <t>2951</t>
  </si>
  <si>
    <t>Laredo Child Development Center</t>
  </si>
  <si>
    <t>3354</t>
  </si>
  <si>
    <t>Gateway High School</t>
  </si>
  <si>
    <t>9033</t>
  </si>
  <si>
    <t>Astravo Online Academy Middle School</t>
  </si>
  <si>
    <t>0695</t>
  </si>
  <si>
    <t>Big Picture College and Career Academy</t>
  </si>
  <si>
    <t>3590</t>
  </si>
  <si>
    <t>Global Intermediate Academy</t>
  </si>
  <si>
    <t>8823</t>
  </si>
  <si>
    <t>Trailside Academy</t>
  </si>
  <si>
    <t>0503</t>
  </si>
  <si>
    <t>York International</t>
  </si>
  <si>
    <t>0504</t>
  </si>
  <si>
    <t>Welby Community School</t>
  </si>
  <si>
    <t>0502</t>
  </si>
  <si>
    <t>Meadow Community School</t>
  </si>
  <si>
    <t>0506</t>
  </si>
  <si>
    <t>Explore Pk-8</t>
  </si>
  <si>
    <t>0507</t>
  </si>
  <si>
    <t>Adventure Elementary</t>
  </si>
  <si>
    <t>0301</t>
  </si>
  <si>
    <t>Arapahoe Ridge Elementary School</t>
  </si>
  <si>
    <t>6398</t>
  </si>
  <si>
    <t>Northglenn Middle School</t>
  </si>
  <si>
    <t>6355</t>
  </si>
  <si>
    <t>North Mor Elementary School</t>
  </si>
  <si>
    <t>5043</t>
  </si>
  <si>
    <t>Legacy High School</t>
  </si>
  <si>
    <t>9494</t>
  </si>
  <si>
    <t>Westview Elementary School</t>
  </si>
  <si>
    <t>9444</t>
  </si>
  <si>
    <t>Westlake Middle School</t>
  </si>
  <si>
    <t>2578</t>
  </si>
  <si>
    <t>1878</t>
  </si>
  <si>
    <t>Coronado Hills Elementary School</t>
  </si>
  <si>
    <t>1388</t>
  </si>
  <si>
    <t>6702</t>
  </si>
  <si>
    <t>Otho E Stuart Middle School</t>
  </si>
  <si>
    <t>0700</t>
  </si>
  <si>
    <t>Belle Creek Charter School</t>
  </si>
  <si>
    <t>9426</t>
  </si>
  <si>
    <t>West Ridge Elementary</t>
  </si>
  <si>
    <t xml:space="preserve">Alamosa Online </t>
  </si>
  <si>
    <t>1107</t>
  </si>
  <si>
    <t>Alamosa Elementary School K-2</t>
  </si>
  <si>
    <t>0118</t>
  </si>
  <si>
    <t>Alamosa High School</t>
  </si>
  <si>
    <t>7630</t>
  </si>
  <si>
    <t>Sangre de Cristo Undivided High School</t>
  </si>
  <si>
    <t>8123</t>
  </si>
  <si>
    <t>SOAR Academy</t>
  </si>
  <si>
    <t>7837</t>
  </si>
  <si>
    <t>Fort Logan Northgate</t>
  </si>
  <si>
    <t>9393</t>
  </si>
  <si>
    <t>Windsor Charter Academy Early College High School</t>
  </si>
  <si>
    <t>6750</t>
  </si>
  <si>
    <t>4785</t>
  </si>
  <si>
    <t>Knowledge Quest Academy</t>
  </si>
  <si>
    <t>7490</t>
  </si>
  <si>
    <t>Roosevelt High School</t>
  </si>
  <si>
    <t>4670</t>
  </si>
  <si>
    <t>Platte Valley High School</t>
  </si>
  <si>
    <t>3958</t>
  </si>
  <si>
    <t>9422</t>
  </si>
  <si>
    <t>West Grand Elementary and Middle School</t>
  </si>
  <si>
    <t>3702</t>
  </si>
  <si>
    <t>Lake Preschool</t>
  </si>
  <si>
    <t>1921</t>
  </si>
  <si>
    <t>Discovery Canyon Campus Middle School</t>
  </si>
  <si>
    <t>8791</t>
  </si>
  <si>
    <t>Vista Ridge High School</t>
  </si>
  <si>
    <t>2877</t>
  </si>
  <si>
    <t>Springs Studio for Academic Excellence</t>
  </si>
  <si>
    <t>6858</t>
  </si>
  <si>
    <t>3228</t>
  </si>
  <si>
    <t>Cotopaxi Junior-Senior High School</t>
  </si>
  <si>
    <t>2574</t>
  </si>
  <si>
    <t>Elbert Junior-Senior High School</t>
  </si>
  <si>
    <t>2570</t>
  </si>
  <si>
    <t>Elbert Elementary School</t>
  </si>
  <si>
    <t>4589</t>
  </si>
  <si>
    <t>Mount Olive Lutheran ECEC</t>
  </si>
  <si>
    <t>8660</t>
  </si>
  <si>
    <t>Regis Jesuit High School</t>
  </si>
  <si>
    <t>4287</t>
  </si>
  <si>
    <t>Jamaica Creative Options Head Start</t>
  </si>
  <si>
    <t>7193</t>
  </si>
  <si>
    <t>Compositive Primary</t>
  </si>
  <si>
    <t>7136</t>
  </si>
  <si>
    <t>Paris Creative Options</t>
  </si>
  <si>
    <t>1486</t>
  </si>
  <si>
    <t>Children's Academy and Child Care Center</t>
  </si>
  <si>
    <t>7079</t>
  </si>
  <si>
    <t>City of Thornton Preschool</t>
  </si>
  <si>
    <t>5871</t>
  </si>
  <si>
    <t>Mesa Head Start</t>
  </si>
  <si>
    <t>8395</t>
  </si>
  <si>
    <t>Stellar Care LLC</t>
  </si>
  <si>
    <t>8574</t>
  </si>
  <si>
    <t>Little Village Christian Childcare</t>
  </si>
  <si>
    <t>5370</t>
  </si>
  <si>
    <t>Children's Garden CPP (Trindad State Jr. College)</t>
  </si>
  <si>
    <t>5369</t>
  </si>
  <si>
    <t>Alamosa Head Start and CPP</t>
  </si>
  <si>
    <t>4895</t>
  </si>
  <si>
    <t>Sheridan Preschool</t>
  </si>
  <si>
    <t>6173</t>
  </si>
  <si>
    <t>Butler Elementary School (Head Start)</t>
  </si>
  <si>
    <t>5657</t>
  </si>
  <si>
    <t>Mountain Valley Christian Academy</t>
  </si>
  <si>
    <t>2429</t>
  </si>
  <si>
    <t>Eternal Hills Preschool</t>
  </si>
  <si>
    <t>1575</t>
  </si>
  <si>
    <t>Little Sprouts Learning Center of Grand County</t>
  </si>
  <si>
    <t>4659</t>
  </si>
  <si>
    <t>Stepping Stones Childrens Center</t>
  </si>
  <si>
    <t>6467</t>
  </si>
  <si>
    <t>ACES</t>
  </si>
  <si>
    <t>1617</t>
  </si>
  <si>
    <t>Christian Family Preschool</t>
  </si>
  <si>
    <t>4784</t>
  </si>
  <si>
    <t>Kinder Haus Non Profit Child Care</t>
  </si>
  <si>
    <t>5602</t>
  </si>
  <si>
    <t>Martin Luther King Jr Elementary School</t>
  </si>
  <si>
    <t>5841</t>
  </si>
  <si>
    <t>Mesa Ridge High School</t>
  </si>
  <si>
    <t>3503</t>
  </si>
  <si>
    <t>University School of Colorado Springs</t>
  </si>
  <si>
    <t>5003</t>
  </si>
  <si>
    <t>Audubon Head Start 2</t>
  </si>
  <si>
    <t>2099</t>
  </si>
  <si>
    <t>Community Intersections</t>
  </si>
  <si>
    <t>1994</t>
  </si>
  <si>
    <t>Carmel Community Living Corporation</t>
  </si>
  <si>
    <t>3602</t>
  </si>
  <si>
    <t>Grant CPCD Preschool</t>
  </si>
  <si>
    <t>6617</t>
  </si>
  <si>
    <t>Blanca CPCD Head Start</t>
  </si>
  <si>
    <t>0517</t>
  </si>
  <si>
    <t>Academy for Advanced and Creative Learning</t>
  </si>
  <si>
    <t>5287</t>
  </si>
  <si>
    <t>Alpine Autism Center</t>
  </si>
  <si>
    <t>4042</t>
  </si>
  <si>
    <t>Calvary Preschool</t>
  </si>
  <si>
    <t>9660</t>
  </si>
  <si>
    <t>Wilson Elementary School</t>
  </si>
  <si>
    <t>8701</t>
  </si>
  <si>
    <t>Pikes Peak Academy</t>
  </si>
  <si>
    <t>8694</t>
  </si>
  <si>
    <t>Divine Redeemer Catholic School</t>
  </si>
  <si>
    <t>8691</t>
  </si>
  <si>
    <t>Colorado Springs Christian Schools</t>
  </si>
  <si>
    <t>4090</t>
  </si>
  <si>
    <t>Mann Middle School</t>
  </si>
  <si>
    <t>5460</t>
  </si>
  <si>
    <t>Manitou Springs Elementary School</t>
  </si>
  <si>
    <t>5378</t>
  </si>
  <si>
    <t>Rocky Mountain SER Head Start Ft. Garland Center</t>
  </si>
  <si>
    <t>3647</t>
  </si>
  <si>
    <t>Marie L. Greenwood Academy</t>
  </si>
  <si>
    <t>7973</t>
  </si>
  <si>
    <t>STRIVE Prep - Rise</t>
  </si>
  <si>
    <t>8945</t>
  </si>
  <si>
    <t>University Prep - Arapahoe St.</t>
  </si>
  <si>
    <t>4507</t>
  </si>
  <si>
    <t>KIPP Northeast Denver Middle School</t>
  </si>
  <si>
    <t>2199</t>
  </si>
  <si>
    <t>The Cube</t>
  </si>
  <si>
    <t>7243</t>
  </si>
  <si>
    <t>Reach Charter School</t>
  </si>
  <si>
    <t>7188</t>
  </si>
  <si>
    <t>Montbello Career and Technical High School</t>
  </si>
  <si>
    <t>2641</t>
  </si>
  <si>
    <t>Excel Academy</t>
  </si>
  <si>
    <t>2129</t>
  </si>
  <si>
    <t>Denver Center for International Studies at Fairmont</t>
  </si>
  <si>
    <t>9702</t>
  </si>
  <si>
    <t>West Leadership Academy</t>
  </si>
  <si>
    <t>7241</t>
  </si>
  <si>
    <t>Rocky Mountain Prep: Creekside</t>
  </si>
  <si>
    <t>4494</t>
  </si>
  <si>
    <t>Denver Justice High School</t>
  </si>
  <si>
    <t>6254</t>
  </si>
  <si>
    <t>Newlon Elementary School</t>
  </si>
  <si>
    <t>0067</t>
  </si>
  <si>
    <t>AUL Denver</t>
  </si>
  <si>
    <t>9425</t>
  </si>
  <si>
    <t>Westerly Creek Elementary</t>
  </si>
  <si>
    <t>1846</t>
  </si>
  <si>
    <t>Centennial A School for Expeditionary Learning</t>
  </si>
  <si>
    <t>Florence Crittenton High School</t>
  </si>
  <si>
    <t>2398</t>
  </si>
  <si>
    <t>1908</t>
  </si>
  <si>
    <t>Cory Elementary School</t>
  </si>
  <si>
    <t>Barnum Elementary School</t>
  </si>
  <si>
    <t>3478</t>
  </si>
  <si>
    <t>Godsman Elementary School</t>
  </si>
  <si>
    <t>6088</t>
  </si>
  <si>
    <t>Dora Moore ECE-8 School</t>
  </si>
  <si>
    <t>0471</t>
  </si>
  <si>
    <t>Avon Elementary School</t>
  </si>
  <si>
    <t>5388</t>
  </si>
  <si>
    <t>Colorado Sports Leadership Academy</t>
  </si>
  <si>
    <t>8406</t>
  </si>
  <si>
    <t>Sunset Ridge Elementary School</t>
  </si>
  <si>
    <t>3792</t>
  </si>
  <si>
    <t>Harris Park Elementary School</t>
  </si>
  <si>
    <t>Springfield RE-4</t>
  </si>
  <si>
    <t>8168</t>
  </si>
  <si>
    <t>Springfield Junior/Senior High School</t>
  </si>
  <si>
    <t>8160</t>
  </si>
  <si>
    <t>Springfield Elementary School</t>
  </si>
  <si>
    <t>Boulder Universal</t>
  </si>
  <si>
    <t>8387</t>
  </si>
  <si>
    <t>Summit Middle Charter School</t>
  </si>
  <si>
    <t>2552</t>
  </si>
  <si>
    <t>Eisenhower Elementary School</t>
  </si>
  <si>
    <t>4792</t>
  </si>
  <si>
    <t>Kohl Elementary School</t>
  </si>
  <si>
    <t>2702</t>
  </si>
  <si>
    <t>Emerald Elementary School</t>
  </si>
  <si>
    <t>1725</t>
  </si>
  <si>
    <t>Coal Creek Elementary School</t>
  </si>
  <si>
    <t>1136</t>
  </si>
  <si>
    <t>Manhattan Middle School of the Arts and Academics</t>
  </si>
  <si>
    <t>1066</t>
  </si>
  <si>
    <t>Broomfield Heights Middle School</t>
  </si>
  <si>
    <t>3882</t>
  </si>
  <si>
    <t>Heatherwood Elementary School</t>
  </si>
  <si>
    <t>2155</t>
  </si>
  <si>
    <t>Grand Mesa Choice Academy</t>
  </si>
  <si>
    <t>1952</t>
  </si>
  <si>
    <t>North Fork Montessori @ Crawford</t>
  </si>
  <si>
    <t>1375</t>
  </si>
  <si>
    <t>Cedaredge Middle School</t>
  </si>
  <si>
    <t>8853</t>
  </si>
  <si>
    <t>Timber Trail Elementary School</t>
  </si>
  <si>
    <t>0267</t>
  </si>
  <si>
    <t>Mesa Middle School</t>
  </si>
  <si>
    <t>0264</t>
  </si>
  <si>
    <t>Cimarron Middle</t>
  </si>
  <si>
    <t>5607</t>
  </si>
  <si>
    <t>Sage Canyon Elementary</t>
  </si>
  <si>
    <t>2656</t>
  </si>
  <si>
    <t>Eldorado Elementary School</t>
  </si>
  <si>
    <t>6940</t>
  </si>
  <si>
    <t>Pine Lane Elementary</t>
  </si>
  <si>
    <t>6406</t>
  </si>
  <si>
    <t>5745</t>
  </si>
  <si>
    <t>Meadow View Elementary School</t>
  </si>
  <si>
    <t>0012</t>
  </si>
  <si>
    <t>Acres Green Elementary School</t>
  </si>
  <si>
    <t>4980</t>
  </si>
  <si>
    <t>Larkspur Elementary School</t>
  </si>
  <si>
    <t>8897</t>
  </si>
  <si>
    <t>1578</t>
  </si>
  <si>
    <t>Cherry Valley Elementary School</t>
  </si>
  <si>
    <t>1362</t>
  </si>
  <si>
    <t>Castle Rock Elementary School</t>
  </si>
  <si>
    <t>7096</t>
  </si>
  <si>
    <t>Roxborough Elementary School</t>
  </si>
  <si>
    <t>2234</t>
  </si>
  <si>
    <t>Eagle Ridge Elementary School</t>
  </si>
  <si>
    <t>0369</t>
  </si>
  <si>
    <t>Atlas Preparatory Middle School</t>
  </si>
  <si>
    <t>9602</t>
  </si>
  <si>
    <t>Wildflower Elementary School</t>
  </si>
  <si>
    <t>0203</t>
  </si>
  <si>
    <t>Welte Education Center</t>
  </si>
  <si>
    <t>1334</t>
  </si>
  <si>
    <t>Abrams Elementary School</t>
  </si>
  <si>
    <t>9051</t>
  </si>
  <si>
    <t>The Vanguard School (Middle)</t>
  </si>
  <si>
    <t>1604</t>
  </si>
  <si>
    <t>Skyway Park Elementary School</t>
  </si>
  <si>
    <t>3482</t>
  </si>
  <si>
    <t>Gold Camp Elementary School</t>
  </si>
  <si>
    <t>4864</t>
  </si>
  <si>
    <t>La Veta Junior-Senior High School</t>
  </si>
  <si>
    <t>Bayfield High School</t>
  </si>
  <si>
    <t>9576</t>
  </si>
  <si>
    <t>Wiggins Elementary School</t>
  </si>
  <si>
    <t>Swink 33</t>
  </si>
  <si>
    <t>8452</t>
  </si>
  <si>
    <t>Swink Elementary School</t>
  </si>
  <si>
    <t>0430</t>
  </si>
  <si>
    <t>Aspen Middle School</t>
  </si>
  <si>
    <t>8810</t>
  </si>
  <si>
    <t>The Connect Charter School</t>
  </si>
  <si>
    <t>7530</t>
  </si>
  <si>
    <t>Rye Elementary School</t>
  </si>
  <si>
    <t>5990</t>
  </si>
  <si>
    <t>70 Online</t>
  </si>
  <si>
    <t>0852</t>
  </si>
  <si>
    <t>Beulah Elementary School</t>
  </si>
  <si>
    <t>0472</t>
  </si>
  <si>
    <t>Avondale Elementary School</t>
  </si>
  <si>
    <t>1299</t>
  </si>
  <si>
    <t>Cardinal Community Academy Charter School</t>
  </si>
  <si>
    <t>5620</t>
  </si>
  <si>
    <t>Maplewood Elementary School</t>
  </si>
  <si>
    <t>2703</t>
  </si>
  <si>
    <t>ECC Aims District 6 Preschool</t>
  </si>
  <si>
    <t>6774</t>
  </si>
  <si>
    <t>Martinez Elementary School</t>
  </si>
  <si>
    <t>9791</t>
  </si>
  <si>
    <t>Yuma Middle School</t>
  </si>
  <si>
    <t>9725</t>
  </si>
  <si>
    <t>Wray Elementary School</t>
  </si>
  <si>
    <t>4239</t>
  </si>
  <si>
    <t>Dalton Gang Preschool</t>
  </si>
  <si>
    <t>9247</t>
  </si>
  <si>
    <t>Washington Street Community Center</t>
  </si>
  <si>
    <t>1381</t>
  </si>
  <si>
    <t>Catholic Charities ECE Programs @ Mariposa</t>
  </si>
  <si>
    <t>Lil Peoples Learning Center</t>
  </si>
  <si>
    <t>3607</t>
  </si>
  <si>
    <t>Mountain View Child Care Center</t>
  </si>
  <si>
    <t>2290</t>
  </si>
  <si>
    <t>King Baptist</t>
  </si>
  <si>
    <t>2032</t>
  </si>
  <si>
    <t>Early Excellence Program of Denver at Wyatt-Edison</t>
  </si>
  <si>
    <t>4351</t>
  </si>
  <si>
    <t>Mi Segunda Casa</t>
  </si>
  <si>
    <t>4299</t>
  </si>
  <si>
    <t>Villa Park</t>
  </si>
  <si>
    <t>4433</t>
  </si>
  <si>
    <t>Globeville II</t>
  </si>
  <si>
    <t>4428</t>
  </si>
  <si>
    <t>Sun Valley Head Start P1</t>
  </si>
  <si>
    <t>8670</t>
  </si>
  <si>
    <t>St John's Lutheran</t>
  </si>
  <si>
    <t>8656</t>
  </si>
  <si>
    <t>Our Lady of Lourdes School</t>
  </si>
  <si>
    <t>8655</t>
  </si>
  <si>
    <t>Notre Dame Parish School</t>
  </si>
  <si>
    <t>8652</t>
  </si>
  <si>
    <t>Most Precious Blood</t>
  </si>
  <si>
    <t>8651</t>
  </si>
  <si>
    <t>Montessori School of Denver</t>
  </si>
  <si>
    <t>8650</t>
  </si>
  <si>
    <t>Montessori-Washington Park</t>
  </si>
  <si>
    <t>4771</t>
  </si>
  <si>
    <t>Dove's Nest Early Care and Education Center</t>
  </si>
  <si>
    <t>4188</t>
  </si>
  <si>
    <t>Bent County Early Learning Center</t>
  </si>
  <si>
    <t>3523</t>
  </si>
  <si>
    <t>Patchwork School</t>
  </si>
  <si>
    <t>7092</t>
  </si>
  <si>
    <t>Nativity:Faith &amp; Reason</t>
  </si>
  <si>
    <t>3509</t>
  </si>
  <si>
    <t>Seven Oaks Academy of Louisville</t>
  </si>
  <si>
    <t>8566</t>
  </si>
  <si>
    <t>Peter Pan Cooperative Preschool</t>
  </si>
  <si>
    <t>1981</t>
  </si>
  <si>
    <t>Boulder Day Nursery</t>
  </si>
  <si>
    <t>3630</t>
  </si>
  <si>
    <t>Family Learning Center</t>
  </si>
  <si>
    <t>3643</t>
  </si>
  <si>
    <t>Boulder HS Wilderness</t>
  </si>
  <si>
    <t>4632</t>
  </si>
  <si>
    <t>Louisville Montessori School</t>
  </si>
  <si>
    <t>4613</t>
  </si>
  <si>
    <t>Boulder Waldorf Kindergarten</t>
  </si>
  <si>
    <t>4918</t>
  </si>
  <si>
    <t>Delta 1 Rocky Mountain SER</t>
  </si>
  <si>
    <t>4569</t>
  </si>
  <si>
    <t>Montessori School of Castle Rock</t>
  </si>
  <si>
    <t>4935</t>
  </si>
  <si>
    <t>Sand Creek CPCD Preschool</t>
  </si>
  <si>
    <t>6611</t>
  </si>
  <si>
    <t>Gorman CPCD Head Start</t>
  </si>
  <si>
    <t>4751</t>
  </si>
  <si>
    <t>Rocky Mountain SER/Southern Colorado Head Start</t>
  </si>
  <si>
    <t>5391</t>
  </si>
  <si>
    <t>Mares Playgroup</t>
  </si>
  <si>
    <t>4805</t>
  </si>
  <si>
    <t>Early Learning Center</t>
  </si>
  <si>
    <t>8662</t>
  </si>
  <si>
    <t>High Valley Christian School</t>
  </si>
  <si>
    <t>4030</t>
  </si>
  <si>
    <t>Adventist Christian School</t>
  </si>
  <si>
    <t>1940</t>
  </si>
  <si>
    <t>Colorado Heritage Education School System</t>
  </si>
  <si>
    <t>0073</t>
  </si>
  <si>
    <t>#1 Child Enrichment-Superior Childcare, Inc</t>
  </si>
  <si>
    <t>1280</t>
  </si>
  <si>
    <t>CDI - Billie Martinez Head Start</t>
  </si>
  <si>
    <t>1286</t>
  </si>
  <si>
    <t>CDI - Madison Head Start</t>
  </si>
  <si>
    <t>6169</t>
  </si>
  <si>
    <t>Family Education Network of Weld County B Marti</t>
  </si>
  <si>
    <t>8753</t>
  </si>
  <si>
    <t>St Mary's Catholic School</t>
  </si>
  <si>
    <t>9809</t>
  </si>
  <si>
    <t>Platte Valley Youth Services Center</t>
  </si>
  <si>
    <t>4951</t>
  </si>
  <si>
    <t>Shiloh - Family Resource Pavillion</t>
  </si>
  <si>
    <t>6407</t>
  </si>
  <si>
    <t>Forest Heights Lodge</t>
  </si>
  <si>
    <t>6110</t>
  </si>
  <si>
    <t>Roundup School</t>
  </si>
  <si>
    <t>6075</t>
  </si>
  <si>
    <t>Denver Children's Home (Bansbach Academy)</t>
  </si>
  <si>
    <t>2689</t>
  </si>
  <si>
    <t xml:space="preserve">Spring Creek Youth Services Center </t>
  </si>
  <si>
    <t>2692</t>
  </si>
  <si>
    <t>1501</t>
  </si>
  <si>
    <t>Colorado Preparatory Academy Middle School</t>
  </si>
  <si>
    <t>0079</t>
  </si>
  <si>
    <t>Ascent Classical Academy</t>
  </si>
  <si>
    <t>1791</t>
  </si>
  <si>
    <t>Colorado Springs Charter Academy</t>
  </si>
  <si>
    <t>3439</t>
  </si>
  <si>
    <t>Global Village Academy - Northglenn</t>
  </si>
  <si>
    <t>8825</t>
  </si>
  <si>
    <t>Thomas MacLaren State Charter School</t>
  </si>
  <si>
    <t>1795</t>
  </si>
  <si>
    <t>Colorado Springs Early Colleges</t>
  </si>
  <si>
    <t>0657</t>
  </si>
  <si>
    <t>Academy of Arts and Knowledge Elementary</t>
  </si>
  <si>
    <t>7512</t>
  </si>
  <si>
    <t>Ross Montessori School</t>
  </si>
  <si>
    <t>6219</t>
  </si>
  <si>
    <t>New America School - Lowry</t>
  </si>
  <si>
    <t>8385</t>
  </si>
  <si>
    <t>Summit Cove Elementary School</t>
  </si>
  <si>
    <t>2024</t>
  </si>
  <si>
    <t>Cripple Creek-Victor Junior-Senior High School</t>
  </si>
  <si>
    <t>6710</t>
  </si>
  <si>
    <t>Summit Education Center Preschool</t>
  </si>
  <si>
    <t>6582</t>
  </si>
  <si>
    <t>Otis Elementary School</t>
  </si>
  <si>
    <t>9032</t>
  </si>
  <si>
    <t>Valley High School</t>
  </si>
  <si>
    <t>4852</t>
  </si>
  <si>
    <t>Pete Mirich Elementary School</t>
  </si>
  <si>
    <t>3398</t>
  </si>
  <si>
    <t>Gilcrest Elementary School</t>
  </si>
  <si>
    <t>3286</t>
  </si>
  <si>
    <t>Galeton Elementary School</t>
  </si>
  <si>
    <t>4809</t>
  </si>
  <si>
    <t>Steamboat Springs Discovery Learning Center</t>
  </si>
  <si>
    <t>8760</t>
  </si>
  <si>
    <t>Telluride Mountain School</t>
  </si>
  <si>
    <t>8788</t>
  </si>
  <si>
    <t>Telluride Preschool</t>
  </si>
  <si>
    <t>8790</t>
  </si>
  <si>
    <t>Telluride Middle School</t>
  </si>
  <si>
    <t>4492</t>
  </si>
  <si>
    <t>Julesburg High School</t>
  </si>
  <si>
    <t>4956</t>
  </si>
  <si>
    <t>Lamar Middle School</t>
  </si>
  <si>
    <t>0364</t>
  </si>
  <si>
    <t>Paragon Preschool</t>
  </si>
  <si>
    <t>6775</t>
  </si>
  <si>
    <t>Pueblo School for Arts &amp; Sciences at Fulton Heights</t>
  </si>
  <si>
    <t>2096</t>
  </si>
  <si>
    <t>Corwin International Magnet School</t>
  </si>
  <si>
    <t>2731</t>
  </si>
  <si>
    <t>Seton</t>
  </si>
  <si>
    <t>4806</t>
  </si>
  <si>
    <t>Southside Children's Center</t>
  </si>
  <si>
    <t>0756</t>
  </si>
  <si>
    <t>Franklin School of Innovation</t>
  </si>
  <si>
    <t>5579</t>
  </si>
  <si>
    <t>Marsh Elementary School</t>
  </si>
  <si>
    <t>4807</t>
  </si>
  <si>
    <t>Sargent Early Learning Center</t>
  </si>
  <si>
    <t>7660</t>
  </si>
  <si>
    <t>Sargent Elementary School</t>
  </si>
  <si>
    <t>6596</t>
  </si>
  <si>
    <t>Ouray Elementary School</t>
  </si>
  <si>
    <t>7344</t>
  </si>
  <si>
    <t>Ridgway Middle School</t>
  </si>
  <si>
    <t>7891</t>
  </si>
  <si>
    <t>South Park Middle School</t>
  </si>
  <si>
    <t>4803</t>
  </si>
  <si>
    <t>Dragon's Wagon Preschool Inc</t>
  </si>
  <si>
    <t>4716</t>
  </si>
  <si>
    <t>Ute Mountain Head Start</t>
  </si>
  <si>
    <t>4546</t>
  </si>
  <si>
    <t>Kemper Elementary School</t>
  </si>
  <si>
    <t>1915</t>
  </si>
  <si>
    <t>Cottonwood Elementary School</t>
  </si>
  <si>
    <t>1096</t>
  </si>
  <si>
    <t>Brush High School</t>
  </si>
  <si>
    <t>1009</t>
  </si>
  <si>
    <t>Baker Elementary School</t>
  </si>
  <si>
    <t>8767</t>
  </si>
  <si>
    <t>Calvary University</t>
  </si>
  <si>
    <t>5802</t>
  </si>
  <si>
    <t>Merino Elementary School</t>
  </si>
  <si>
    <t>6834</t>
  </si>
  <si>
    <t>Peetz Elementary School</t>
  </si>
  <si>
    <t>0356</t>
  </si>
  <si>
    <t>Razz Ma Tazz</t>
  </si>
  <si>
    <t>0363</t>
  </si>
  <si>
    <t>Pear Park Elementary School</t>
  </si>
  <si>
    <t>1686</t>
  </si>
  <si>
    <t>Clifton Elementary School</t>
  </si>
  <si>
    <t>2725</t>
  </si>
  <si>
    <t>Emerson Pre K Program</t>
  </si>
  <si>
    <t>5828</t>
  </si>
  <si>
    <t>Mesa Valley Community School</t>
  </si>
  <si>
    <t>6562</t>
  </si>
  <si>
    <t>Orchard Mesa Middle School</t>
  </si>
  <si>
    <t>6166</t>
  </si>
  <si>
    <t>Mount Garfield Middle School</t>
  </si>
  <si>
    <t>5842</t>
  </si>
  <si>
    <t>Mesa View Elementary School</t>
  </si>
  <si>
    <t>2297</t>
  </si>
  <si>
    <t>Dual Immersion Academy School</t>
  </si>
  <si>
    <t>6692</t>
  </si>
  <si>
    <t>Craig Rocky Mountain SER</t>
  </si>
  <si>
    <t>7338</t>
  </si>
  <si>
    <t>Ridgeview Elementary School</t>
  </si>
  <si>
    <t>1938</t>
  </si>
  <si>
    <t>Craig Middle School</t>
  </si>
  <si>
    <t>4092</t>
  </si>
  <si>
    <t>Southern Ute Indian Montessori Academy</t>
  </si>
  <si>
    <t>4252</t>
  </si>
  <si>
    <t>Ignacio Elementary School</t>
  </si>
  <si>
    <t>5068</t>
  </si>
  <si>
    <t>Lesher Middle School</t>
  </si>
  <si>
    <t>0217</t>
  </si>
  <si>
    <t>7323</t>
  </si>
  <si>
    <t>Redeemer Lutheran Early Childhood Center</t>
  </si>
  <si>
    <t>5917</t>
  </si>
  <si>
    <t>Mountain Sage Community School</t>
  </si>
  <si>
    <t>6667</t>
  </si>
  <si>
    <t>Fullana</t>
  </si>
  <si>
    <t>0477</t>
  </si>
  <si>
    <t>Zach Elementary School</t>
  </si>
  <si>
    <t>8752</t>
  </si>
  <si>
    <t>Saint Joseph School</t>
  </si>
  <si>
    <t>8749</t>
  </si>
  <si>
    <t>Heritage Christian Academy</t>
  </si>
  <si>
    <t>8852</t>
  </si>
  <si>
    <t>Timnath Elementary School</t>
  </si>
  <si>
    <t>3105</t>
  </si>
  <si>
    <t>Fossil Ridge High School</t>
  </si>
  <si>
    <t>0612</t>
  </si>
  <si>
    <t>Bauder Elementary School</t>
  </si>
  <si>
    <t>3760</t>
  </si>
  <si>
    <t>9330</t>
  </si>
  <si>
    <t>Webber Middle School</t>
  </si>
  <si>
    <t>6220</t>
  </si>
  <si>
    <t>New Vision Charter School</t>
  </si>
  <si>
    <t>0865</t>
  </si>
  <si>
    <t>B F Kitchen Elementary School</t>
  </si>
  <si>
    <t>5312</t>
  </si>
  <si>
    <t>Bill Reed Middle School</t>
  </si>
  <si>
    <t>0948</t>
  </si>
  <si>
    <t>Branson School Online</t>
  </si>
  <si>
    <t>4731</t>
  </si>
  <si>
    <t>Arvada West Kindercare</t>
  </si>
  <si>
    <t>2189</t>
  </si>
  <si>
    <t>Doral Academy of Colorado</t>
  </si>
  <si>
    <t>8102</t>
  </si>
  <si>
    <t>South Lakewood Elementary School</t>
  </si>
  <si>
    <t>0148</t>
  </si>
  <si>
    <t>Allendale Elementary School</t>
  </si>
  <si>
    <t>2785</t>
  </si>
  <si>
    <t>Evergreen Academy</t>
  </si>
  <si>
    <t>6850</t>
  </si>
  <si>
    <t>Primrose School at Stanley Lake</t>
  </si>
  <si>
    <t>4971</t>
  </si>
  <si>
    <t>Little People's Landing Arvada</t>
  </si>
  <si>
    <t>5478</t>
  </si>
  <si>
    <t>Red Rocks Children's Center</t>
  </si>
  <si>
    <t>5476</t>
  </si>
  <si>
    <t>Yarrow Head Start City of Lakewood</t>
  </si>
  <si>
    <t>5474</t>
  </si>
  <si>
    <t>Weiland Head Start Jefferson County</t>
  </si>
  <si>
    <t>5179</t>
  </si>
  <si>
    <t>Lasley Head Start</t>
  </si>
  <si>
    <t>5177</t>
  </si>
  <si>
    <t>Edgewater Preschool</t>
  </si>
  <si>
    <t>5415</t>
  </si>
  <si>
    <t>Rocky Mountain Deaf School</t>
  </si>
  <si>
    <t>5524</t>
  </si>
  <si>
    <t>Maple Grove Elementary School</t>
  </si>
  <si>
    <t>4942</t>
  </si>
  <si>
    <t>Lakewood High School</t>
  </si>
  <si>
    <t>8209</t>
  </si>
  <si>
    <t>Standley Lake High School</t>
  </si>
  <si>
    <t>9052</t>
  </si>
  <si>
    <t>Van Arsdale Elementary School</t>
  </si>
  <si>
    <t>8248</t>
  </si>
  <si>
    <t>Emory Elementary School</t>
  </si>
  <si>
    <t>7238</t>
  </si>
  <si>
    <t>Ralston Elementary School</t>
  </si>
  <si>
    <t>4550</t>
  </si>
  <si>
    <t>Kendrick Lakes Elementary School</t>
  </si>
  <si>
    <t>4404</t>
  </si>
  <si>
    <t>Jefferson Academy</t>
  </si>
  <si>
    <t>3250</t>
  </si>
  <si>
    <t>Norma Anderson Preschool</t>
  </si>
  <si>
    <t>2120</t>
  </si>
  <si>
    <t>D'Evelyn Junior/Senior High School</t>
  </si>
  <si>
    <t>1886</t>
  </si>
  <si>
    <t>Conifer Senior High School</t>
  </si>
  <si>
    <t>0952</t>
  </si>
  <si>
    <t>Bradford K8 North</t>
  </si>
  <si>
    <t>0033</t>
  </si>
  <si>
    <t>McLain Community High School</t>
  </si>
  <si>
    <t>Arriba-Flagler C-20</t>
  </si>
  <si>
    <t>2960</t>
  </si>
  <si>
    <t>Flagler Public School</t>
  </si>
  <si>
    <t>4327</t>
  </si>
  <si>
    <t>High Mountain Institute</t>
  </si>
  <si>
    <t>4904</t>
  </si>
  <si>
    <t>Lake County High School</t>
  </si>
  <si>
    <t>3012</t>
  </si>
  <si>
    <t>Florida Mesa Elementary School</t>
  </si>
  <si>
    <t>4035</t>
  </si>
  <si>
    <t>Colorado Timberline Academy</t>
  </si>
  <si>
    <t>4757</t>
  </si>
  <si>
    <t>Lil Tykes Playschool</t>
  </si>
  <si>
    <t>4517</t>
  </si>
  <si>
    <t>Honey Tree</t>
  </si>
  <si>
    <t>8716</t>
  </si>
  <si>
    <t>Waldorf School on the Roaring Fork</t>
  </si>
  <si>
    <t>1296</t>
  </si>
  <si>
    <t>Carbondale Middle School</t>
  </si>
  <si>
    <t>Basalt Elementary School</t>
  </si>
  <si>
    <t>7213</t>
  </si>
  <si>
    <t>Primrose School of Erie</t>
  </si>
  <si>
    <t>3587</t>
  </si>
  <si>
    <t>The Goddard School of Erie</t>
  </si>
  <si>
    <t>5290</t>
  </si>
  <si>
    <t>Longs Peak Head Start</t>
  </si>
  <si>
    <t>1891</t>
  </si>
  <si>
    <t>Cornerstone Preschool</t>
  </si>
  <si>
    <t>6010</t>
  </si>
  <si>
    <t>Timberline PK-8</t>
  </si>
  <si>
    <t>1284</t>
  </si>
  <si>
    <t>Carbon Valley Academy</t>
  </si>
  <si>
    <t>2763</t>
  </si>
  <si>
    <t>Methodist Church</t>
  </si>
  <si>
    <t>8545</t>
  </si>
  <si>
    <t>St John the Baptist Catholic</t>
  </si>
  <si>
    <t>4641</t>
  </si>
  <si>
    <t>Gateway Montessori School</t>
  </si>
  <si>
    <t>4202</t>
  </si>
  <si>
    <t>Hygiene Elementary School</t>
  </si>
  <si>
    <t>6274</t>
  </si>
  <si>
    <t>Niwot Elementary School</t>
  </si>
  <si>
    <t>0188</t>
  </si>
  <si>
    <t>Colorado Skies Academy</t>
  </si>
  <si>
    <t>6475</t>
  </si>
  <si>
    <t>Outback Preschool</t>
  </si>
  <si>
    <t>6225</t>
  </si>
  <si>
    <t>Mountain Vista Elementary School</t>
  </si>
  <si>
    <t>4896</t>
  </si>
  <si>
    <t>The Cottage at Holly Ridge</t>
  </si>
  <si>
    <t>0018</t>
  </si>
  <si>
    <t>Liberty Middle School</t>
  </si>
  <si>
    <t>1572</t>
  </si>
  <si>
    <t>High Plains Elementary School</t>
  </si>
  <si>
    <t>8850</t>
  </si>
  <si>
    <t>Timberline Elementary School</t>
  </si>
  <si>
    <t>1614</t>
  </si>
  <si>
    <t>Cimarron Elementary School</t>
  </si>
  <si>
    <t>3589</t>
  </si>
  <si>
    <t>Grandview High School</t>
  </si>
  <si>
    <t>7518</t>
  </si>
  <si>
    <t>Runyon Elementary School</t>
  </si>
  <si>
    <t>5224</t>
  </si>
  <si>
    <t>Littleton High School</t>
  </si>
  <si>
    <t>0298</t>
  </si>
  <si>
    <t>Arapahoe High School</t>
  </si>
  <si>
    <t>2654</t>
  </si>
  <si>
    <t>Empower Community High School</t>
  </si>
  <si>
    <t>0465</t>
  </si>
  <si>
    <t>Aurora Frontier K-8</t>
  </si>
  <si>
    <t>9060</t>
  </si>
  <si>
    <t>Vaughn Elementary School</t>
  </si>
  <si>
    <t>4426</t>
  </si>
  <si>
    <t>Jewell Elementary School</t>
  </si>
  <si>
    <t>4270</t>
  </si>
  <si>
    <t>Iowa Elementary School</t>
  </si>
  <si>
    <t>3272</t>
  </si>
  <si>
    <t>Fulton Academy of Excellence</t>
  </si>
  <si>
    <t>1752</t>
  </si>
  <si>
    <t xml:space="preserve">Colorado Virtual Academy High School </t>
  </si>
  <si>
    <t>6658</t>
  </si>
  <si>
    <t>Pagosa Springs High School</t>
  </si>
  <si>
    <t>1252</t>
  </si>
  <si>
    <t>Campo Undivided High School</t>
  </si>
  <si>
    <t>0263</t>
  </si>
  <si>
    <t>Global Leadership Academy</t>
  </si>
  <si>
    <t>6956</t>
  </si>
  <si>
    <t>Pathways Future Center</t>
  </si>
  <si>
    <t>9431</t>
  </si>
  <si>
    <t>Westgate Charter</t>
  </si>
  <si>
    <t>5418</t>
  </si>
  <si>
    <t>Malley Drive Elementary School</t>
  </si>
  <si>
    <t>8361</t>
  </si>
  <si>
    <t>Stukey Elementary School</t>
  </si>
  <si>
    <t>6342</t>
  </si>
  <si>
    <t>Shadow Ridge Middle School</t>
  </si>
  <si>
    <t>Century Middle School</t>
  </si>
  <si>
    <t>5615</t>
  </si>
  <si>
    <t>Mary E Pennock Elementary School</t>
  </si>
  <si>
    <t>7351</t>
  </si>
  <si>
    <t>Rodger Quist Middle School</t>
  </si>
  <si>
    <t>2399</t>
  </si>
  <si>
    <t>Eagle Ridge Academy</t>
  </si>
  <si>
    <t>7131</t>
  </si>
  <si>
    <t>Prairie View Middle School</t>
  </si>
  <si>
    <t>7714</t>
  </si>
  <si>
    <t>Second Creek Elementary School</t>
  </si>
  <si>
    <t>8032</t>
  </si>
  <si>
    <t>John W Thimmig Elementary School</t>
  </si>
  <si>
    <t>6395</t>
  </si>
  <si>
    <t>0774</t>
  </si>
  <si>
    <t>Bennett Middle School</t>
  </si>
  <si>
    <t>9620</t>
  </si>
  <si>
    <t>Wm E Bishop Elementary School</t>
  </si>
  <si>
    <t>1652</t>
  </si>
  <si>
    <t>Clayton Elementary School</t>
  </si>
  <si>
    <t>7843</t>
  </si>
  <si>
    <t>Early Childhood Education Center</t>
  </si>
  <si>
    <t>8459</t>
  </si>
  <si>
    <t>Range View Elementary</t>
  </si>
  <si>
    <t>8886</t>
  </si>
  <si>
    <t>Tozer Elementary School</t>
  </si>
  <si>
    <t>5896</t>
  </si>
  <si>
    <t>Milliken Elementary School</t>
  </si>
  <si>
    <t>8930</t>
  </si>
  <si>
    <t>Twombly Elementary School</t>
  </si>
  <si>
    <t>5864</t>
  </si>
  <si>
    <t>Middle Park High School</t>
  </si>
  <si>
    <t>3556</t>
  </si>
  <si>
    <t>Granby Elementary School</t>
  </si>
  <si>
    <t>5577</t>
  </si>
  <si>
    <t>Marble Charter School</t>
  </si>
  <si>
    <t>0063</t>
  </si>
  <si>
    <t>Peakview School</t>
  </si>
  <si>
    <t>9212</t>
  </si>
  <si>
    <t>John Mall High School</t>
  </si>
  <si>
    <t>7240</t>
  </si>
  <si>
    <t>Rampart High School</t>
  </si>
  <si>
    <t>7460</t>
  </si>
  <si>
    <t>Rockrimmon Elementary School</t>
  </si>
  <si>
    <t>3985</t>
  </si>
  <si>
    <t>Explorer Elementary School</t>
  </si>
  <si>
    <t>2358</t>
  </si>
  <si>
    <t>Eagleview Middle School</t>
  </si>
  <si>
    <t>0074</t>
  </si>
  <si>
    <t>Challenger Middle School</t>
  </si>
  <si>
    <t>0019</t>
  </si>
  <si>
    <t>Academy International Elementary School</t>
  </si>
  <si>
    <t>7339</t>
  </si>
  <si>
    <t>2902</t>
  </si>
  <si>
    <t>Falcon Elementary School of Technology</t>
  </si>
  <si>
    <t>9248</t>
  </si>
  <si>
    <t>4583</t>
  </si>
  <si>
    <t>Kent Denver School</t>
  </si>
  <si>
    <t>4604</t>
  </si>
  <si>
    <t>St Mary Catholic School</t>
  </si>
  <si>
    <t>4285</t>
  </si>
  <si>
    <t>Florence Center</t>
  </si>
  <si>
    <t>4284</t>
  </si>
  <si>
    <t>Macon Center</t>
  </si>
  <si>
    <t>7196</t>
  </si>
  <si>
    <t>Pagosa Valor Academy</t>
  </si>
  <si>
    <t>8065</t>
  </si>
  <si>
    <t>Teresa Mael (Day Care Home)</t>
  </si>
  <si>
    <t>6601</t>
  </si>
  <si>
    <t>Life Christian Academy</t>
  </si>
  <si>
    <t>4890</t>
  </si>
  <si>
    <t>Thornton Head Start</t>
  </si>
  <si>
    <t>4022</t>
  </si>
  <si>
    <t>Noah's Ark Preschool</t>
  </si>
  <si>
    <t>8639</t>
  </si>
  <si>
    <t>Holy Family High School</t>
  </si>
  <si>
    <t>4892</t>
  </si>
  <si>
    <t>Brighton Head Start - Adams County Head Start</t>
  </si>
  <si>
    <t>4036</t>
  </si>
  <si>
    <t>Zion Lutheran School</t>
  </si>
  <si>
    <t>9801</t>
  </si>
  <si>
    <t>Adams Youth Service Center</t>
  </si>
  <si>
    <t>2203</t>
  </si>
  <si>
    <t>Discovery Time Preschool</t>
  </si>
  <si>
    <t>5308</t>
  </si>
  <si>
    <t>Wee Care Day Care</t>
  </si>
  <si>
    <t>4522</t>
  </si>
  <si>
    <t>Kremmling Preschool</t>
  </si>
  <si>
    <t>3559</t>
  </si>
  <si>
    <t>Granby Play Days</t>
  </si>
  <si>
    <t>5603</t>
  </si>
  <si>
    <t>Merry Kids</t>
  </si>
  <si>
    <t>5113</t>
  </si>
  <si>
    <t>Tenderfoot at WCS</t>
  </si>
  <si>
    <t>1523</t>
  </si>
  <si>
    <t>Family of Christ CDC</t>
  </si>
  <si>
    <t>8777</t>
  </si>
  <si>
    <t>2751</t>
  </si>
  <si>
    <t>7892</t>
  </si>
  <si>
    <t>Santilli's Child Care and Preschool</t>
  </si>
  <si>
    <t>9038</t>
  </si>
  <si>
    <t>Valley Christian School</t>
  </si>
  <si>
    <t>5033</t>
  </si>
  <si>
    <t>James Madison Charter Academy School</t>
  </si>
  <si>
    <t>4346</t>
  </si>
  <si>
    <t>Talbott STEAM Innovation School</t>
  </si>
  <si>
    <t>3505</t>
  </si>
  <si>
    <t>Family Christian Academy</t>
  </si>
  <si>
    <t>4070</t>
  </si>
  <si>
    <t>Holmes Middle School</t>
  </si>
  <si>
    <t>Blanca CPCD Preschool</t>
  </si>
  <si>
    <t>0871</t>
  </si>
  <si>
    <t>The Bijou School</t>
  </si>
  <si>
    <t>4624</t>
  </si>
  <si>
    <t>Colorado Springs Day Nursery</t>
  </si>
  <si>
    <t>5610</t>
  </si>
  <si>
    <t>8695</t>
  </si>
  <si>
    <t>Evangelical Christian Academy</t>
  </si>
  <si>
    <t>4530</t>
  </si>
  <si>
    <t>Keller Elementary School</t>
  </si>
  <si>
    <t>9404</t>
  </si>
  <si>
    <t>3592</t>
  </si>
  <si>
    <t>Grant Elementary School</t>
  </si>
  <si>
    <t>1885</t>
  </si>
  <si>
    <t>Community Prep Charter School</t>
  </si>
  <si>
    <t>3890</t>
  </si>
  <si>
    <t>5464</t>
  </si>
  <si>
    <t>Manitou Springs Middle School</t>
  </si>
  <si>
    <t>9010</t>
  </si>
  <si>
    <t>Ute Pass Elementary School</t>
  </si>
  <si>
    <t>0248</t>
  </si>
  <si>
    <t>Guadalupe Elementary School</t>
  </si>
  <si>
    <t>7880</t>
  </si>
  <si>
    <t>Sierra Grande K-12 School</t>
  </si>
  <si>
    <t>2058</t>
  </si>
  <si>
    <t>Crowley County Junior and Senior High School</t>
  </si>
  <si>
    <t>3699</t>
  </si>
  <si>
    <t>8138</t>
  </si>
  <si>
    <t>Southmoor Elementary School</t>
  </si>
  <si>
    <t>7926</t>
  </si>
  <si>
    <t>STRIVE Prep - Kepner</t>
  </si>
  <si>
    <t>5973</t>
  </si>
  <si>
    <t>McAuliffe Manual Middle School</t>
  </si>
  <si>
    <t>8053</t>
  </si>
  <si>
    <t>SOAR at Green Valley Ranch</t>
  </si>
  <si>
    <t>7471</t>
  </si>
  <si>
    <t>Rocky Mountain Prep: Southwest</t>
  </si>
  <si>
    <t>8401</t>
  </si>
  <si>
    <t>STRIVE Prep - Ruby Hill</t>
  </si>
  <si>
    <t>2145</t>
  </si>
  <si>
    <t>DSST: Green Valley Ranch High School</t>
  </si>
  <si>
    <t>1345</t>
  </si>
  <si>
    <t>Rocky Mountain Prep: Berkeley</t>
  </si>
  <si>
    <t>2228</t>
  </si>
  <si>
    <t>DSST: Byers High School</t>
  </si>
  <si>
    <t>4509</t>
  </si>
  <si>
    <t>KIPP Northeast Denver Leadership Academy</t>
  </si>
  <si>
    <t>2205</t>
  </si>
  <si>
    <t>DCIS at Ford</t>
  </si>
  <si>
    <t>5621</t>
  </si>
  <si>
    <t>Monarch Montessori</t>
  </si>
  <si>
    <t>9693</t>
  </si>
  <si>
    <t>West Early College</t>
  </si>
  <si>
    <t>6239</t>
  </si>
  <si>
    <t>Noel Community Arts School</t>
  </si>
  <si>
    <t>2218</t>
  </si>
  <si>
    <t>DSST: Conservatory Green Middle School</t>
  </si>
  <si>
    <t>7045</t>
  </si>
  <si>
    <t>Place Bridge Academy</t>
  </si>
  <si>
    <t>9389</t>
  </si>
  <si>
    <t>STRIVE Prep - Westwood</t>
  </si>
  <si>
    <t>Ridge View Academy Charter School</t>
  </si>
  <si>
    <t>2183</t>
  </si>
  <si>
    <t>Denver Center for International Studies</t>
  </si>
  <si>
    <t>8085</t>
  </si>
  <si>
    <t>STRIVE Prep - Federal</t>
  </si>
  <si>
    <t>4140</t>
  </si>
  <si>
    <t>Farrell B. Howell ECE-8 School</t>
  </si>
  <si>
    <t>5716</t>
  </si>
  <si>
    <t>McMeen Elementary School</t>
  </si>
  <si>
    <t>5644</t>
  </si>
  <si>
    <t>Maxwell Elementary School</t>
  </si>
  <si>
    <t>8822</t>
  </si>
  <si>
    <t>Thomas Jefferson High School</t>
  </si>
  <si>
    <t>4074</t>
  </si>
  <si>
    <t>Holm Elementary School</t>
  </si>
  <si>
    <t>0388</t>
  </si>
  <si>
    <t>Asbury Elementary School</t>
  </si>
  <si>
    <t>8222</t>
  </si>
  <si>
    <t>Steck Elementary School</t>
  </si>
  <si>
    <t>7942</t>
  </si>
  <si>
    <t>Skinner Middle School</t>
  </si>
  <si>
    <t>2216</t>
  </si>
  <si>
    <t>Dove Creek High School</t>
  </si>
  <si>
    <t>0479</t>
  </si>
  <si>
    <t>Edwards Early Learning Center</t>
  </si>
  <si>
    <t>0861</t>
  </si>
  <si>
    <t>Battle Mountain Early College High School</t>
  </si>
  <si>
    <t>9701</t>
  </si>
  <si>
    <t>World Academy</t>
  </si>
  <si>
    <t>7296</t>
  </si>
  <si>
    <t>Red Sandstone Elementary School</t>
  </si>
  <si>
    <t>2346</t>
  </si>
  <si>
    <t>Eagle Valley Elementary School</t>
  </si>
  <si>
    <t>0793</t>
  </si>
  <si>
    <t>Berry Creek Middle School</t>
  </si>
  <si>
    <t>7925</t>
  </si>
  <si>
    <t>Singing Hills Elementary School</t>
  </si>
  <si>
    <t>5982</t>
  </si>
  <si>
    <t>Monaco Elementary School</t>
  </si>
  <si>
    <t>0124</t>
  </si>
  <si>
    <t>Stars Early Learning Center</t>
  </si>
  <si>
    <t>7305</t>
  </si>
  <si>
    <t>Iver C. Ranum Middle School</t>
  </si>
  <si>
    <t>2876</t>
  </si>
  <si>
    <t>9466</t>
  </si>
  <si>
    <t>Westminster High School</t>
  </si>
  <si>
    <t>3649</t>
  </si>
  <si>
    <t xml:space="preserve">Early Learning Center at Gregory Hill </t>
  </si>
  <si>
    <t>2639</t>
  </si>
  <si>
    <t>Meadowlark School</t>
  </si>
  <si>
    <t>2589</t>
  </si>
  <si>
    <t>Eldorado K-8 School</t>
  </si>
  <si>
    <t>6000</t>
  </si>
  <si>
    <t>Monarch K-8 School</t>
  </si>
  <si>
    <t>5606</t>
  </si>
  <si>
    <t>Creekside Elementary School at Martin Park</t>
  </si>
  <si>
    <t>2892</t>
  </si>
  <si>
    <t>Fairview High School</t>
  </si>
  <si>
    <t>8418</t>
  </si>
  <si>
    <t>Superior Elementary School</t>
  </si>
  <si>
    <t>6195</t>
  </si>
  <si>
    <t>New Vista High School</t>
  </si>
  <si>
    <t>2940</t>
  </si>
  <si>
    <t>Fireside Elementary School</t>
  </si>
  <si>
    <t>0924</t>
  </si>
  <si>
    <t>Boulder High School</t>
  </si>
  <si>
    <t>6295</t>
  </si>
  <si>
    <t>North Fork School of Integrated Studies</t>
  </si>
  <si>
    <t>6700</t>
  </si>
  <si>
    <t>Paonia Elementary School</t>
  </si>
  <si>
    <t>4128</t>
  </si>
  <si>
    <t>Hotchkiss High School</t>
  </si>
  <si>
    <t>5843</t>
  </si>
  <si>
    <t>Lone Tree Elementary</t>
  </si>
  <si>
    <t>9592</t>
  </si>
  <si>
    <t>Wildcat Mountain Elementary School</t>
  </si>
  <si>
    <t>6773</t>
  </si>
  <si>
    <t>Sierra Middle School</t>
  </si>
  <si>
    <t>0354</t>
  </si>
  <si>
    <t>Arrowwood Elementary School</t>
  </si>
  <si>
    <t>2954</t>
  </si>
  <si>
    <t>Roxborough Intermediate</t>
  </si>
  <si>
    <t>2233</t>
  </si>
  <si>
    <t>Cherokee Trail Elementary School</t>
  </si>
  <si>
    <t>7245</t>
  </si>
  <si>
    <t>Ranch View Middle School</t>
  </si>
  <si>
    <t>2226</t>
  </si>
  <si>
    <t>Castle Rock Middle School</t>
  </si>
  <si>
    <t>7882</t>
  </si>
  <si>
    <t>Sierra High School</t>
  </si>
  <si>
    <t>6936</t>
  </si>
  <si>
    <t>Pikes Peak Elementary School</t>
  </si>
  <si>
    <t>Bricker Elementary School</t>
  </si>
  <si>
    <t>6338</t>
  </si>
  <si>
    <t>Patriot Elementary School</t>
  </si>
  <si>
    <t>Cheyenne Mountain High School</t>
  </si>
  <si>
    <t>6898</t>
  </si>
  <si>
    <t>Peyton Elementary School</t>
  </si>
  <si>
    <t>4686</t>
  </si>
  <si>
    <t>Ray E Kilmer Elementary School</t>
  </si>
  <si>
    <t>3539</t>
  </si>
  <si>
    <t>4690</t>
  </si>
  <si>
    <t>Kim Elementary School</t>
  </si>
  <si>
    <t>8456</t>
  </si>
  <si>
    <t>Swink Junior-Senior High School</t>
  </si>
  <si>
    <t>7048</t>
  </si>
  <si>
    <t>Fitzsimmons Middle School</t>
  </si>
  <si>
    <t>7879</t>
  </si>
  <si>
    <t>Swallows Charter Academy High School</t>
  </si>
  <si>
    <t>8110</t>
  </si>
  <si>
    <t>South Mesa Elementary School</t>
  </si>
  <si>
    <t>7212</t>
  </si>
  <si>
    <t>Liberty Point International School</t>
  </si>
  <si>
    <t>9694</t>
  </si>
  <si>
    <t>Woodland Park Middle School</t>
  </si>
  <si>
    <t>4526</t>
  </si>
  <si>
    <t>Hoff Elementary School</t>
  </si>
  <si>
    <t>4425</t>
  </si>
  <si>
    <t>Jefferson Junior/Senior High</t>
  </si>
  <si>
    <t>Chappelow K-8 Magnet School</t>
  </si>
  <si>
    <t>9799</t>
  </si>
  <si>
    <t>Yuma High School</t>
  </si>
  <si>
    <t>9795</t>
  </si>
  <si>
    <t>Kenneth P Morris Elementary School</t>
  </si>
  <si>
    <t>4367</t>
  </si>
  <si>
    <t>Barnum</t>
  </si>
  <si>
    <t>1225</t>
  </si>
  <si>
    <t>Cannon Learning Center</t>
  </si>
  <si>
    <t>8608</t>
  </si>
  <si>
    <t>Arrupe Jesuit High School</t>
  </si>
  <si>
    <t>8554</t>
  </si>
  <si>
    <t>The Logan School for Creative Learning</t>
  </si>
  <si>
    <t>4677</t>
  </si>
  <si>
    <t>Bambino's</t>
  </si>
  <si>
    <t>6004</t>
  </si>
  <si>
    <t>Catholic Charities-Quigg Newton</t>
  </si>
  <si>
    <t>4922</t>
  </si>
  <si>
    <t>Centro Wraparound</t>
  </si>
  <si>
    <t>8615</t>
  </si>
  <si>
    <t>Messiah Baptist Schools</t>
  </si>
  <si>
    <t>8592</t>
  </si>
  <si>
    <t>All Saint's Daycare</t>
  </si>
  <si>
    <t>4374</t>
  </si>
  <si>
    <t>Kentucky</t>
  </si>
  <si>
    <t>4238</t>
  </si>
  <si>
    <t>Colonnade Children's Center</t>
  </si>
  <si>
    <t>4300</t>
  </si>
  <si>
    <t>DPS - Wyman</t>
  </si>
  <si>
    <t>4294</t>
  </si>
  <si>
    <t>DPS - Montclair</t>
  </si>
  <si>
    <t>4776</t>
  </si>
  <si>
    <t>Anchor Center for Blind Children</t>
  </si>
  <si>
    <t>4375</t>
  </si>
  <si>
    <t>Garfield</t>
  </si>
  <si>
    <t>4243</t>
  </si>
  <si>
    <t>Rocky Mountain SER Elaine Jackson</t>
  </si>
  <si>
    <t>8674</t>
  </si>
  <si>
    <t>St Vincent de Paul Catholic School</t>
  </si>
  <si>
    <t>8641</t>
  </si>
  <si>
    <t>Jewish Community Center</t>
  </si>
  <si>
    <t>8638</t>
  </si>
  <si>
    <t>Hillel Academy</t>
  </si>
  <si>
    <t>4283</t>
  </si>
  <si>
    <t>Adams County Head Start Sunshine Center</t>
  </si>
  <si>
    <t>4038</t>
  </si>
  <si>
    <t>Belleview Christian School</t>
  </si>
  <si>
    <t>7057</t>
  </si>
  <si>
    <t>Temple Grandin School</t>
  </si>
  <si>
    <t>1982</t>
  </si>
  <si>
    <t>Child Learning Center</t>
  </si>
  <si>
    <t>8582</t>
  </si>
  <si>
    <t>Wildflower Preschool</t>
  </si>
  <si>
    <t>8568</t>
  </si>
  <si>
    <t>Friends 'n Fun Children's Center</t>
  </si>
  <si>
    <t>8564</t>
  </si>
  <si>
    <t>Alaya Preschool</t>
  </si>
  <si>
    <t>8562</t>
  </si>
  <si>
    <t>Louisville Preschool Inc</t>
  </si>
  <si>
    <t>8559</t>
  </si>
  <si>
    <t>The Cottage School</t>
  </si>
  <si>
    <t>3644</t>
  </si>
  <si>
    <t>Boulder HS Lafayette Community School</t>
  </si>
  <si>
    <t>4585</t>
  </si>
  <si>
    <t>Boulder Montessori School</t>
  </si>
  <si>
    <t>4007</t>
  </si>
  <si>
    <t>Blue Sky Kindergarten</t>
  </si>
  <si>
    <t>4235</t>
  </si>
  <si>
    <t>Valley Preschool</t>
  </si>
  <si>
    <t>7167</t>
  </si>
  <si>
    <t>The GEM Center</t>
  </si>
  <si>
    <t>7137</t>
  </si>
  <si>
    <t>1391</t>
  </si>
  <si>
    <t>Arma Dei Academy</t>
  </si>
  <si>
    <t>8649</t>
  </si>
  <si>
    <t>Mile High Adventist Academy</t>
  </si>
  <si>
    <t>4934</t>
  </si>
  <si>
    <t>Wildflower CPCD Preschool</t>
  </si>
  <si>
    <t>8417</t>
  </si>
  <si>
    <t>Mountain Vista CPCD Preschool</t>
  </si>
  <si>
    <t>8390</t>
  </si>
  <si>
    <t>Soaring Eagles CPCD Preschool</t>
  </si>
  <si>
    <t>4931</t>
  </si>
  <si>
    <t>Adams Head Start</t>
  </si>
  <si>
    <t>8706</t>
  </si>
  <si>
    <t>St. Paul Catholic School</t>
  </si>
  <si>
    <t>1525</t>
  </si>
  <si>
    <t>St Peter Catholic School</t>
  </si>
  <si>
    <t>8797</t>
  </si>
  <si>
    <t>Brittney Kreeger</t>
  </si>
  <si>
    <t>4075</t>
  </si>
  <si>
    <t>Holy Trinity Academy</t>
  </si>
  <si>
    <t>2805</t>
  </si>
  <si>
    <t>Wildwood School</t>
  </si>
  <si>
    <t>2782</t>
  </si>
  <si>
    <t>Soaring Eagles Center for Autism</t>
  </si>
  <si>
    <t>6267</t>
  </si>
  <si>
    <t>0134</t>
  </si>
  <si>
    <t>ABC Billie Martinez</t>
  </si>
  <si>
    <t>4748</t>
  </si>
  <si>
    <t>CEEN 23rd Ave</t>
  </si>
  <si>
    <t>4033</t>
  </si>
  <si>
    <t>6174</t>
  </si>
  <si>
    <t>Little Indians Preschool (Head Start)</t>
  </si>
  <si>
    <t>2767</t>
  </si>
  <si>
    <t>Forward Learning Academy</t>
  </si>
  <si>
    <t>6038</t>
  </si>
  <si>
    <t>Turning Point - Waverly</t>
  </si>
  <si>
    <t>6414</t>
  </si>
  <si>
    <t>Hilltop Youth Services</t>
  </si>
  <si>
    <t>6069</t>
  </si>
  <si>
    <t>Craig Hospital</t>
  </si>
  <si>
    <t>6011</t>
  </si>
  <si>
    <t>Ability Connection Colorado</t>
  </si>
  <si>
    <t>2694</t>
  </si>
  <si>
    <t>Betty K Marler Youth Services Center</t>
  </si>
  <si>
    <t>2691</t>
  </si>
  <si>
    <t>Mount View Youth Services Center</t>
  </si>
  <si>
    <t>9980</t>
  </si>
  <si>
    <t>District Wide</t>
  </si>
  <si>
    <t>1448</t>
  </si>
  <si>
    <t>Colorado Preparatory Academy Elementary School</t>
  </si>
  <si>
    <t>1371</t>
  </si>
  <si>
    <t>Coperni 3</t>
  </si>
  <si>
    <t>5431</t>
  </si>
  <si>
    <t>Coperni 2</t>
  </si>
  <si>
    <t>5851</t>
  </si>
  <si>
    <t>Mountain Song Community School</t>
  </si>
  <si>
    <t>7278</t>
  </si>
  <si>
    <t>Ricardo Flores Magon Academy</t>
  </si>
  <si>
    <t>0015</t>
  </si>
  <si>
    <t>Academy of Charter Schools</t>
  </si>
  <si>
    <t>8372</t>
  </si>
  <si>
    <t>Breckenridge Elementary School</t>
  </si>
  <si>
    <t>9080</t>
  </si>
  <si>
    <t>Cresson Elementary School</t>
  </si>
  <si>
    <t>0086</t>
  </si>
  <si>
    <t>Akron Elementary School</t>
  </si>
  <si>
    <t>0090</t>
  </si>
  <si>
    <t>Akron High School</t>
  </si>
  <si>
    <t>4790</t>
  </si>
  <si>
    <t>Summit County Preschool</t>
  </si>
  <si>
    <t>4818</t>
  </si>
  <si>
    <t>ABC Development Center</t>
  </si>
  <si>
    <t>District Design and Led</t>
  </si>
  <si>
    <t>Connect For Success</t>
  </si>
  <si>
    <t>MTSS</t>
  </si>
  <si>
    <t>Accountability Pathways</t>
  </si>
  <si>
    <t>Turnaround Network</t>
  </si>
  <si>
    <t>AEC Pilot</t>
  </si>
  <si>
    <t>Consultation</t>
  </si>
  <si>
    <t>Diagnostic Review</t>
  </si>
  <si>
    <t>School Turnaround Leadership Development Program</t>
  </si>
  <si>
    <t>FY18-19</t>
  </si>
  <si>
    <t>FY19-20</t>
  </si>
  <si>
    <t>FY20-21</t>
  </si>
  <si>
    <t>FY21-22</t>
  </si>
  <si>
    <t>FY22-23</t>
  </si>
  <si>
    <t>Cohort 4</t>
  </si>
  <si>
    <t>District Level</t>
  </si>
  <si>
    <t>Table Name</t>
  </si>
  <si>
    <t>Table2</t>
  </si>
  <si>
    <t>Table3</t>
  </si>
  <si>
    <t>Table4</t>
  </si>
  <si>
    <t>Table5</t>
  </si>
  <si>
    <t>Table6</t>
  </si>
  <si>
    <t>Table7</t>
  </si>
  <si>
    <t>Table8</t>
  </si>
  <si>
    <t>Table9</t>
  </si>
  <si>
    <t>Table10</t>
  </si>
  <si>
    <t>Table11</t>
  </si>
  <si>
    <t>Table12</t>
  </si>
  <si>
    <t>Table13</t>
  </si>
  <si>
    <t>Table14</t>
  </si>
  <si>
    <t>Table15</t>
  </si>
  <si>
    <t>Table16</t>
  </si>
  <si>
    <t>Table17</t>
  </si>
  <si>
    <t>Table18</t>
  </si>
  <si>
    <t>Table19</t>
  </si>
  <si>
    <t>Table20</t>
  </si>
  <si>
    <t>Table21</t>
  </si>
  <si>
    <t>Table22</t>
  </si>
  <si>
    <t>Table23</t>
  </si>
  <si>
    <t>Table24</t>
  </si>
  <si>
    <t>Table25</t>
  </si>
  <si>
    <t>Table26</t>
  </si>
  <si>
    <t>Table27</t>
  </si>
  <si>
    <t>Table28</t>
  </si>
  <si>
    <t>Table29</t>
  </si>
  <si>
    <t>Table30</t>
  </si>
  <si>
    <t>Table31</t>
  </si>
  <si>
    <t>Table32</t>
  </si>
  <si>
    <t>Table33</t>
  </si>
  <si>
    <t>Table34</t>
  </si>
  <si>
    <t>Table35</t>
  </si>
  <si>
    <t>Table36</t>
  </si>
  <si>
    <t>Table37</t>
  </si>
  <si>
    <t>Table38</t>
  </si>
  <si>
    <t>Table39</t>
  </si>
  <si>
    <t>Table40</t>
  </si>
  <si>
    <t>Table41</t>
  </si>
  <si>
    <t>Table42</t>
  </si>
  <si>
    <t>Table43</t>
  </si>
  <si>
    <t>Table44</t>
  </si>
  <si>
    <t>Table45</t>
  </si>
  <si>
    <t>Table46</t>
  </si>
  <si>
    <t>Table47</t>
  </si>
  <si>
    <t>Table48</t>
  </si>
  <si>
    <t>Table49</t>
  </si>
  <si>
    <t>Table50</t>
  </si>
  <si>
    <t>Table51</t>
  </si>
  <si>
    <t>Table52</t>
  </si>
  <si>
    <t>Table53</t>
  </si>
  <si>
    <t>Table54</t>
  </si>
  <si>
    <t>Table55</t>
  </si>
  <si>
    <t>Table56</t>
  </si>
  <si>
    <t>Table57</t>
  </si>
  <si>
    <t>Table58</t>
  </si>
  <si>
    <t>Table59</t>
  </si>
  <si>
    <t>Table60</t>
  </si>
  <si>
    <t>Table61</t>
  </si>
  <si>
    <t>Table62</t>
  </si>
  <si>
    <t>Table63</t>
  </si>
  <si>
    <t>Table64</t>
  </si>
  <si>
    <t>Table65</t>
  </si>
  <si>
    <t>Table66</t>
  </si>
  <si>
    <t>Table67</t>
  </si>
  <si>
    <t>Table68</t>
  </si>
  <si>
    <t>Table69</t>
  </si>
  <si>
    <t>Table70</t>
  </si>
  <si>
    <t>Table71</t>
  </si>
  <si>
    <t>Table72</t>
  </si>
  <si>
    <t>Table73</t>
  </si>
  <si>
    <t>Table74</t>
  </si>
  <si>
    <t>Table75</t>
  </si>
  <si>
    <t>Table76</t>
  </si>
  <si>
    <t>Table77</t>
  </si>
  <si>
    <t>Table78</t>
  </si>
  <si>
    <t>Table79</t>
  </si>
  <si>
    <t>Table80</t>
  </si>
  <si>
    <t>Table81</t>
  </si>
  <si>
    <t>Table82</t>
  </si>
  <si>
    <t>Table83</t>
  </si>
  <si>
    <t>Table84</t>
  </si>
  <si>
    <t>Table85</t>
  </si>
  <si>
    <t>Table86</t>
  </si>
  <si>
    <t>Table87</t>
  </si>
  <si>
    <t>Table88</t>
  </si>
  <si>
    <t>Table89</t>
  </si>
  <si>
    <t>Table90</t>
  </si>
  <si>
    <t>Table91</t>
  </si>
  <si>
    <t>Table92</t>
  </si>
  <si>
    <t>Table93</t>
  </si>
  <si>
    <t>Table94</t>
  </si>
  <si>
    <t>Table95</t>
  </si>
  <si>
    <t>Table96</t>
  </si>
  <si>
    <t>Table97</t>
  </si>
  <si>
    <t>Table98</t>
  </si>
  <si>
    <t>Table99</t>
  </si>
  <si>
    <t>Table100</t>
  </si>
  <si>
    <t>Table101</t>
  </si>
  <si>
    <t>Table102</t>
  </si>
  <si>
    <t>Table103</t>
  </si>
  <si>
    <t>Table104</t>
  </si>
  <si>
    <t>Table105</t>
  </si>
  <si>
    <t>Table106</t>
  </si>
  <si>
    <t>Table107</t>
  </si>
  <si>
    <t>Table108</t>
  </si>
  <si>
    <t>Table109</t>
  </si>
  <si>
    <t>Table110</t>
  </si>
  <si>
    <t>Table111</t>
  </si>
  <si>
    <t>Table112</t>
  </si>
  <si>
    <t>Table113</t>
  </si>
  <si>
    <t>Table114</t>
  </si>
  <si>
    <t>Table115</t>
  </si>
  <si>
    <t>Table116</t>
  </si>
  <si>
    <t>Table117</t>
  </si>
  <si>
    <t>Table118</t>
  </si>
  <si>
    <t>Table119</t>
  </si>
  <si>
    <t>Table120</t>
  </si>
  <si>
    <t>Table121</t>
  </si>
  <si>
    <t>Table122</t>
  </si>
  <si>
    <t>Table123</t>
  </si>
  <si>
    <t>Table124</t>
  </si>
  <si>
    <t>Table125</t>
  </si>
  <si>
    <t>Table126</t>
  </si>
  <si>
    <t>Table127</t>
  </si>
  <si>
    <t>Table128</t>
  </si>
  <si>
    <t>Table129</t>
  </si>
  <si>
    <t>Table130</t>
  </si>
  <si>
    <t>Table131</t>
  </si>
  <si>
    <t>Table132</t>
  </si>
  <si>
    <t>Table133</t>
  </si>
  <si>
    <t>Table134</t>
  </si>
  <si>
    <t>Table135</t>
  </si>
  <si>
    <t>Table136</t>
  </si>
  <si>
    <t>Table137</t>
  </si>
  <si>
    <t>Table138</t>
  </si>
  <si>
    <t>Table139</t>
  </si>
  <si>
    <t>Table140</t>
  </si>
  <si>
    <t>Table141</t>
  </si>
  <si>
    <t>Table142</t>
  </si>
  <si>
    <t>Table143</t>
  </si>
  <si>
    <t>Table144</t>
  </si>
  <si>
    <t>Table145</t>
  </si>
  <si>
    <t>Table146</t>
  </si>
  <si>
    <t>Table147</t>
  </si>
  <si>
    <t>Table148</t>
  </si>
  <si>
    <t>Table149</t>
  </si>
  <si>
    <t>Table150</t>
  </si>
  <si>
    <t>Table151</t>
  </si>
  <si>
    <t>Table152</t>
  </si>
  <si>
    <t>Table153</t>
  </si>
  <si>
    <t>Table154</t>
  </si>
  <si>
    <t>Table155</t>
  </si>
  <si>
    <t>Table156</t>
  </si>
  <si>
    <t>Table157</t>
  </si>
  <si>
    <t>Table158</t>
  </si>
  <si>
    <t>Table159</t>
  </si>
  <si>
    <t>Table160</t>
  </si>
  <si>
    <t>Table161</t>
  </si>
  <si>
    <t>Table162</t>
  </si>
  <si>
    <t>Table163</t>
  </si>
  <si>
    <t>Table164</t>
  </si>
  <si>
    <t>Table165</t>
  </si>
  <si>
    <t>Table166</t>
  </si>
  <si>
    <t>Table167</t>
  </si>
  <si>
    <t>Table168</t>
  </si>
  <si>
    <t>Table169</t>
  </si>
  <si>
    <t>Table170</t>
  </si>
  <si>
    <t>Table171</t>
  </si>
  <si>
    <t>Table172</t>
  </si>
  <si>
    <t>Table173</t>
  </si>
  <si>
    <t>Table174</t>
  </si>
  <si>
    <t>Table175</t>
  </si>
  <si>
    <t>Table176</t>
  </si>
  <si>
    <t>Table177</t>
  </si>
  <si>
    <t>Table178</t>
  </si>
  <si>
    <t>Table179</t>
  </si>
  <si>
    <t>Table180</t>
  </si>
  <si>
    <t>Table181</t>
  </si>
  <si>
    <t>Table182</t>
  </si>
  <si>
    <t>Table183</t>
  </si>
  <si>
    <t>Table184</t>
  </si>
  <si>
    <t>Table185</t>
  </si>
  <si>
    <t>Table186</t>
  </si>
  <si>
    <t>Table187</t>
  </si>
  <si>
    <t>Table188</t>
  </si>
  <si>
    <t>Table189</t>
  </si>
  <si>
    <t>Table190</t>
  </si>
  <si>
    <t xml:space="preserve">DIST/AU CODE </t>
  </si>
  <si>
    <t>SCHOOL CODE</t>
  </si>
  <si>
    <t>DISTRICT/AU NAME</t>
  </si>
  <si>
    <t>SCHOOL NAME</t>
  </si>
  <si>
    <t>GRANT</t>
  </si>
  <si>
    <t>Combined</t>
  </si>
  <si>
    <t>Cohort</t>
  </si>
  <si>
    <t>Combine and Year</t>
  </si>
  <si>
    <t>2017-2018</t>
  </si>
  <si>
    <t>2018-2019</t>
  </si>
  <si>
    <t>2019-2020</t>
  </si>
  <si>
    <t>2020-2021</t>
  </si>
  <si>
    <t>2020-21</t>
  </si>
  <si>
    <t>2021-22</t>
  </si>
  <si>
    <t>Accountability Pathways 17-18</t>
  </si>
  <si>
    <t>Accountability Pathways 18-19</t>
  </si>
  <si>
    <t>Connect For Success 17-20</t>
  </si>
  <si>
    <t>Connect For Success 18-21</t>
  </si>
  <si>
    <t>OfferedServices</t>
  </si>
  <si>
    <t>Connect for Success</t>
  </si>
  <si>
    <t>Connect For Success 19-22</t>
  </si>
  <si>
    <t>Connect For Success 16-19</t>
  </si>
  <si>
    <t>Consultation 17-18</t>
  </si>
  <si>
    <t/>
  </si>
  <si>
    <t>Diagnostic Review 18-19</t>
  </si>
  <si>
    <t>Diagnostic Review 17-18</t>
  </si>
  <si>
    <t>Diagnostic Review 19-20</t>
  </si>
  <si>
    <t>0219</t>
  </si>
  <si>
    <t>APS Online School</t>
  </si>
  <si>
    <t>Exploration</t>
  </si>
  <si>
    <t>Holistic DR</t>
  </si>
  <si>
    <t>AEC DR</t>
  </si>
  <si>
    <t>Stakeholder Engagement</t>
  </si>
  <si>
    <t>Diagnostic Review 20-21</t>
  </si>
  <si>
    <t>District Design and Led 17-20</t>
  </si>
  <si>
    <t>District</t>
  </si>
  <si>
    <t>DDL</t>
  </si>
  <si>
    <t>Initial</t>
  </si>
  <si>
    <t>District Design and Led 18-21</t>
  </si>
  <si>
    <t>District Design and Led 19-22</t>
  </si>
  <si>
    <t>District Design and Led 17-21</t>
  </si>
  <si>
    <t>Engagement Planning</t>
  </si>
  <si>
    <t>Expansion</t>
  </si>
  <si>
    <t>EASI MTSS</t>
  </si>
  <si>
    <t>STLD</t>
  </si>
  <si>
    <t>School Turnaround Leaders Program</t>
  </si>
  <si>
    <t>3863</t>
  </si>
  <si>
    <t>HOPE ONLINE LEARNING ACADEMY ELEMENTARY</t>
  </si>
  <si>
    <t>Supervisor Pilot</t>
  </si>
  <si>
    <t>District Level, 0822, 5916, 4376, 7481</t>
  </si>
  <si>
    <t>Awarded</t>
  </si>
  <si>
    <t>Cohort 5</t>
  </si>
  <si>
    <t>FY23-24</t>
  </si>
  <si>
    <t>FY24-25</t>
  </si>
  <si>
    <t>2022-23</t>
  </si>
  <si>
    <t>2023-24</t>
  </si>
  <si>
    <t>2024-25</t>
  </si>
  <si>
    <t>Offered Services Continuation</t>
  </si>
  <si>
    <t>Pilot</t>
  </si>
  <si>
    <t>Type</t>
  </si>
  <si>
    <t>Federal</t>
  </si>
  <si>
    <t>ESSER</t>
  </si>
  <si>
    <t xml:space="preserve">ESSA Application for School Improvement (EASI) </t>
  </si>
  <si>
    <t>Indirect Cost Rate:</t>
  </si>
  <si>
    <t>Budget Report:</t>
  </si>
  <si>
    <t>Annual Financial Report</t>
  </si>
  <si>
    <t>Revision number:</t>
  </si>
  <si>
    <t>Date:</t>
  </si>
  <si>
    <t>Name of person completing this information</t>
  </si>
  <si>
    <t>Name:</t>
  </si>
  <si>
    <t>Phone No.:</t>
  </si>
  <si>
    <t>E-mail:</t>
  </si>
  <si>
    <t>Submit this excel file to :</t>
  </si>
  <si>
    <t>Grants Fiscal Staff Contact:</t>
  </si>
  <si>
    <t>Federal Programs Contact:</t>
  </si>
  <si>
    <t>Laura Meushaw: 303-866-6618 Meushaw_L@cde.state.co.us</t>
  </si>
  <si>
    <t>CDE use only</t>
  </si>
  <si>
    <t>Funding Summary</t>
  </si>
  <si>
    <t>Total</t>
  </si>
  <si>
    <t>District Name:</t>
  </si>
  <si>
    <t>EASI AFR</t>
  </si>
  <si>
    <t>Year End Actual Expense Report</t>
  </si>
  <si>
    <t>Total Actual Expenses</t>
  </si>
  <si>
    <t>Amount Expensed</t>
  </si>
  <si>
    <t>State</t>
  </si>
  <si>
    <t>Federal/State</t>
  </si>
  <si>
    <t>Budget Object</t>
  </si>
  <si>
    <t>Instructional Program - Salaries (0100)</t>
  </si>
  <si>
    <t>Instructional Program - Employee Benefits (0200)</t>
  </si>
  <si>
    <t>Instructional Program - Purchased Professional &amp; Technical Services (0300)</t>
  </si>
  <si>
    <t>Instructional Program - Other Purchased Services (0500)</t>
  </si>
  <si>
    <t>Instructional Program - Travel, Registration and Entrance (0580)</t>
  </si>
  <si>
    <t>Instructional Program - Supplies (0600)</t>
  </si>
  <si>
    <t>Support Program - Salaries (0100)</t>
  </si>
  <si>
    <t>Support Program - Employee Benefits (0200)</t>
  </si>
  <si>
    <t>Support Program - Purchased Professional &amp; Technical Services (0300)</t>
  </si>
  <si>
    <t>Support Program - Other Purchased Services (0500)</t>
  </si>
  <si>
    <t>Support Program - Travel, Registration and Entrance (0580)</t>
  </si>
  <si>
    <t>Support Program - Supplies (0600)</t>
  </si>
  <si>
    <t>Non-Capitalized</t>
  </si>
  <si>
    <t>Capitalized</t>
  </si>
  <si>
    <t>Description</t>
  </si>
  <si>
    <t>ANNUAL FINANCIAL REPORT</t>
  </si>
  <si>
    <t>Program Categories</t>
  </si>
  <si>
    <t>Instructional Program</t>
  </si>
  <si>
    <t>Actual Expenditures</t>
  </si>
  <si>
    <t>Salaries (0100)</t>
  </si>
  <si>
    <t>Employee Benefits (0200)</t>
  </si>
  <si>
    <t>Purchased Professional &amp; Technical Services (0300)</t>
  </si>
  <si>
    <t>Other Purchased Services (0500)</t>
  </si>
  <si>
    <t>Travel, Registration &amp; Entrance (0580)</t>
  </si>
  <si>
    <t>Supplies (0600)</t>
  </si>
  <si>
    <t>Subtotal Instructional Program</t>
  </si>
  <si>
    <t>Support Program</t>
  </si>
  <si>
    <t>Subtotal Support Program</t>
  </si>
  <si>
    <t>Indirect Cost Amount</t>
  </si>
  <si>
    <t>Grand Total</t>
  </si>
  <si>
    <t>Typed Name of Person Preparing Report</t>
  </si>
  <si>
    <t>Annual Financial Report (AFR)</t>
  </si>
  <si>
    <t>https://app.smartsheet.com/b/form/702de089fc6b45ac97c31f343c8f745f</t>
  </si>
  <si>
    <t>Cohort 6</t>
  </si>
  <si>
    <t>Cohort 6 - 5010</t>
  </si>
  <si>
    <t>Cohort 5 - 5010</t>
  </si>
  <si>
    <t>Cohort 4 -5010</t>
  </si>
  <si>
    <t>ESSER III - 4434</t>
  </si>
  <si>
    <t>ESSER3</t>
  </si>
  <si>
    <t>Werner Hagemann: 720-262-0870  - hagemann_w@cde.state.co.us</t>
  </si>
  <si>
    <t>Cohort 7</t>
  </si>
  <si>
    <t>Colorado Multi-Tiered System of Supports (COMTSS)</t>
  </si>
  <si>
    <t>Diagnostic and Targeted Grant</t>
  </si>
  <si>
    <t>Facilitated Board Training for School Improvement</t>
  </si>
  <si>
    <t>Rigorous Action through Redesign</t>
  </si>
  <si>
    <t>School Transformation Network</t>
  </si>
  <si>
    <t>Cohort 7 - 5010</t>
  </si>
  <si>
    <t>District Strategic Planning</t>
  </si>
  <si>
    <t>Cohort 4 (3227)</t>
  </si>
  <si>
    <t>Cohort 5 (3227)</t>
  </si>
  <si>
    <t>Cohort 6 (3227)</t>
  </si>
  <si>
    <t>Cohort 7 (3227)</t>
  </si>
  <si>
    <t>Cohort 4 (5010)</t>
  </si>
  <si>
    <t>Cohort 5 (5010)</t>
  </si>
  <si>
    <t>Cohort 6 (5010)</t>
  </si>
  <si>
    <t>Cohort 7 (5010)</t>
  </si>
  <si>
    <t>Cohort 4 -3227</t>
  </si>
  <si>
    <t>Cohort 5 - 3227</t>
  </si>
  <si>
    <t>Cohort 6 - 3227</t>
  </si>
  <si>
    <t>Cohort 7 - 3227</t>
  </si>
  <si>
    <t>FY 2024-25</t>
  </si>
  <si>
    <t>Colorado Department of Education</t>
  </si>
  <si>
    <t>Indirect Cost Rates - All Districts</t>
  </si>
  <si>
    <t>FINAL REPORT</t>
  </si>
  <si>
    <t>FY 2024-2025 Fixed With Carry Forward Indirect Cost Rate Calculations</t>
  </si>
  <si>
    <t>(Using FY 2022-2023 Pipeline Data)</t>
  </si>
  <si>
    <t>Organization Code</t>
  </si>
  <si>
    <t>Restricted Rate</t>
  </si>
  <si>
    <t>Nonrestricted Rate</t>
  </si>
  <si>
    <t>Weld RE-4</t>
  </si>
  <si>
    <t>8041</t>
  </si>
  <si>
    <t>Global Village Charter Collaborative</t>
  </si>
  <si>
    <t>8042</t>
  </si>
  <si>
    <t>Charter Choice Collaborative</t>
  </si>
  <si>
    <t>9025</t>
  </si>
  <si>
    <t>East Central BOCES</t>
  </si>
  <si>
    <t>9030</t>
  </si>
  <si>
    <t>Mountain BOCES</t>
  </si>
  <si>
    <t>Northeast BOCES</t>
  </si>
  <si>
    <t>9045</t>
  </si>
  <si>
    <t>Pikes Peak BOCES</t>
  </si>
  <si>
    <t>9055</t>
  </si>
  <si>
    <t>San Luis Valley BOCES</t>
  </si>
  <si>
    <t>South Central BOCES</t>
  </si>
  <si>
    <t>9075</t>
  </si>
  <si>
    <t>Southeastern BOCES</t>
  </si>
  <si>
    <t>9095</t>
  </si>
  <si>
    <t>Northwest Colorado BOCES</t>
  </si>
  <si>
    <t>9120</t>
  </si>
  <si>
    <t>Adams County BOCES</t>
  </si>
  <si>
    <t>Rio Blanco BOCES RE-1 &amp; RE-4</t>
  </si>
  <si>
    <t>9135</t>
  </si>
  <si>
    <t>Grand Valley BOCES</t>
  </si>
  <si>
    <t>Mt Evans BOCES</t>
  </si>
  <si>
    <t>9145</t>
  </si>
  <si>
    <t>Uncompahgre BOCES</t>
  </si>
  <si>
    <t>9150</t>
  </si>
  <si>
    <t>Santa Fe Trail BOCES</t>
  </si>
  <si>
    <t>9160</t>
  </si>
  <si>
    <t>Front Range BOCES</t>
  </si>
  <si>
    <t>9165</t>
  </si>
  <si>
    <t>Ute Pass BOCES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</si>
</sst>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 d\,\ yyyy"/>
    <numFmt numFmtId="165" formatCode="_(* #,##0_);_(* \(#,##0\);_(* &quot;-&quot;??_);_(@_)"/>
    <numFmt numFmtId="166" formatCode="[$-409]mmmm\ d\,\ yyyy;@"/>
    <numFmt numFmtId="167" formatCode="_(&quot;$&quot;* #,##0_);_(&quot;$&quot;* \(#,##0\);_(&quot;$&quot;* &quot;-&quot;??_);_(@_)"/>
    <numFmt numFmtId="168" formatCode="m/d/yy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454545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sz val="10"/>
      <color rgb="FF454545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u/>
      <sz val="16"/>
      <name val="Calibri"/>
      <family val="2"/>
      <scheme val="minor"/>
    </font>
    <font>
      <sz val="12"/>
      <name val="Calibri"/>
      <family val="2"/>
      <scheme val="minor"/>
    </font>
    <font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7E5E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E5E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E2E2E2"/>
      </left>
      <right style="medium">
        <color rgb="FFE2E2E2"/>
      </right>
      <top/>
      <bottom/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/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/>
      <right/>
      <top style="medium">
        <color rgb="FFE2E2E2"/>
      </top>
      <bottom style="medium">
        <color rgb="FFE2E2E2"/>
      </bottom>
      <diagonal/>
    </border>
    <border>
      <left style="medium">
        <color rgb="FFE2E2E2"/>
      </left>
      <right/>
      <top style="medium">
        <color rgb="FFE2E2E2"/>
      </top>
      <bottom style="medium">
        <color rgb="FFE2E2E2"/>
      </bottom>
      <diagonal/>
    </border>
    <border>
      <left style="medium">
        <color rgb="FFE2E2E2"/>
      </left>
      <right/>
      <top/>
      <bottom style="medium">
        <color rgb="FFE2E2E2"/>
      </bottom>
      <diagonal/>
    </border>
    <border>
      <left/>
      <right/>
      <top/>
      <bottom style="medium">
        <color rgb="FFE2E2E2"/>
      </bottom>
      <diagonal/>
    </border>
    <border>
      <left style="medium">
        <color rgb="FFE2E2E2"/>
      </left>
      <right/>
      <top/>
      <bottom/>
      <diagonal/>
    </border>
    <border>
      <left/>
      <right style="medium">
        <color rgb="FFE2E2E2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0C0C0"/>
      </bottom>
      <diagonal/>
    </border>
    <border>
      <left/>
      <right/>
      <top style="medium">
        <color rgb="FFC0C0C0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0" fontId="20" fillId="0" borderId="0"/>
  </cellStyleXfs>
  <cellXfs count="205">
    <xf numFmtId="0" fontId="0" fillId="0" borderId="0" xfId="0"/>
    <xf numFmtId="0" fontId="2" fillId="2" borderId="1" xfId="0" applyFont="1" applyFill="1" applyBorder="1" applyAlignment="1">
      <alignment horizontal="center" vertical="top"/>
    </xf>
    <xf numFmtId="0" fontId="3" fillId="0" borderId="0" xfId="0" applyFont="1"/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3" fillId="0" borderId="3" xfId="0" applyFont="1" applyBorder="1"/>
    <xf numFmtId="164" fontId="3" fillId="0" borderId="0" xfId="0" applyNumberFormat="1" applyFont="1" applyAlignment="1">
      <alignment vertical="top"/>
    </xf>
    <xf numFmtId="3" fontId="3" fillId="0" borderId="0" xfId="0" applyNumberFormat="1" applyFont="1" applyAlignment="1">
      <alignment vertical="top"/>
    </xf>
    <xf numFmtId="19" fontId="3" fillId="0" borderId="0" xfId="0" applyNumberFormat="1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2" fillId="2" borderId="2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4" fillId="0" borderId="23" xfId="0" applyFont="1" applyBorder="1" applyAlignment="1">
      <alignment horizontal="left" vertical="top"/>
    </xf>
    <xf numFmtId="0" fontId="4" fillId="0" borderId="24" xfId="0" applyFont="1" applyBorder="1" applyAlignment="1">
      <alignment horizontal="left" vertical="top"/>
    </xf>
    <xf numFmtId="0" fontId="4" fillId="0" borderId="25" xfId="0" applyFont="1" applyBorder="1" applyAlignment="1">
      <alignment horizontal="left" vertical="top"/>
    </xf>
    <xf numFmtId="0" fontId="4" fillId="0" borderId="26" xfId="0" applyFont="1" applyBorder="1" applyAlignment="1">
      <alignment horizontal="left" vertical="top"/>
    </xf>
    <xf numFmtId="0" fontId="4" fillId="0" borderId="27" xfId="0" applyFont="1" applyBorder="1" applyAlignment="1">
      <alignment horizontal="left" vertical="top"/>
    </xf>
    <xf numFmtId="0" fontId="2" fillId="0" borderId="0" xfId="0" applyFont="1" applyAlignment="1">
      <alignment horizontal="right" vertical="top"/>
    </xf>
    <xf numFmtId="0" fontId="3" fillId="0" borderId="0" xfId="0" applyFont="1" applyAlignment="1">
      <alignment horizontal="right"/>
    </xf>
    <xf numFmtId="0" fontId="3" fillId="3" borderId="0" xfId="0" applyFont="1" applyFill="1"/>
    <xf numFmtId="0" fontId="7" fillId="0" borderId="0" xfId="0" applyFont="1" applyAlignment="1">
      <alignment horizontal="right" vertical="top"/>
    </xf>
    <xf numFmtId="0" fontId="8" fillId="0" borderId="28" xfId="0" applyFont="1" applyBorder="1" applyAlignment="1">
      <alignment horizontal="left" vertical="top"/>
    </xf>
    <xf numFmtId="0" fontId="8" fillId="0" borderId="20" xfId="0" applyFont="1" applyBorder="1" applyAlignment="1">
      <alignment horizontal="left" vertical="top"/>
    </xf>
    <xf numFmtId="0" fontId="8" fillId="0" borderId="22" xfId="0" applyFont="1" applyBorder="1" applyAlignment="1">
      <alignment horizontal="left" vertical="top"/>
    </xf>
    <xf numFmtId="0" fontId="11" fillId="0" borderId="29" xfId="3" applyFont="1" applyBorder="1" applyAlignment="1">
      <alignment horizontal="center" vertical="top" wrapText="1"/>
    </xf>
    <xf numFmtId="0" fontId="11" fillId="0" borderId="29" xfId="3" applyFont="1" applyBorder="1" applyAlignment="1">
      <alignment horizontal="center" vertical="top"/>
    </xf>
    <xf numFmtId="165" fontId="11" fillId="0" borderId="29" xfId="2" applyNumberFormat="1" applyFont="1" applyFill="1" applyBorder="1" applyAlignment="1">
      <alignment horizontal="center" vertical="top" wrapText="1"/>
    </xf>
    <xf numFmtId="0" fontId="3" fillId="0" borderId="0" xfId="0" quotePrefix="1" applyFont="1"/>
    <xf numFmtId="0" fontId="3" fillId="0" borderId="0" xfId="0" quotePrefix="1" applyFont="1" applyAlignment="1">
      <alignment horizontal="center"/>
    </xf>
    <xf numFmtId="165" fontId="3" fillId="0" borderId="0" xfId="2" applyNumberFormat="1" applyFont="1" applyFill="1"/>
    <xf numFmtId="165" fontId="9" fillId="0" borderId="30" xfId="2" applyNumberFormat="1" applyFont="1" applyFill="1" applyBorder="1"/>
    <xf numFmtId="165" fontId="3" fillId="0" borderId="0" xfId="2" applyNumberFormat="1" applyFont="1" applyFill="1" applyBorder="1"/>
    <xf numFmtId="165" fontId="0" fillId="0" borderId="0" xfId="0" applyNumberFormat="1"/>
    <xf numFmtId="18" fontId="11" fillId="5" borderId="0" xfId="0" applyNumberFormat="1" applyFont="1" applyFill="1" applyProtection="1">
      <protection hidden="1"/>
    </xf>
    <xf numFmtId="0" fontId="13" fillId="5" borderId="0" xfId="0" applyFont="1" applyFill="1" applyProtection="1">
      <protection hidden="1"/>
    </xf>
    <xf numFmtId="0" fontId="11" fillId="5" borderId="0" xfId="0" applyFont="1" applyFill="1" applyProtection="1">
      <protection hidden="1"/>
    </xf>
    <xf numFmtId="0" fontId="13" fillId="3" borderId="0" xfId="0" applyFont="1" applyFill="1" applyAlignment="1" applyProtection="1">
      <alignment horizontal="center"/>
      <protection hidden="1"/>
    </xf>
    <xf numFmtId="0" fontId="13" fillId="3" borderId="0" xfId="0" applyFont="1" applyFill="1" applyProtection="1">
      <protection hidden="1"/>
    </xf>
    <xf numFmtId="165" fontId="3" fillId="6" borderId="18" xfId="2" applyNumberFormat="1" applyFont="1" applyFill="1" applyBorder="1" applyProtection="1">
      <protection locked="0"/>
    </xf>
    <xf numFmtId="165" fontId="3" fillId="6" borderId="4" xfId="2" applyNumberFormat="1" applyFont="1" applyFill="1" applyBorder="1" applyProtection="1">
      <protection locked="0"/>
    </xf>
    <xf numFmtId="165" fontId="3" fillId="6" borderId="6" xfId="2" applyNumberFormat="1" applyFont="1" applyFill="1" applyBorder="1" applyProtection="1">
      <protection locked="0" hidden="1"/>
    </xf>
    <xf numFmtId="0" fontId="3" fillId="6" borderId="0" xfId="7" applyFont="1" applyFill="1" applyProtection="1">
      <protection hidden="1"/>
    </xf>
    <xf numFmtId="0" fontId="0" fillId="6" borderId="0" xfId="0" applyFill="1"/>
    <xf numFmtId="0" fontId="3" fillId="6" borderId="29" xfId="7" applyFont="1" applyFill="1" applyBorder="1" applyProtection="1">
      <protection hidden="1"/>
    </xf>
    <xf numFmtId="0" fontId="9" fillId="6" borderId="29" xfId="7" applyFont="1" applyFill="1" applyBorder="1" applyAlignment="1" applyProtection="1">
      <alignment horizontal="center"/>
      <protection hidden="1"/>
    </xf>
    <xf numFmtId="0" fontId="9" fillId="6" borderId="29" xfId="7" applyFont="1" applyFill="1" applyBorder="1" applyAlignment="1" applyProtection="1">
      <alignment horizontal="center" wrapText="1"/>
      <protection hidden="1"/>
    </xf>
    <xf numFmtId="0" fontId="3" fillId="6" borderId="51" xfId="7" applyFont="1" applyFill="1" applyBorder="1" applyProtection="1">
      <protection hidden="1"/>
    </xf>
    <xf numFmtId="0" fontId="3" fillId="6" borderId="52" xfId="7" applyFont="1" applyFill="1" applyBorder="1" applyAlignment="1" applyProtection="1">
      <alignment horizontal="right"/>
      <protection hidden="1"/>
    </xf>
    <xf numFmtId="165" fontId="3" fillId="6" borderId="18" xfId="2" applyNumberFormat="1" applyFont="1" applyFill="1" applyBorder="1" applyProtection="1">
      <protection hidden="1"/>
    </xf>
    <xf numFmtId="165" fontId="3" fillId="6" borderId="46" xfId="2" applyNumberFormat="1" applyFont="1" applyFill="1" applyBorder="1" applyProtection="1">
      <protection hidden="1"/>
    </xf>
    <xf numFmtId="0" fontId="3" fillId="6" borderId="41" xfId="7" applyFont="1" applyFill="1" applyBorder="1" applyProtection="1">
      <protection hidden="1"/>
    </xf>
    <xf numFmtId="0" fontId="3" fillId="6" borderId="53" xfId="7" applyFont="1" applyFill="1" applyBorder="1" applyAlignment="1" applyProtection="1">
      <alignment horizontal="right"/>
      <protection hidden="1"/>
    </xf>
    <xf numFmtId="165" fontId="3" fillId="6" borderId="6" xfId="2" applyNumberFormat="1" applyFont="1" applyFill="1" applyBorder="1" applyProtection="1">
      <protection hidden="1"/>
    </xf>
    <xf numFmtId="0" fontId="3" fillId="6" borderId="54" xfId="7" applyFont="1" applyFill="1" applyBorder="1" applyProtection="1">
      <protection hidden="1"/>
    </xf>
    <xf numFmtId="0" fontId="3" fillId="6" borderId="55" xfId="7" applyFont="1" applyFill="1" applyBorder="1" applyAlignment="1" applyProtection="1">
      <alignment horizontal="right"/>
      <protection hidden="1"/>
    </xf>
    <xf numFmtId="0" fontId="9" fillId="6" borderId="56" xfId="7" applyFont="1" applyFill="1" applyBorder="1" applyAlignment="1" applyProtection="1">
      <alignment horizontal="right"/>
      <protection hidden="1"/>
    </xf>
    <xf numFmtId="165" fontId="3" fillId="6" borderId="4" xfId="2" applyNumberFormat="1" applyFont="1" applyFill="1" applyBorder="1" applyProtection="1">
      <protection hidden="1"/>
    </xf>
    <xf numFmtId="0" fontId="9" fillId="6" borderId="0" xfId="7" applyFont="1" applyFill="1" applyProtection="1">
      <protection hidden="1"/>
    </xf>
    <xf numFmtId="3" fontId="3" fillId="6" borderId="0" xfId="7" applyNumberFormat="1" applyFont="1" applyFill="1" applyProtection="1">
      <protection hidden="1"/>
    </xf>
    <xf numFmtId="3" fontId="3" fillId="6" borderId="49" xfId="7" applyNumberFormat="1" applyFont="1" applyFill="1" applyBorder="1" applyProtection="1">
      <protection hidden="1"/>
    </xf>
    <xf numFmtId="0" fontId="3" fillId="6" borderId="44" xfId="7" applyFont="1" applyFill="1" applyBorder="1" applyProtection="1">
      <protection hidden="1"/>
    </xf>
    <xf numFmtId="0" fontId="3" fillId="6" borderId="46" xfId="7" applyFont="1" applyFill="1" applyBorder="1" applyAlignment="1" applyProtection="1">
      <alignment horizontal="right"/>
      <protection hidden="1"/>
    </xf>
    <xf numFmtId="0" fontId="3" fillId="6" borderId="5" xfId="7" applyFont="1" applyFill="1" applyBorder="1" applyProtection="1">
      <protection hidden="1"/>
    </xf>
    <xf numFmtId="0" fontId="3" fillId="6" borderId="6" xfId="7" applyFont="1" applyFill="1" applyBorder="1" applyAlignment="1" applyProtection="1">
      <alignment horizontal="right"/>
      <protection hidden="1"/>
    </xf>
    <xf numFmtId="0" fontId="9" fillId="6" borderId="6" xfId="7" applyFont="1" applyFill="1" applyBorder="1" applyAlignment="1" applyProtection="1">
      <alignment horizontal="right"/>
      <protection hidden="1"/>
    </xf>
    <xf numFmtId="0" fontId="3" fillId="6" borderId="35" xfId="7" applyFont="1" applyFill="1" applyBorder="1" applyProtection="1">
      <protection hidden="1"/>
    </xf>
    <xf numFmtId="0" fontId="9" fillId="6" borderId="49" xfId="7" applyFont="1" applyFill="1" applyBorder="1" applyAlignment="1" applyProtection="1">
      <alignment horizontal="right"/>
      <protection hidden="1"/>
    </xf>
    <xf numFmtId="165" fontId="3" fillId="6" borderId="0" xfId="2" applyNumberFormat="1" applyFont="1" applyFill="1" applyBorder="1" applyProtection="1">
      <protection hidden="1"/>
    </xf>
    <xf numFmtId="165" fontId="3" fillId="6" borderId="49" xfId="2" applyNumberFormat="1" applyFont="1" applyFill="1" applyBorder="1" applyProtection="1">
      <protection hidden="1"/>
    </xf>
    <xf numFmtId="0" fontId="3" fillId="6" borderId="49" xfId="7" applyFont="1" applyFill="1" applyBorder="1" applyAlignment="1" applyProtection="1">
      <alignment horizontal="right"/>
      <protection hidden="1"/>
    </xf>
    <xf numFmtId="0" fontId="3" fillId="6" borderId="7" xfId="7" applyFont="1" applyFill="1" applyBorder="1" applyProtection="1">
      <protection hidden="1"/>
    </xf>
    <xf numFmtId="0" fontId="9" fillId="6" borderId="9" xfId="7" applyFont="1" applyFill="1" applyBorder="1" applyAlignment="1" applyProtection="1">
      <alignment horizontal="right"/>
      <protection hidden="1"/>
    </xf>
    <xf numFmtId="165" fontId="9" fillId="6" borderId="19" xfId="2" applyNumberFormat="1" applyFont="1" applyFill="1" applyBorder="1" applyProtection="1">
      <protection hidden="1"/>
    </xf>
    <xf numFmtId="165" fontId="9" fillId="6" borderId="8" xfId="2" applyNumberFormat="1" applyFont="1" applyFill="1" applyBorder="1" applyProtection="1">
      <protection hidden="1"/>
    </xf>
    <xf numFmtId="165" fontId="9" fillId="6" borderId="9" xfId="2" applyNumberFormat="1" applyFont="1" applyFill="1" applyBorder="1" applyProtection="1">
      <protection hidden="1"/>
    </xf>
    <xf numFmtId="165" fontId="9" fillId="6" borderId="0" xfId="2" applyNumberFormat="1" applyFont="1" applyFill="1" applyBorder="1" applyProtection="1">
      <protection hidden="1"/>
    </xf>
    <xf numFmtId="0" fontId="3" fillId="6" borderId="0" xfId="7" applyFont="1" applyFill="1" applyAlignment="1" applyProtection="1">
      <alignment horizontal="right"/>
      <protection hidden="1"/>
    </xf>
    <xf numFmtId="0" fontId="9" fillId="6" borderId="57" xfId="7" applyFont="1" applyFill="1" applyBorder="1" applyAlignment="1" applyProtection="1">
      <alignment horizontal="right"/>
      <protection hidden="1"/>
    </xf>
    <xf numFmtId="165" fontId="9" fillId="6" borderId="58" xfId="7" applyNumberFormat="1" applyFont="1" applyFill="1" applyBorder="1" applyProtection="1">
      <protection hidden="1"/>
    </xf>
    <xf numFmtId="43" fontId="0" fillId="6" borderId="0" xfId="0" applyNumberFormat="1" applyFill="1"/>
    <xf numFmtId="43" fontId="3" fillId="6" borderId="0" xfId="7" applyNumberFormat="1" applyFont="1" applyFill="1" applyProtection="1">
      <protection hidden="1"/>
    </xf>
    <xf numFmtId="0" fontId="3" fillId="6" borderId="0" xfId="7" applyFont="1" applyFill="1" applyAlignment="1" applyProtection="1">
      <alignment horizontal="center"/>
      <protection hidden="1"/>
    </xf>
    <xf numFmtId="0" fontId="3" fillId="6" borderId="0" xfId="0" applyFont="1" applyFill="1"/>
    <xf numFmtId="0" fontId="9" fillId="6" borderId="35" xfId="0" applyFont="1" applyFill="1" applyBorder="1" applyAlignment="1" applyProtection="1">
      <alignment horizontal="center"/>
      <protection hidden="1"/>
    </xf>
    <xf numFmtId="0" fontId="9" fillId="6" borderId="0" xfId="0" applyFont="1" applyFill="1" applyAlignment="1" applyProtection="1">
      <alignment horizontal="center"/>
      <protection hidden="1"/>
    </xf>
    <xf numFmtId="44" fontId="9" fillId="6" borderId="40" xfId="1" applyFont="1" applyFill="1" applyBorder="1" applyAlignment="1" applyProtection="1">
      <alignment vertical="center"/>
      <protection hidden="1"/>
    </xf>
    <xf numFmtId="44" fontId="9" fillId="6" borderId="34" xfId="1" applyFont="1" applyFill="1" applyBorder="1" applyAlignment="1" applyProtection="1">
      <alignment vertical="center"/>
      <protection hidden="1"/>
    </xf>
    <xf numFmtId="44" fontId="9" fillId="6" borderId="34" xfId="1" applyFont="1" applyFill="1" applyBorder="1" applyAlignment="1" applyProtection="1">
      <alignment horizontal="right" vertical="center"/>
      <protection hidden="1"/>
    </xf>
    <xf numFmtId="44" fontId="9" fillId="6" borderId="34" xfId="1" applyFont="1" applyFill="1" applyBorder="1" applyAlignment="1" applyProtection="1">
      <alignment horizontal="center" vertical="center"/>
      <protection hidden="1"/>
    </xf>
    <xf numFmtId="44" fontId="5" fillId="6" borderId="34" xfId="1" applyFont="1" applyFill="1" applyBorder="1" applyAlignment="1" applyProtection="1">
      <protection hidden="1"/>
    </xf>
    <xf numFmtId="44" fontId="9" fillId="6" borderId="33" xfId="1" applyFont="1" applyFill="1" applyBorder="1" applyAlignment="1" applyProtection="1">
      <alignment vertical="center"/>
      <protection hidden="1"/>
    </xf>
    <xf numFmtId="0" fontId="9" fillId="6" borderId="12" xfId="0" applyFont="1" applyFill="1" applyBorder="1" applyAlignment="1" applyProtection="1">
      <alignment horizontal="center"/>
      <protection hidden="1"/>
    </xf>
    <xf numFmtId="0" fontId="9" fillId="6" borderId="17" xfId="0" applyFont="1" applyFill="1" applyBorder="1" applyAlignment="1" applyProtection="1">
      <alignment horizontal="center"/>
      <protection hidden="1"/>
    </xf>
    <xf numFmtId="0" fontId="9" fillId="6" borderId="13" xfId="0" applyFont="1" applyFill="1" applyBorder="1" applyAlignment="1" applyProtection="1">
      <alignment horizontal="center"/>
      <protection hidden="1"/>
    </xf>
    <xf numFmtId="44" fontId="9" fillId="6" borderId="43" xfId="1" applyFont="1" applyFill="1" applyBorder="1" applyAlignment="1" applyProtection="1">
      <alignment horizontal="center"/>
      <protection hidden="1"/>
    </xf>
    <xf numFmtId="0" fontId="9" fillId="6" borderId="0" xfId="0" applyFont="1" applyFill="1" applyAlignment="1">
      <alignment horizontal="center"/>
    </xf>
    <xf numFmtId="0" fontId="3" fillId="6" borderId="10" xfId="0" applyFont="1" applyFill="1" applyBorder="1" applyProtection="1">
      <protection locked="0"/>
    </xf>
    <xf numFmtId="0" fontId="3" fillId="6" borderId="18" xfId="0" applyFont="1" applyFill="1" applyBorder="1"/>
    <xf numFmtId="0" fontId="3" fillId="6" borderId="41" xfId="0" applyFont="1" applyFill="1" applyBorder="1" applyProtection="1">
      <protection hidden="1"/>
    </xf>
    <xf numFmtId="0" fontId="3" fillId="6" borderId="4" xfId="0" applyFont="1" applyFill="1" applyBorder="1" applyProtection="1">
      <protection locked="0"/>
    </xf>
    <xf numFmtId="0" fontId="3" fillId="6" borderId="45" xfId="0" applyFont="1" applyFill="1" applyBorder="1" applyProtection="1">
      <protection locked="0"/>
    </xf>
    <xf numFmtId="0" fontId="3" fillId="6" borderId="4" xfId="0" applyFont="1" applyFill="1" applyBorder="1" applyAlignment="1" applyProtection="1">
      <alignment horizontal="center"/>
      <protection locked="0"/>
    </xf>
    <xf numFmtId="44" fontId="3" fillId="6" borderId="4" xfId="1" applyFont="1" applyFill="1" applyBorder="1" applyProtection="1">
      <protection locked="0"/>
    </xf>
    <xf numFmtId="0" fontId="3" fillId="6" borderId="5" xfId="0" applyFont="1" applyFill="1" applyBorder="1" applyProtection="1">
      <protection locked="0"/>
    </xf>
    <xf numFmtId="0" fontId="3" fillId="6" borderId="6" xfId="0" applyFont="1" applyFill="1" applyBorder="1" applyAlignment="1" applyProtection="1">
      <alignment wrapText="1"/>
      <protection locked="0"/>
    </xf>
    <xf numFmtId="0" fontId="3" fillId="6" borderId="5" xfId="0" quotePrefix="1" applyFont="1" applyFill="1" applyBorder="1" applyProtection="1">
      <protection locked="0"/>
    </xf>
    <xf numFmtId="0" fontId="3" fillId="6" borderId="41" xfId="0" applyFont="1" applyFill="1" applyBorder="1"/>
    <xf numFmtId="0" fontId="3" fillId="6" borderId="4" xfId="0" applyFont="1" applyFill="1" applyBorder="1"/>
    <xf numFmtId="0" fontId="3" fillId="6" borderId="19" xfId="0" applyFont="1" applyFill="1" applyBorder="1"/>
    <xf numFmtId="0" fontId="3" fillId="6" borderId="42" xfId="0" applyFont="1" applyFill="1" applyBorder="1"/>
    <xf numFmtId="0" fontId="3" fillId="6" borderId="8" xfId="0" applyFont="1" applyFill="1" applyBorder="1" applyProtection="1">
      <protection locked="0"/>
    </xf>
    <xf numFmtId="0" fontId="3" fillId="6" borderId="0" xfId="0" applyFont="1" applyFill="1" applyProtection="1">
      <protection locked="0"/>
    </xf>
    <xf numFmtId="0" fontId="3" fillId="6" borderId="0" xfId="0" applyFont="1" applyFill="1" applyAlignment="1">
      <alignment horizontal="center"/>
    </xf>
    <xf numFmtId="44" fontId="3" fillId="6" borderId="0" xfId="1" applyFont="1" applyFill="1"/>
    <xf numFmtId="0" fontId="9" fillId="6" borderId="61" xfId="0" applyFont="1" applyFill="1" applyBorder="1" applyAlignment="1" applyProtection="1">
      <alignment horizontal="center"/>
      <protection hidden="1"/>
    </xf>
    <xf numFmtId="44" fontId="9" fillId="6" borderId="60" xfId="1" applyFont="1" applyFill="1" applyBorder="1" applyAlignment="1" applyProtection="1">
      <alignment horizontal="center"/>
      <protection hidden="1"/>
    </xf>
    <xf numFmtId="0" fontId="13" fillId="7" borderId="0" xfId="0" applyFont="1" applyFill="1" applyAlignment="1" applyProtection="1">
      <alignment horizontal="center"/>
      <protection hidden="1"/>
    </xf>
    <xf numFmtId="0" fontId="13" fillId="7" borderId="0" xfId="0" applyFont="1" applyFill="1" applyAlignment="1" applyProtection="1">
      <alignment horizontal="right"/>
      <protection hidden="1"/>
    </xf>
    <xf numFmtId="0" fontId="13" fillId="7" borderId="0" xfId="0" applyFont="1" applyFill="1" applyProtection="1">
      <protection hidden="1"/>
    </xf>
    <xf numFmtId="0" fontId="11" fillId="7" borderId="0" xfId="5" applyFont="1" applyFill="1" applyAlignment="1" applyProtection="1">
      <alignment horizontal="right" vertical="center"/>
      <protection locked="0" hidden="1"/>
    </xf>
    <xf numFmtId="49" fontId="13" fillId="7" borderId="0" xfId="6" quotePrefix="1" applyNumberFormat="1" applyFont="1" applyFill="1" applyBorder="1" applyAlignment="1" applyProtection="1">
      <alignment horizontal="right"/>
      <protection locked="0" hidden="1"/>
    </xf>
    <xf numFmtId="0" fontId="13" fillId="7" borderId="0" xfId="0" applyFont="1" applyFill="1" applyAlignment="1" applyProtection="1">
      <alignment vertical="top"/>
      <protection hidden="1"/>
    </xf>
    <xf numFmtId="0" fontId="11" fillId="7" borderId="0" xfId="0" applyFont="1" applyFill="1" applyAlignment="1" applyProtection="1">
      <alignment horizontal="right" vertical="center"/>
      <protection locked="0" hidden="1"/>
    </xf>
    <xf numFmtId="49" fontId="13" fillId="7" borderId="4" xfId="6" quotePrefix="1" applyNumberFormat="1" applyFont="1" applyFill="1" applyBorder="1" applyAlignment="1" applyProtection="1">
      <alignment horizontal="right"/>
      <protection locked="0" hidden="1"/>
    </xf>
    <xf numFmtId="0" fontId="11" fillId="7" borderId="0" xfId="0" applyFont="1" applyFill="1" applyAlignment="1" applyProtection="1">
      <alignment horizontal="right" vertical="center"/>
      <protection hidden="1"/>
    </xf>
    <xf numFmtId="10" fontId="13" fillId="7" borderId="0" xfId="6" applyNumberFormat="1" applyFont="1" applyFill="1" applyProtection="1">
      <protection hidden="1"/>
    </xf>
    <xf numFmtId="0" fontId="11" fillId="7" borderId="0" xfId="0" applyFont="1" applyFill="1" applyAlignment="1" applyProtection="1">
      <alignment horizontal="right"/>
      <protection hidden="1"/>
    </xf>
    <xf numFmtId="0" fontId="11" fillId="7" borderId="4" xfId="5" applyFont="1" applyFill="1" applyBorder="1" applyAlignment="1" applyProtection="1">
      <alignment horizontal="center"/>
      <protection locked="0" hidden="1"/>
    </xf>
    <xf numFmtId="0" fontId="13" fillId="7" borderId="4" xfId="5" applyFont="1" applyFill="1" applyBorder="1" applyAlignment="1" applyProtection="1">
      <alignment horizontal="center"/>
      <protection locked="0" hidden="1"/>
    </xf>
    <xf numFmtId="166" fontId="13" fillId="7" borderId="4" xfId="5" applyNumberFormat="1" applyFont="1" applyFill="1" applyBorder="1" applyAlignment="1" applyProtection="1">
      <alignment horizontal="center"/>
      <protection locked="0" hidden="1"/>
    </xf>
    <xf numFmtId="0" fontId="19" fillId="7" borderId="0" xfId="4" applyFont="1" applyFill="1" applyBorder="1" applyAlignment="1" applyProtection="1">
      <protection hidden="1"/>
    </xf>
    <xf numFmtId="0" fontId="15" fillId="7" borderId="0" xfId="4" applyFont="1" applyFill="1" applyBorder="1" applyAlignment="1" applyProtection="1">
      <protection hidden="1"/>
    </xf>
    <xf numFmtId="0" fontId="14" fillId="7" borderId="0" xfId="0" applyFont="1" applyFill="1" applyAlignment="1" applyProtection="1">
      <alignment horizontal="right"/>
      <protection hidden="1"/>
    </xf>
    <xf numFmtId="0" fontId="13" fillId="7" borderId="0" xfId="0" quotePrefix="1" applyFont="1" applyFill="1" applyAlignment="1" applyProtection="1">
      <alignment horizontal="left"/>
      <protection hidden="1"/>
    </xf>
    <xf numFmtId="0" fontId="13" fillId="7" borderId="0" xfId="0" applyFont="1" applyFill="1" applyAlignment="1" applyProtection="1">
      <alignment horizontal="left"/>
      <protection hidden="1"/>
    </xf>
    <xf numFmtId="0" fontId="11" fillId="7" borderId="0" xfId="0" applyFont="1" applyFill="1" applyProtection="1">
      <protection hidden="1"/>
    </xf>
    <xf numFmtId="0" fontId="13" fillId="7" borderId="35" xfId="0" applyFont="1" applyFill="1" applyBorder="1" applyProtection="1">
      <protection hidden="1"/>
    </xf>
    <xf numFmtId="0" fontId="11" fillId="7" borderId="11" xfId="0" quotePrefix="1" applyFont="1" applyFill="1" applyBorder="1" applyAlignment="1" applyProtection="1">
      <alignment horizontal="center"/>
      <protection hidden="1"/>
    </xf>
    <xf numFmtId="0" fontId="16" fillId="7" borderId="0" xfId="0" applyFont="1" applyFill="1" applyProtection="1">
      <protection hidden="1"/>
    </xf>
    <xf numFmtId="167" fontId="11" fillId="7" borderId="36" xfId="1" applyNumberFormat="1" applyFont="1" applyFill="1" applyBorder="1" applyAlignment="1" applyProtection="1">
      <alignment horizontal="right"/>
      <protection hidden="1"/>
    </xf>
    <xf numFmtId="167" fontId="13" fillId="7" borderId="37" xfId="1" applyNumberFormat="1" applyFont="1" applyFill="1" applyBorder="1" applyAlignment="1" applyProtection="1">
      <alignment horizontal="center"/>
      <protection hidden="1"/>
    </xf>
    <xf numFmtId="167" fontId="13" fillId="7" borderId="6" xfId="1" applyNumberFormat="1" applyFont="1" applyFill="1" applyBorder="1" applyAlignment="1" applyProtection="1">
      <alignment horizontal="center"/>
      <protection hidden="1"/>
    </xf>
    <xf numFmtId="167" fontId="13" fillId="7" borderId="53" xfId="1" applyNumberFormat="1" applyFont="1" applyFill="1" applyBorder="1" applyAlignment="1" applyProtection="1">
      <alignment horizontal="center"/>
      <protection hidden="1"/>
    </xf>
    <xf numFmtId="167" fontId="16" fillId="7" borderId="0" xfId="0" applyNumberFormat="1" applyFont="1" applyFill="1" applyProtection="1">
      <protection hidden="1"/>
    </xf>
    <xf numFmtId="167" fontId="11" fillId="7" borderId="35" xfId="1" applyNumberFormat="1" applyFont="1" applyFill="1" applyBorder="1" applyAlignment="1" applyProtection="1">
      <alignment horizontal="right"/>
      <protection hidden="1"/>
    </xf>
    <xf numFmtId="167" fontId="13" fillId="7" borderId="59" xfId="1" applyNumberFormat="1" applyFont="1" applyFill="1" applyBorder="1" applyAlignment="1" applyProtection="1">
      <alignment horizontal="center"/>
      <protection hidden="1"/>
    </xf>
    <xf numFmtId="167" fontId="13" fillId="7" borderId="49" xfId="1" applyNumberFormat="1" applyFont="1" applyFill="1" applyBorder="1" applyAlignment="1" applyProtection="1">
      <alignment horizontal="center"/>
      <protection hidden="1"/>
    </xf>
    <xf numFmtId="167" fontId="11" fillId="7" borderId="12" xfId="1" applyNumberFormat="1" applyFont="1" applyFill="1" applyBorder="1" applyAlignment="1" applyProtection="1">
      <alignment horizontal="right"/>
      <protection hidden="1"/>
    </xf>
    <xf numFmtId="167" fontId="11" fillId="7" borderId="38" xfId="1" applyNumberFormat="1" applyFont="1" applyFill="1" applyBorder="1" applyAlignment="1" applyProtection="1">
      <alignment horizontal="center"/>
      <protection hidden="1"/>
    </xf>
    <xf numFmtId="167" fontId="13" fillId="7" borderId="0" xfId="0" applyNumberFormat="1" applyFont="1" applyFill="1" applyProtection="1">
      <protection hidden="1"/>
    </xf>
    <xf numFmtId="0" fontId="21" fillId="0" borderId="0" xfId="8" applyFont="1" applyAlignment="1">
      <alignment horizontal="centerContinuous" vertical="center"/>
    </xf>
    <xf numFmtId="0" fontId="22" fillId="0" borderId="0" xfId="8" applyFont="1"/>
    <xf numFmtId="0" fontId="23" fillId="0" borderId="0" xfId="8" applyFont="1" applyAlignment="1">
      <alignment horizontal="centerContinuous" vertical="top"/>
    </xf>
    <xf numFmtId="0" fontId="23" fillId="0" borderId="0" xfId="8" applyFont="1" applyAlignment="1">
      <alignment horizontal="centerContinuous"/>
    </xf>
    <xf numFmtId="0" fontId="23" fillId="0" borderId="0" xfId="8" applyFont="1" applyAlignment="1">
      <alignment horizontal="centerContinuous" vertical="center"/>
    </xf>
    <xf numFmtId="0" fontId="22" fillId="0" borderId="0" xfId="8" applyFont="1" applyAlignment="1">
      <alignment horizontal="centerContinuous" vertical="center"/>
    </xf>
    <xf numFmtId="0" fontId="22" fillId="0" borderId="62" xfId="8" applyFont="1" applyBorder="1" applyAlignment="1">
      <alignment horizontal="centerContinuous" vertical="center"/>
    </xf>
    <xf numFmtId="0" fontId="22" fillId="0" borderId="63" xfId="8" applyFont="1" applyBorder="1" applyAlignment="1">
      <alignment horizontal="centerContinuous" vertical="center"/>
    </xf>
    <xf numFmtId="0" fontId="22" fillId="2" borderId="4" xfId="8" applyFont="1" applyFill="1" applyBorder="1" applyAlignment="1">
      <alignment vertical="top"/>
    </xf>
    <xf numFmtId="0" fontId="22" fillId="2" borderId="4" xfId="8" applyFont="1" applyFill="1" applyBorder="1" applyAlignment="1">
      <alignment horizontal="center" vertical="center"/>
    </xf>
    <xf numFmtId="0" fontId="22" fillId="0" borderId="4" xfId="8" applyFont="1" applyBorder="1" applyAlignment="1">
      <alignment vertical="top"/>
    </xf>
    <xf numFmtId="4" fontId="22" fillId="0" borderId="4" xfId="8" applyNumberFormat="1" applyFont="1" applyBorder="1" applyAlignment="1">
      <alignment horizontal="center" vertical="center"/>
    </xf>
    <xf numFmtId="0" fontId="22" fillId="0" borderId="4" xfId="8" quotePrefix="1" applyFont="1" applyBorder="1" applyAlignment="1">
      <alignment vertical="top"/>
    </xf>
    <xf numFmtId="168" fontId="22" fillId="0" borderId="0" xfId="8" applyNumberFormat="1" applyFont="1" applyAlignment="1">
      <alignment horizontal="left" vertical="top"/>
    </xf>
    <xf numFmtId="18" fontId="22" fillId="0" borderId="0" xfId="8" applyNumberFormat="1" applyFont="1" applyAlignment="1">
      <alignment horizontal="right" vertical="top"/>
    </xf>
    <xf numFmtId="0" fontId="3" fillId="6" borderId="7" xfId="0" applyFont="1" applyFill="1" applyBorder="1" applyProtection="1">
      <protection locked="0"/>
    </xf>
    <xf numFmtId="0" fontId="3" fillId="6" borderId="8" xfId="0" applyFont="1" applyFill="1" applyBorder="1" applyAlignment="1" applyProtection="1">
      <alignment horizontal="center"/>
      <protection locked="0"/>
    </xf>
    <xf numFmtId="44" fontId="3" fillId="6" borderId="8" xfId="1" applyFont="1" applyFill="1" applyBorder="1" applyProtection="1">
      <protection locked="0"/>
    </xf>
    <xf numFmtId="0" fontId="3" fillId="6" borderId="9" xfId="0" applyFont="1" applyFill="1" applyBorder="1" applyAlignment="1" applyProtection="1">
      <alignment wrapText="1"/>
      <protection locked="0"/>
    </xf>
    <xf numFmtId="0" fontId="15" fillId="7" borderId="4" xfId="4" applyFont="1" applyFill="1" applyBorder="1" applyAlignment="1" applyProtection="1">
      <alignment horizontal="left"/>
      <protection locked="0" hidden="1"/>
    </xf>
    <xf numFmtId="0" fontId="13" fillId="7" borderId="4" xfId="5" applyFont="1" applyFill="1" applyBorder="1" applyAlignment="1" applyProtection="1">
      <alignment horizontal="left"/>
      <protection locked="0" hidden="1"/>
    </xf>
    <xf numFmtId="0" fontId="11" fillId="7" borderId="31" xfId="0" applyFont="1" applyFill="1" applyBorder="1" applyAlignment="1" applyProtection="1">
      <alignment horizontal="center"/>
      <protection hidden="1"/>
    </xf>
    <xf numFmtId="0" fontId="11" fillId="7" borderId="39" xfId="0" applyFont="1" applyFill="1" applyBorder="1" applyAlignment="1" applyProtection="1">
      <alignment horizontal="center"/>
      <protection hidden="1"/>
    </xf>
    <xf numFmtId="0" fontId="11" fillId="7" borderId="32" xfId="0" applyFont="1" applyFill="1" applyBorder="1" applyAlignment="1" applyProtection="1">
      <alignment horizontal="center"/>
      <protection hidden="1"/>
    </xf>
    <xf numFmtId="0" fontId="11" fillId="7" borderId="33" xfId="0" applyFont="1" applyFill="1" applyBorder="1" applyAlignment="1" applyProtection="1">
      <alignment horizontal="center"/>
      <protection hidden="1"/>
    </xf>
    <xf numFmtId="0" fontId="11" fillId="7" borderId="40" xfId="0" applyFont="1" applyFill="1" applyBorder="1" applyAlignment="1" applyProtection="1">
      <alignment horizontal="center"/>
      <protection hidden="1"/>
    </xf>
    <xf numFmtId="0" fontId="11" fillId="7" borderId="34" xfId="0" applyFont="1" applyFill="1" applyBorder="1" applyAlignment="1" applyProtection="1">
      <alignment horizontal="center"/>
      <protection hidden="1"/>
    </xf>
    <xf numFmtId="0" fontId="11" fillId="7" borderId="0" xfId="0" applyFont="1" applyFill="1" applyAlignment="1" applyProtection="1">
      <alignment horizontal="center"/>
      <protection hidden="1"/>
    </xf>
    <xf numFmtId="18" fontId="11" fillId="7" borderId="0" xfId="0" applyNumberFormat="1" applyFont="1" applyFill="1" applyAlignment="1" applyProtection="1">
      <alignment horizontal="center"/>
      <protection hidden="1"/>
    </xf>
    <xf numFmtId="0" fontId="13" fillId="7" borderId="4" xfId="6" applyNumberFormat="1" applyFont="1" applyFill="1" applyBorder="1" applyAlignment="1" applyProtection="1">
      <alignment horizontal="center"/>
      <protection hidden="1"/>
    </xf>
    <xf numFmtId="0" fontId="14" fillId="7" borderId="0" xfId="0" quotePrefix="1" applyFont="1" applyFill="1" applyAlignment="1" applyProtection="1">
      <alignment horizontal="center"/>
      <protection hidden="1"/>
    </xf>
    <xf numFmtId="0" fontId="18" fillId="6" borderId="31" xfId="0" applyFont="1" applyFill="1" applyBorder="1" applyAlignment="1" applyProtection="1">
      <alignment horizontal="center"/>
      <protection hidden="1"/>
    </xf>
    <xf numFmtId="0" fontId="18" fillId="6" borderId="39" xfId="0" applyFont="1" applyFill="1" applyBorder="1" applyAlignment="1" applyProtection="1">
      <alignment horizontal="center"/>
      <protection hidden="1"/>
    </xf>
    <xf numFmtId="0" fontId="18" fillId="6" borderId="32" xfId="0" applyFont="1" applyFill="1" applyBorder="1" applyAlignment="1" applyProtection="1">
      <alignment horizontal="center"/>
      <protection hidden="1"/>
    </xf>
    <xf numFmtId="0" fontId="18" fillId="6" borderId="0" xfId="0" applyFont="1" applyFill="1" applyAlignment="1" applyProtection="1">
      <alignment horizontal="center"/>
      <protection hidden="1"/>
    </xf>
    <xf numFmtId="0" fontId="18" fillId="6" borderId="49" xfId="0" applyFont="1" applyFill="1" applyBorder="1" applyAlignment="1" applyProtection="1">
      <alignment horizontal="center"/>
      <protection hidden="1"/>
    </xf>
    <xf numFmtId="0" fontId="17" fillId="6" borderId="47" xfId="7" applyFont="1" applyFill="1" applyBorder="1" applyAlignment="1" applyProtection="1">
      <alignment horizontal="center" vertical="center"/>
      <protection hidden="1"/>
    </xf>
    <xf numFmtId="0" fontId="17" fillId="6" borderId="48" xfId="7" applyFont="1" applyFill="1" applyBorder="1" applyAlignment="1" applyProtection="1">
      <alignment horizontal="center" vertical="center"/>
      <protection hidden="1"/>
    </xf>
    <xf numFmtId="0" fontId="17" fillId="6" borderId="50" xfId="7" applyFont="1" applyFill="1" applyBorder="1" applyAlignment="1" applyProtection="1">
      <alignment horizontal="center" vertical="center"/>
      <protection hidden="1"/>
    </xf>
    <xf numFmtId="0" fontId="9" fillId="6" borderId="29" xfId="7" applyFont="1" applyFill="1" applyBorder="1" applyAlignment="1" applyProtection="1">
      <alignment horizontal="center"/>
      <protection hidden="1"/>
    </xf>
    <xf numFmtId="3" fontId="9" fillId="6" borderId="14" xfId="7" applyNumberFormat="1" applyFont="1" applyFill="1" applyBorder="1" applyAlignment="1" applyProtection="1">
      <alignment horizontal="center"/>
      <protection hidden="1"/>
    </xf>
    <xf numFmtId="3" fontId="9" fillId="6" borderId="15" xfId="7" applyNumberFormat="1" applyFont="1" applyFill="1" applyBorder="1" applyAlignment="1" applyProtection="1">
      <alignment horizontal="center"/>
      <protection hidden="1"/>
    </xf>
    <xf numFmtId="3" fontId="9" fillId="6" borderId="16" xfId="7" applyNumberFormat="1" applyFont="1" applyFill="1" applyBorder="1" applyAlignment="1" applyProtection="1">
      <alignment horizontal="center"/>
      <protection hidden="1"/>
    </xf>
    <xf numFmtId="0" fontId="9" fillId="6" borderId="14" xfId="7" applyFont="1" applyFill="1" applyBorder="1" applyAlignment="1" applyProtection="1">
      <alignment horizontal="center"/>
      <protection hidden="1"/>
    </xf>
    <xf numFmtId="0" fontId="9" fillId="6" borderId="15" xfId="7" applyFont="1" applyFill="1" applyBorder="1" applyAlignment="1" applyProtection="1">
      <alignment horizontal="center"/>
      <protection hidden="1"/>
    </xf>
    <xf numFmtId="0" fontId="9" fillId="6" borderId="16" xfId="7" applyFont="1" applyFill="1" applyBorder="1" applyAlignment="1" applyProtection="1">
      <alignment horizontal="center"/>
      <protection hidden="1"/>
    </xf>
    <xf numFmtId="49" fontId="9" fillId="6" borderId="14" xfId="7" applyNumberFormat="1" applyFont="1" applyFill="1" applyBorder="1" applyAlignment="1" applyProtection="1">
      <alignment horizontal="center"/>
      <protection hidden="1"/>
    </xf>
    <xf numFmtId="166" fontId="9" fillId="6" borderId="14" xfId="7" applyNumberFormat="1" applyFont="1" applyFill="1" applyBorder="1" applyAlignment="1" applyProtection="1">
      <alignment horizontal="center"/>
      <protection locked="0" hidden="1"/>
    </xf>
    <xf numFmtId="166" fontId="9" fillId="6" borderId="15" xfId="7" applyNumberFormat="1" applyFont="1" applyFill="1" applyBorder="1" applyAlignment="1" applyProtection="1">
      <alignment horizontal="center"/>
      <protection locked="0" hidden="1"/>
    </xf>
    <xf numFmtId="166" fontId="9" fillId="6" borderId="16" xfId="7" applyNumberFormat="1" applyFont="1" applyFill="1" applyBorder="1" applyAlignment="1" applyProtection="1">
      <alignment horizontal="center"/>
      <protection locked="0" hidden="1"/>
    </xf>
    <xf numFmtId="0" fontId="3" fillId="6" borderId="40" xfId="7" applyFont="1" applyFill="1" applyBorder="1" applyAlignment="1" applyProtection="1">
      <alignment horizontal="center"/>
      <protection locked="0" hidden="1"/>
    </xf>
    <xf numFmtId="0" fontId="3" fillId="6" borderId="39" xfId="7" applyFont="1" applyFill="1" applyBorder="1" applyAlignment="1" applyProtection="1">
      <alignment horizontal="center"/>
      <protection hidden="1"/>
    </xf>
    <xf numFmtId="0" fontId="3" fillId="6" borderId="4" xfId="0" applyFont="1" applyFill="1" applyBorder="1" applyProtection="1"/>
    <xf numFmtId="0" fontId="3" fillId="6" borderId="8" xfId="0" applyFont="1" applyFill="1" applyBorder="1" applyProtection="1"/>
  </cellXfs>
  <cellStyles count="9">
    <cellStyle name="Comma" xfId="2" builtinId="3"/>
    <cellStyle name="Currency" xfId="1" builtinId="4"/>
    <cellStyle name="Hyperlink" xfId="4" builtinId="8"/>
    <cellStyle name="Normal" xfId="0" builtinId="0"/>
    <cellStyle name="Normal 13" xfId="5" xr:uid="{00000000-0005-0000-0000-000004000000}"/>
    <cellStyle name="Normal 2" xfId="3" xr:uid="{00000000-0005-0000-0000-000005000000}"/>
    <cellStyle name="Normal 3" xfId="7" xr:uid="{00000000-0005-0000-0000-000006000000}"/>
    <cellStyle name="Normal 4" xfId="8" xr:uid="{B1F041B6-AD5F-4AD3-A422-0CD2D148AFEB}"/>
    <cellStyle name="Percent 2" xfId="6" xr:uid="{00000000-0005-0000-0000-000007000000}"/>
  </cellStyles>
  <dxfs count="953">
    <dxf>
      <fill>
        <patternFill>
          <bgColor indexed="22"/>
        </patternFill>
      </fill>
    </dxf>
    <dxf>
      <font>
        <strike/>
        <condense val="0"/>
        <extend val="0"/>
      </font>
      <fill>
        <patternFill>
          <bgColor indexed="2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rgb="FFE2E2E2"/>
        </left>
        <right style="medium">
          <color rgb="FFE2E2E2"/>
        </right>
        <top/>
        <bottom style="medium">
          <color rgb="FFE2E2E2"/>
        </bottom>
        <vertical/>
        <horizontal/>
      </border>
    </dxf>
    <dxf>
      <border outline="0">
        <right style="medium">
          <color rgb="FFE2E2E2"/>
        </right>
        <top style="medium">
          <color rgb="FFE2E2E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rgb="FFE2E2E2"/>
        </left>
        <right style="medium">
          <color rgb="FFE2E2E2"/>
        </right>
        <top/>
        <bottom style="medium">
          <color rgb="FFE2E2E2"/>
        </bottom>
        <vertical/>
        <horizontal/>
      </border>
    </dxf>
    <dxf>
      <border outline="0">
        <top style="medium">
          <color rgb="FFE2E2E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 style="medium">
          <color rgb="FFE2E2E2"/>
        </top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/>
        <top/>
        <bottom style="medium">
          <color rgb="FFE2E2E2"/>
        </bottom>
        <vertical/>
        <horizontal/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 style="medium">
          <color rgb="FFE2E2E2"/>
        </bottom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 style="medium">
          <color rgb="FFE2E2E2"/>
        </bottom>
      </border>
    </dxf>
    <dxf>
      <border outline="0">
        <left style="medium">
          <color rgb="FFE2E2E2"/>
        </left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  <border diagonalUp="0" diagonalDown="0" outline="0">
        <left style="medium">
          <color rgb="FFE2E2E2"/>
        </left>
        <right/>
        <top/>
        <bottom style="medium">
          <color rgb="FFE2E2E2"/>
        </bottom>
      </border>
    </dxf>
    <dxf>
      <border outline="0">
        <right style="medium">
          <color rgb="FFE2E2E2"/>
        </right>
        <top style="medium">
          <color rgb="FFE2E2E2"/>
        </top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border outline="0">
        <bottom style="medium">
          <color rgb="FFE2E2E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rgb="FFE2E2E2"/>
        </left>
        <right style="medium">
          <color rgb="FFE2E2E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rgb="FFE2E2E2"/>
        </left>
        <right style="medium">
          <color rgb="FFE2E2E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rgb="FFE2E2E2"/>
        </left>
        <right style="medium">
          <color rgb="FFE2E2E2"/>
        </right>
        <top/>
        <bottom/>
      </border>
    </dxf>
    <dxf>
      <border outline="0">
        <top style="medium">
          <color rgb="FFC0C0C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Calibri"/>
        <scheme val="minor"/>
      </font>
      <fill>
        <patternFill patternType="solid">
          <fgColor indexed="64"/>
          <bgColor rgb="FFE7E5E5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FF99CC"/>
      <color rgb="FFCC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230505</xdr:colOff>
      <xdr:row>0</xdr:row>
      <xdr:rowOff>259080</xdr:rowOff>
    </xdr:from>
    <xdr:ext cx="952500" cy="476250"/>
    <xdr:pic>
      <xdr:nvPicPr>
        <xdr:cNvPr id="2" name="cde_logo_fullColor-emblem.png" descr="Logo for Colorado Department if Education">
          <a:extLst>
            <a:ext uri="{FF2B5EF4-FFF2-40B4-BE49-F238E27FC236}">
              <a16:creationId xmlns:a16="http://schemas.microsoft.com/office/drawing/2014/main" id="{F3E6FB2D-7D37-4F7C-A029-C78F64550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505" y="259080"/>
          <a:ext cx="952500" cy="4762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Competitive%20Grants\Title%20I%20-%20SI\EASI%20-%20All%20Competitive%20Grants\AFR's\FY%2019-20%20EASI%20AFR%20Template.xlsx" TargetMode="External"/><Relationship Id="rId1" Type="http://schemas.openxmlformats.org/officeDocument/2006/relationships/externalLinkPath" Target="file:///S:\Competitive%20Grants\Title%20I%20-%20SI\EASI%20-%20All%20Competitive%20Grants\AFR's\FY%2019-20%20EASI%20AFR%20Templ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mpetitive%20Grants\Title%20I%20-%20SI\EASI%20-%20All%20Competitive%20Grants\EASI%20Recon%20and%20Balance%20Report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-Instructions"/>
      <sheetName val="Cover Page"/>
      <sheetName val="AFR Expenditure Detail"/>
      <sheetName val="Annual Financial Report"/>
      <sheetName val="Sheet2"/>
      <sheetName val="Other"/>
      <sheetName val="Sheet1"/>
      <sheetName val="9-Indirect Rates"/>
    </sheetNames>
    <sheetDataSet>
      <sheetData sheetId="0"/>
      <sheetData sheetId="1"/>
      <sheetData sheetId="2">
        <row r="1">
          <cell r="A1" t="str">
            <v xml:space="preserve">ESSA Application for School Improvement (EASI) </v>
          </cell>
          <cell r="B1"/>
          <cell r="C1"/>
          <cell r="D1"/>
          <cell r="E1"/>
          <cell r="F1"/>
          <cell r="G1"/>
          <cell r="H1"/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0XC"/>
      <sheetName val="Sheet1"/>
      <sheetName val="Distribution Report"/>
      <sheetName val="Sheet2"/>
      <sheetName val="Notes"/>
      <sheetName val="FAIN Award Amounts"/>
    </sheetNames>
    <sheetDataSet>
      <sheetData sheetId="0">
        <row r="1">
          <cell r="F1" t="str">
            <v>Route #</v>
          </cell>
          <cell r="G1" t="str">
            <v>Cohort 1</v>
          </cell>
          <cell r="H1" t="str">
            <v>Cohort 2</v>
          </cell>
          <cell r="I1" t="str">
            <v>Cohort 3</v>
          </cell>
          <cell r="J1" t="str">
            <v>Cohort 4</v>
          </cell>
          <cell r="K1" t="str">
            <v>Cohort 5</v>
          </cell>
          <cell r="L1" t="str">
            <v>Cohort ID</v>
          </cell>
          <cell r="M1"/>
          <cell r="N1" t="str">
            <v>Combine</v>
          </cell>
          <cell r="O1" t="str">
            <v>Federal Award Identification Number (FAIN)</v>
          </cell>
          <cell r="P1" t="str">
            <v>GRANT CODE</v>
          </cell>
          <cell r="Q1" t="str">
            <v>GBL</v>
          </cell>
          <cell r="R1" t="str">
            <v>Award Letter  Sent Date</v>
          </cell>
          <cell r="S1" t="str">
            <v>Request For Funds (RFF)</v>
          </cell>
          <cell r="T1" t="str">
            <v>FY 17-18 Cohort 1 ALLOCATION AMOUNT</v>
          </cell>
          <cell r="U1" t="str">
            <v>July</v>
          </cell>
          <cell r="V1"/>
          <cell r="W1" t="str">
            <v>August</v>
          </cell>
          <cell r="X1"/>
          <cell r="Y1" t="str">
            <v>September</v>
          </cell>
          <cell r="Z1"/>
          <cell r="AA1" t="str">
            <v>October</v>
          </cell>
          <cell r="AB1"/>
          <cell r="AC1" t="str">
            <v>November</v>
          </cell>
          <cell r="AD1"/>
          <cell r="AE1" t="str">
            <v>December</v>
          </cell>
          <cell r="AF1"/>
          <cell r="AG1" t="str">
            <v>January</v>
          </cell>
          <cell r="AH1"/>
          <cell r="AI1" t="str">
            <v>February</v>
          </cell>
          <cell r="AJ1"/>
          <cell r="AK1" t="str">
            <v>March</v>
          </cell>
          <cell r="AL1"/>
          <cell r="AM1" t="str">
            <v>April</v>
          </cell>
          <cell r="AN1"/>
          <cell r="AO1" t="str">
            <v>May</v>
          </cell>
          <cell r="AP1"/>
          <cell r="AQ1" t="str">
            <v>June</v>
          </cell>
          <cell r="AR1"/>
          <cell r="AS1" t="str">
            <v>Total Yearly Disbursed</v>
          </cell>
          <cell r="AT1"/>
          <cell r="AU1" t="str">
            <v>FY 17-18 BALANCE</v>
          </cell>
          <cell r="AV1" t="str">
            <v>Federal Award Identification Number (FAIN)</v>
          </cell>
          <cell r="AW1" t="str">
            <v>FY 18-19 Cohort 1 ALLOCATION AMOUNT</v>
          </cell>
          <cell r="AX1" t="str">
            <v>FY 18-19 Cohort 2 ALLOCATION AMOUNT</v>
          </cell>
          <cell r="AY1" t="str">
            <v>July</v>
          </cell>
          <cell r="AZ1"/>
          <cell r="BA1" t="str">
            <v>August</v>
          </cell>
          <cell r="BB1"/>
          <cell r="BC1" t="str">
            <v>September</v>
          </cell>
          <cell r="BD1"/>
          <cell r="BE1" t="str">
            <v>October</v>
          </cell>
          <cell r="BF1"/>
          <cell r="BG1" t="str">
            <v>November</v>
          </cell>
          <cell r="BH1"/>
          <cell r="BI1" t="str">
            <v>December</v>
          </cell>
          <cell r="BJ1"/>
          <cell r="BK1" t="str">
            <v>January</v>
          </cell>
          <cell r="BL1"/>
          <cell r="BM1" t="str">
            <v>February</v>
          </cell>
          <cell r="BN1"/>
          <cell r="BO1" t="str">
            <v>March</v>
          </cell>
          <cell r="BP1"/>
          <cell r="BQ1" t="str">
            <v>April</v>
          </cell>
          <cell r="BR1"/>
          <cell r="BS1" t="str">
            <v>May</v>
          </cell>
          <cell r="BT1"/>
          <cell r="BU1" t="str">
            <v>June</v>
          </cell>
          <cell r="BV1"/>
          <cell r="BW1" t="str">
            <v>Total Yearly Disbursed</v>
          </cell>
          <cell r="BX1"/>
          <cell r="BY1" t="str">
            <v>FY 18-19 BALANCE</v>
          </cell>
          <cell r="BZ1" t="str">
            <v>Federal Award Identification Number (FAIN)</v>
          </cell>
          <cell r="CA1" t="str">
            <v>FY 19-20 Cohort 1 ALLOCATION AMOUNT</v>
          </cell>
          <cell r="CB1" t="str">
            <v>FY 19-20 Cohort 2 ALLOCATION AMOUNT</v>
          </cell>
          <cell r="CC1" t="str">
            <v>Federal Award Identification Number (FAIN)</v>
          </cell>
          <cell r="CD1" t="str">
            <v>FY 19-20 Cohort 3 ALLOCATION AMOUNT</v>
          </cell>
          <cell r="CE1" t="str">
            <v>July</v>
          </cell>
          <cell r="CF1"/>
          <cell r="CG1" t="str">
            <v>August</v>
          </cell>
          <cell r="CH1"/>
          <cell r="CI1" t="str">
            <v>September</v>
          </cell>
          <cell r="CJ1"/>
          <cell r="CK1" t="str">
            <v>October</v>
          </cell>
          <cell r="CL1"/>
          <cell r="CM1" t="str">
            <v>November</v>
          </cell>
          <cell r="CN1"/>
          <cell r="CO1" t="str">
            <v>December</v>
          </cell>
          <cell r="CP1"/>
          <cell r="CQ1" t="str">
            <v>January</v>
          </cell>
          <cell r="CR1"/>
          <cell r="CS1" t="str">
            <v>February</v>
          </cell>
          <cell r="CT1"/>
          <cell r="CU1" t="str">
            <v>March</v>
          </cell>
          <cell r="CV1"/>
          <cell r="CW1" t="str">
            <v>April</v>
          </cell>
          <cell r="CX1"/>
          <cell r="CY1" t="str">
            <v>May</v>
          </cell>
          <cell r="CZ1"/>
          <cell r="DA1" t="str">
            <v>June</v>
          </cell>
        </row>
        <row r="2">
          <cell r="T2"/>
          <cell r="U2" t="str">
            <v>708C</v>
          </cell>
          <cell r="V2" t="str">
            <v>709C</v>
          </cell>
          <cell r="W2" t="str">
            <v>708C</v>
          </cell>
          <cell r="X2" t="str">
            <v>709C</v>
          </cell>
          <cell r="Y2" t="str">
            <v>708C</v>
          </cell>
          <cell r="Z2" t="str">
            <v>709C</v>
          </cell>
          <cell r="AA2" t="str">
            <v>708C</v>
          </cell>
          <cell r="AB2" t="str">
            <v>709C</v>
          </cell>
          <cell r="AC2" t="str">
            <v>708C</v>
          </cell>
          <cell r="AD2" t="str">
            <v>709C</v>
          </cell>
          <cell r="AE2" t="str">
            <v>708C</v>
          </cell>
          <cell r="AF2" t="str">
            <v>709C</v>
          </cell>
          <cell r="AG2" t="str">
            <v>709C</v>
          </cell>
          <cell r="AH2" t="str">
            <v>709C</v>
          </cell>
          <cell r="AI2" t="str">
            <v>708C</v>
          </cell>
          <cell r="AJ2" t="str">
            <v>709C</v>
          </cell>
          <cell r="AK2" t="str">
            <v>708C</v>
          </cell>
          <cell r="AL2" t="str">
            <v>709C</v>
          </cell>
          <cell r="AM2" t="str">
            <v>708C</v>
          </cell>
          <cell r="AN2" t="str">
            <v>709C</v>
          </cell>
          <cell r="AO2" t="str">
            <v>708C</v>
          </cell>
          <cell r="AP2" t="str">
            <v>709C</v>
          </cell>
          <cell r="AQ2" t="str">
            <v>708C</v>
          </cell>
          <cell r="AR2" t="str">
            <v>709C</v>
          </cell>
          <cell r="AS2" t="str">
            <v>708C</v>
          </cell>
          <cell r="AT2" t="str">
            <v>709C</v>
          </cell>
          <cell r="AU2"/>
          <cell r="AV2"/>
          <cell r="AW2"/>
          <cell r="AX2"/>
          <cell r="AY2" t="str">
            <v>708C</v>
          </cell>
          <cell r="AZ2" t="str">
            <v>709C</v>
          </cell>
          <cell r="BA2" t="str">
            <v>708C</v>
          </cell>
          <cell r="BB2" t="str">
            <v>709C</v>
          </cell>
          <cell r="BC2" t="str">
            <v>708C</v>
          </cell>
          <cell r="BD2" t="str">
            <v>709C</v>
          </cell>
          <cell r="BE2" t="str">
            <v>708C</v>
          </cell>
          <cell r="BF2" t="str">
            <v>709C</v>
          </cell>
          <cell r="BG2" t="str">
            <v>708C</v>
          </cell>
          <cell r="BH2" t="str">
            <v>709C</v>
          </cell>
          <cell r="BI2" t="str">
            <v>708C</v>
          </cell>
          <cell r="BJ2" t="str">
            <v>709C</v>
          </cell>
          <cell r="BK2" t="str">
            <v>708C</v>
          </cell>
          <cell r="BL2" t="str">
            <v>709C</v>
          </cell>
          <cell r="BM2" t="str">
            <v>708C</v>
          </cell>
          <cell r="BN2" t="str">
            <v>709C</v>
          </cell>
          <cell r="BO2" t="str">
            <v>708C</v>
          </cell>
          <cell r="BP2" t="str">
            <v>709C</v>
          </cell>
          <cell r="BQ2" t="str">
            <v>708C</v>
          </cell>
          <cell r="BR2" t="str">
            <v>709C</v>
          </cell>
          <cell r="BS2" t="str">
            <v>708C</v>
          </cell>
          <cell r="BT2" t="str">
            <v>709C</v>
          </cell>
          <cell r="BU2" t="str">
            <v>708C</v>
          </cell>
          <cell r="BV2" t="str">
            <v>709C</v>
          </cell>
          <cell r="BW2" t="str">
            <v>708C</v>
          </cell>
          <cell r="BX2" t="str">
            <v>709C</v>
          </cell>
          <cell r="BY2"/>
          <cell r="BZ2"/>
          <cell r="CA2"/>
          <cell r="CB2"/>
          <cell r="CC2"/>
          <cell r="CD2"/>
          <cell r="CE2" t="str">
            <v>708C</v>
          </cell>
          <cell r="CF2" t="str">
            <v>709C</v>
          </cell>
          <cell r="CG2" t="str">
            <v>708C</v>
          </cell>
          <cell r="CH2" t="str">
            <v>709C</v>
          </cell>
          <cell r="CI2" t="str">
            <v>709C</v>
          </cell>
          <cell r="CJ2" t="str">
            <v>710C</v>
          </cell>
          <cell r="CK2" t="str">
            <v>709C</v>
          </cell>
          <cell r="CL2" t="str">
            <v>710C</v>
          </cell>
          <cell r="CM2" t="str">
            <v>709C</v>
          </cell>
          <cell r="CN2" t="str">
            <v>710C</v>
          </cell>
          <cell r="CO2" t="str">
            <v>709C</v>
          </cell>
          <cell r="CP2" t="str">
            <v>710C</v>
          </cell>
          <cell r="CQ2" t="str">
            <v>709C</v>
          </cell>
          <cell r="CR2" t="str">
            <v>710C</v>
          </cell>
          <cell r="CS2" t="str">
            <v>709C</v>
          </cell>
          <cell r="CT2" t="str">
            <v>710C</v>
          </cell>
          <cell r="CU2" t="str">
            <v>709C</v>
          </cell>
          <cell r="CV2" t="str">
            <v>710C</v>
          </cell>
          <cell r="CW2" t="str">
            <v>709C</v>
          </cell>
          <cell r="CX2" t="str">
            <v>710C</v>
          </cell>
          <cell r="CY2" t="str">
            <v>709C</v>
          </cell>
          <cell r="CZ2" t="str">
            <v>710C</v>
          </cell>
          <cell r="DA2" t="str">
            <v>709C</v>
          </cell>
        </row>
        <row r="3">
          <cell r="F3" t="str">
            <v>01</v>
          </cell>
          <cell r="G3" t="str">
            <v>0</v>
          </cell>
          <cell r="H3" t="str">
            <v>0</v>
          </cell>
          <cell r="I3" t="str">
            <v>0</v>
          </cell>
          <cell r="J3" t="str">
            <v>0</v>
          </cell>
          <cell r="K3"/>
          <cell r="L3" t="str">
            <v>0000</v>
          </cell>
          <cell r="M3" t="str">
            <v>X</v>
          </cell>
          <cell r="N3" t="str">
            <v>0030N/AAccountability Pathways 19-20</v>
          </cell>
          <cell r="P3" t="str">
            <v>5010</v>
          </cell>
          <cell r="Q3" t="str">
            <v>70*C</v>
          </cell>
          <cell r="R3">
            <v>43168</v>
          </cell>
          <cell r="S3">
            <v>43168</v>
          </cell>
          <cell r="AS3">
            <v>0</v>
          </cell>
          <cell r="AT3">
            <v>0</v>
          </cell>
          <cell r="AU3">
            <v>0</v>
          </cell>
          <cell r="AW3"/>
          <cell r="BW3">
            <v>0</v>
          </cell>
          <cell r="BX3">
            <v>0</v>
          </cell>
          <cell r="BY3">
            <v>0</v>
          </cell>
        </row>
        <row r="4">
          <cell r="F4" t="str">
            <v>01</v>
          </cell>
          <cell r="G4" t="str">
            <v>1</v>
          </cell>
          <cell r="H4" t="str">
            <v>0</v>
          </cell>
          <cell r="I4" t="str">
            <v>0</v>
          </cell>
          <cell r="J4" t="str">
            <v>0</v>
          </cell>
          <cell r="K4"/>
          <cell r="L4" t="str">
            <v>1000</v>
          </cell>
          <cell r="M4" t="str">
            <v>01</v>
          </cell>
          <cell r="N4" t="str">
            <v>01202752Accountability Pathways 17-18</v>
          </cell>
          <cell r="O4" t="str">
            <v>S010A170006</v>
          </cell>
          <cell r="P4" t="str">
            <v>5010</v>
          </cell>
          <cell r="Q4" t="str">
            <v>70*C</v>
          </cell>
          <cell r="R4">
            <v>43168</v>
          </cell>
          <cell r="S4">
            <v>43168</v>
          </cell>
          <cell r="T4">
            <v>22050</v>
          </cell>
          <cell r="AS4">
            <v>0</v>
          </cell>
          <cell r="AT4">
            <v>0</v>
          </cell>
          <cell r="AU4">
            <v>22050</v>
          </cell>
          <cell r="AW4"/>
          <cell r="AY4">
            <v>-20307</v>
          </cell>
          <cell r="BW4">
            <v>-20307</v>
          </cell>
          <cell r="BX4">
            <v>0</v>
          </cell>
          <cell r="BY4">
            <v>1743</v>
          </cell>
        </row>
        <row r="5">
          <cell r="F5" t="str">
            <v>01</v>
          </cell>
          <cell r="G5" t="str">
            <v>0</v>
          </cell>
          <cell r="H5" t="str">
            <v>1</v>
          </cell>
          <cell r="I5" t="str">
            <v>0</v>
          </cell>
          <cell r="J5" t="str">
            <v>0</v>
          </cell>
          <cell r="K5"/>
          <cell r="L5" t="str">
            <v>0100</v>
          </cell>
          <cell r="M5" t="str">
            <v>02</v>
          </cell>
          <cell r="N5" t="str">
            <v>01801458Accountability Pathways 18-19</v>
          </cell>
          <cell r="O5" t="str">
            <v>S010A170006</v>
          </cell>
          <cell r="P5" t="str">
            <v>5010</v>
          </cell>
          <cell r="Q5" t="str">
            <v>70*C</v>
          </cell>
          <cell r="R5">
            <v>43168</v>
          </cell>
          <cell r="S5">
            <v>43168</v>
          </cell>
          <cell r="T5">
            <v>0</v>
          </cell>
          <cell r="AS5">
            <v>0</v>
          </cell>
          <cell r="AT5">
            <v>0</v>
          </cell>
          <cell r="AU5">
            <v>0</v>
          </cell>
          <cell r="AV5" t="str">
            <v>S010A180006</v>
          </cell>
          <cell r="AW5"/>
          <cell r="AX5">
            <v>80000</v>
          </cell>
          <cell r="BW5">
            <v>0</v>
          </cell>
          <cell r="BX5">
            <v>0</v>
          </cell>
          <cell r="BY5">
            <v>80000</v>
          </cell>
          <cell r="CI5">
            <v>-33979.33</v>
          </cell>
          <cell r="CM5">
            <v>-46020.67</v>
          </cell>
        </row>
        <row r="6">
          <cell r="F6" t="str">
            <v>01</v>
          </cell>
          <cell r="G6" t="str">
            <v>0</v>
          </cell>
          <cell r="H6" t="str">
            <v>0</v>
          </cell>
          <cell r="I6" t="str">
            <v>0</v>
          </cell>
          <cell r="J6" t="str">
            <v>0</v>
          </cell>
          <cell r="K6"/>
          <cell r="L6" t="str">
            <v>0000</v>
          </cell>
          <cell r="M6" t="str">
            <v>X</v>
          </cell>
          <cell r="N6" t="str">
            <v>0880N/AAccountability Pathways 19-20</v>
          </cell>
          <cell r="P6" t="str">
            <v>5010</v>
          </cell>
          <cell r="Q6" t="str">
            <v>70*C</v>
          </cell>
          <cell r="R6">
            <v>43168</v>
          </cell>
          <cell r="S6">
            <v>43168</v>
          </cell>
          <cell r="AS6">
            <v>0</v>
          </cell>
          <cell r="AT6">
            <v>0</v>
          </cell>
          <cell r="AU6">
            <v>0</v>
          </cell>
          <cell r="AW6"/>
          <cell r="BW6">
            <v>0</v>
          </cell>
          <cell r="BX6">
            <v>0</v>
          </cell>
          <cell r="BY6">
            <v>0</v>
          </cell>
        </row>
        <row r="7">
          <cell r="F7" t="str">
            <v>01</v>
          </cell>
          <cell r="G7" t="str">
            <v>0</v>
          </cell>
          <cell r="H7" t="str">
            <v>0</v>
          </cell>
          <cell r="I7" t="str">
            <v>0</v>
          </cell>
          <cell r="J7" t="str">
            <v>0</v>
          </cell>
          <cell r="K7"/>
          <cell r="L7" t="str">
            <v>0000</v>
          </cell>
          <cell r="M7" t="str">
            <v>X</v>
          </cell>
          <cell r="N7" t="str">
            <v>09003863Accountability Pathways 19-20</v>
          </cell>
          <cell r="P7" t="str">
            <v>5010</v>
          </cell>
          <cell r="Q7" t="str">
            <v>70*C</v>
          </cell>
          <cell r="R7">
            <v>43168</v>
          </cell>
          <cell r="S7">
            <v>43168</v>
          </cell>
          <cell r="AS7">
            <v>0</v>
          </cell>
          <cell r="AT7">
            <v>0</v>
          </cell>
          <cell r="AU7">
            <v>0</v>
          </cell>
          <cell r="AW7"/>
          <cell r="BW7">
            <v>0</v>
          </cell>
          <cell r="BX7">
            <v>0</v>
          </cell>
          <cell r="BY7">
            <v>0</v>
          </cell>
        </row>
        <row r="8">
          <cell r="F8" t="str">
            <v>01</v>
          </cell>
          <cell r="G8" t="str">
            <v>0</v>
          </cell>
          <cell r="H8" t="str">
            <v>0</v>
          </cell>
          <cell r="I8" t="str">
            <v>0</v>
          </cell>
          <cell r="J8" t="str">
            <v>0</v>
          </cell>
          <cell r="K8"/>
          <cell r="L8" t="str">
            <v>0000</v>
          </cell>
          <cell r="M8" t="str">
            <v>X</v>
          </cell>
          <cell r="N8" t="str">
            <v>1620N/AAccountability Pathways 19-20</v>
          </cell>
          <cell r="P8" t="str">
            <v>5010</v>
          </cell>
          <cell r="Q8" t="str">
            <v>70*C</v>
          </cell>
          <cell r="R8">
            <v>43168</v>
          </cell>
          <cell r="S8">
            <v>43168</v>
          </cell>
          <cell r="AS8">
            <v>0</v>
          </cell>
          <cell r="AT8">
            <v>0</v>
          </cell>
          <cell r="AU8">
            <v>0</v>
          </cell>
          <cell r="AW8"/>
          <cell r="BW8">
            <v>0</v>
          </cell>
          <cell r="BX8">
            <v>0</v>
          </cell>
          <cell r="BY8">
            <v>0</v>
          </cell>
        </row>
        <row r="9">
          <cell r="F9" t="str">
            <v>01</v>
          </cell>
          <cell r="G9" t="str">
            <v>0</v>
          </cell>
          <cell r="H9" t="str">
            <v>0</v>
          </cell>
          <cell r="I9" t="str">
            <v>0</v>
          </cell>
          <cell r="J9" t="str">
            <v>0</v>
          </cell>
          <cell r="K9"/>
          <cell r="L9" t="str">
            <v>0000</v>
          </cell>
          <cell r="M9" t="str">
            <v>X</v>
          </cell>
          <cell r="N9" t="str">
            <v>2690N/AAccountability Pathways 19-20</v>
          </cell>
          <cell r="P9" t="str">
            <v>5010</v>
          </cell>
          <cell r="Q9" t="str">
            <v>70*C</v>
          </cell>
          <cell r="R9">
            <v>43168</v>
          </cell>
          <cell r="S9">
            <v>43168</v>
          </cell>
          <cell r="AS9">
            <v>0</v>
          </cell>
          <cell r="AT9">
            <v>0</v>
          </cell>
          <cell r="AU9">
            <v>0</v>
          </cell>
          <cell r="AW9"/>
          <cell r="BW9">
            <v>0</v>
          </cell>
          <cell r="BX9">
            <v>0</v>
          </cell>
          <cell r="BY9">
            <v>0</v>
          </cell>
        </row>
        <row r="10">
          <cell r="F10" t="str">
            <v>01</v>
          </cell>
          <cell r="G10" t="str">
            <v>1</v>
          </cell>
          <cell r="H10" t="str">
            <v>0</v>
          </cell>
          <cell r="I10" t="str">
            <v>0</v>
          </cell>
          <cell r="J10" t="str">
            <v>0</v>
          </cell>
          <cell r="K10"/>
          <cell r="L10" t="str">
            <v>1000</v>
          </cell>
          <cell r="M10" t="str">
            <v>01</v>
          </cell>
          <cell r="N10" t="str">
            <v>31201384Accountability Pathways 17-18</v>
          </cell>
          <cell r="O10" t="str">
            <v>S010A170006</v>
          </cell>
          <cell r="P10" t="str">
            <v>5010</v>
          </cell>
          <cell r="Q10" t="str">
            <v>70*C</v>
          </cell>
          <cell r="R10">
            <v>43168</v>
          </cell>
          <cell r="S10">
            <v>43168</v>
          </cell>
          <cell r="T10">
            <v>30000</v>
          </cell>
          <cell r="AS10">
            <v>0</v>
          </cell>
          <cell r="AT10">
            <v>0</v>
          </cell>
          <cell r="AU10">
            <v>30000</v>
          </cell>
          <cell r="AW10"/>
          <cell r="BG10">
            <v>-839</v>
          </cell>
          <cell r="BI10">
            <v>-754</v>
          </cell>
          <cell r="BK10">
            <v>-610</v>
          </cell>
          <cell r="BM10">
            <v>-112</v>
          </cell>
          <cell r="BQ10">
            <v>-9286</v>
          </cell>
          <cell r="BS10">
            <v>-7665.57</v>
          </cell>
          <cell r="BU10">
            <v>-89.69</v>
          </cell>
          <cell r="BW10">
            <v>-19356.259999999998</v>
          </cell>
          <cell r="BX10">
            <v>0</v>
          </cell>
          <cell r="BY10">
            <v>10643.740000000002</v>
          </cell>
          <cell r="CI10">
            <v>-10643.74</v>
          </cell>
        </row>
        <row r="11">
          <cell r="G11"/>
          <cell r="H11"/>
          <cell r="I11"/>
          <cell r="J11"/>
          <cell r="K11"/>
          <cell r="L11"/>
          <cell r="M11" t="str">
            <v xml:space="preserve"> </v>
          </cell>
          <cell r="N11" t="str">
            <v/>
          </cell>
          <cell r="Q11" t="str">
            <v>Accountability Total</v>
          </cell>
          <cell r="R11"/>
          <cell r="S11"/>
          <cell r="T11">
            <v>52050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52050</v>
          </cell>
          <cell r="AV11"/>
          <cell r="AW11">
            <v>0</v>
          </cell>
          <cell r="AX11">
            <v>80000</v>
          </cell>
          <cell r="AY11">
            <v>-20307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-839</v>
          </cell>
          <cell r="BH11">
            <v>0</v>
          </cell>
          <cell r="BI11">
            <v>-754</v>
          </cell>
          <cell r="BJ11">
            <v>0</v>
          </cell>
          <cell r="BK11">
            <v>-610</v>
          </cell>
          <cell r="BL11">
            <v>0</v>
          </cell>
          <cell r="BM11">
            <v>-112</v>
          </cell>
          <cell r="BN11">
            <v>0</v>
          </cell>
          <cell r="BO11">
            <v>0</v>
          </cell>
          <cell r="BP11">
            <v>0</v>
          </cell>
          <cell r="BQ11">
            <v>-9286</v>
          </cell>
          <cell r="BR11">
            <v>0</v>
          </cell>
          <cell r="BS11">
            <v>-7665.57</v>
          </cell>
          <cell r="BT11">
            <v>0</v>
          </cell>
          <cell r="BU11">
            <v>-89.69</v>
          </cell>
          <cell r="BV11">
            <v>0</v>
          </cell>
          <cell r="BW11">
            <v>-39663.259999999995</v>
          </cell>
          <cell r="BX11">
            <v>0</v>
          </cell>
          <cell r="BY11">
            <v>92386.74</v>
          </cell>
          <cell r="BZ11"/>
          <cell r="CA11">
            <v>0</v>
          </cell>
          <cell r="CB11">
            <v>0</v>
          </cell>
          <cell r="CC11"/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-44623.07</v>
          </cell>
          <cell r="CJ11">
            <v>0</v>
          </cell>
          <cell r="CK11">
            <v>0</v>
          </cell>
          <cell r="CL11">
            <v>0</v>
          </cell>
          <cell r="CM11">
            <v>-46020.67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</row>
        <row r="12">
          <cell r="F12"/>
          <cell r="G12"/>
          <cell r="H12"/>
          <cell r="I12"/>
          <cell r="J12"/>
          <cell r="K12"/>
          <cell r="L12"/>
          <cell r="M12" t="str">
            <v xml:space="preserve"> </v>
          </cell>
          <cell r="N12" t="str">
            <v/>
          </cell>
          <cell r="R12"/>
          <cell r="S12"/>
          <cell r="AW12"/>
        </row>
        <row r="13">
          <cell r="F13" t="str">
            <v>02</v>
          </cell>
          <cell r="G13" t="str">
            <v>0</v>
          </cell>
          <cell r="H13" t="str">
            <v>0</v>
          </cell>
          <cell r="I13" t="str">
            <v>0</v>
          </cell>
          <cell r="J13" t="str">
            <v>0</v>
          </cell>
          <cell r="K13"/>
          <cell r="L13" t="str">
            <v>0000</v>
          </cell>
          <cell r="M13" t="str">
            <v>X</v>
          </cell>
          <cell r="N13" t="str">
            <v>01238123AEC Pilot</v>
          </cell>
          <cell r="P13" t="str">
            <v>5010</v>
          </cell>
          <cell r="Q13" t="str">
            <v>70*C</v>
          </cell>
          <cell r="R13"/>
          <cell r="S13"/>
          <cell r="AS13">
            <v>0</v>
          </cell>
          <cell r="AT13">
            <v>0</v>
          </cell>
          <cell r="AU13">
            <v>0</v>
          </cell>
          <cell r="AW13"/>
          <cell r="BW13">
            <v>0</v>
          </cell>
          <cell r="BX13">
            <v>0</v>
          </cell>
          <cell r="BY13">
            <v>0</v>
          </cell>
          <cell r="BZ13" t="str">
            <v>S010A190006</v>
          </cell>
          <cell r="CB13">
            <v>40000</v>
          </cell>
        </row>
        <row r="14">
          <cell r="F14" t="str">
            <v>02</v>
          </cell>
          <cell r="G14" t="str">
            <v>0</v>
          </cell>
          <cell r="H14" t="str">
            <v>1</v>
          </cell>
          <cell r="I14" t="str">
            <v>0</v>
          </cell>
          <cell r="J14" t="str">
            <v>0</v>
          </cell>
          <cell r="K14"/>
          <cell r="L14" t="str">
            <v>0100</v>
          </cell>
          <cell r="M14" t="str">
            <v>02</v>
          </cell>
          <cell r="N14" t="str">
            <v>04800125AEC Pilot</v>
          </cell>
          <cell r="P14" t="str">
            <v>5010</v>
          </cell>
          <cell r="Q14" t="str">
            <v>70*C</v>
          </cell>
          <cell r="R14"/>
          <cell r="S14"/>
          <cell r="AS14">
            <v>0</v>
          </cell>
          <cell r="AT14">
            <v>0</v>
          </cell>
          <cell r="AU14">
            <v>0</v>
          </cell>
          <cell r="AV14" t="str">
            <v>S010A180006</v>
          </cell>
          <cell r="AW14"/>
          <cell r="AX14">
            <v>4450</v>
          </cell>
          <cell r="BW14">
            <v>0</v>
          </cell>
          <cell r="BX14">
            <v>0</v>
          </cell>
          <cell r="BY14">
            <v>4450</v>
          </cell>
          <cell r="BZ14" t="str">
            <v>S010A190006</v>
          </cell>
          <cell r="CB14">
            <v>39935</v>
          </cell>
          <cell r="CU14">
            <v>-4450</v>
          </cell>
          <cell r="CW14">
            <v>-4583.75</v>
          </cell>
          <cell r="DA14">
            <v>-2033</v>
          </cell>
        </row>
        <row r="15">
          <cell r="F15" t="str">
            <v>02</v>
          </cell>
          <cell r="G15" t="str">
            <v>0</v>
          </cell>
          <cell r="H15" t="str">
            <v>1</v>
          </cell>
          <cell r="I15" t="str">
            <v>0</v>
          </cell>
          <cell r="J15" t="str">
            <v>0</v>
          </cell>
          <cell r="K15"/>
          <cell r="L15" t="str">
            <v>0100</v>
          </cell>
          <cell r="M15" t="str">
            <v>02</v>
          </cell>
          <cell r="N15" t="str">
            <v>09100205AEC Pilot</v>
          </cell>
          <cell r="P15" t="str">
            <v>5010</v>
          </cell>
          <cell r="Q15" t="str">
            <v>70*C</v>
          </cell>
          <cell r="R15"/>
          <cell r="S15"/>
          <cell r="AS15">
            <v>0</v>
          </cell>
          <cell r="AT15">
            <v>0</v>
          </cell>
          <cell r="AU15">
            <v>0</v>
          </cell>
          <cell r="AV15" t="str">
            <v>S010A180006</v>
          </cell>
          <cell r="AW15"/>
          <cell r="AX15">
            <v>8311</v>
          </cell>
          <cell r="BW15">
            <v>0</v>
          </cell>
          <cell r="BX15">
            <v>0</v>
          </cell>
          <cell r="BY15">
            <v>8311</v>
          </cell>
          <cell r="BZ15" t="str">
            <v>S010A190006</v>
          </cell>
          <cell r="CB15">
            <v>39629</v>
          </cell>
          <cell r="CO15">
            <v>-185.57</v>
          </cell>
          <cell r="DA15">
            <v>-6692.35</v>
          </cell>
        </row>
        <row r="16">
          <cell r="F16" t="str">
            <v>02</v>
          </cell>
          <cell r="G16" t="str">
            <v>0</v>
          </cell>
          <cell r="H16" t="str">
            <v>0</v>
          </cell>
          <cell r="I16" t="str">
            <v>0</v>
          </cell>
          <cell r="J16" t="str">
            <v>0</v>
          </cell>
          <cell r="K16"/>
          <cell r="L16" t="str">
            <v>0000</v>
          </cell>
          <cell r="M16" t="str">
            <v>X</v>
          </cell>
          <cell r="N16" t="str">
            <v>14200965AEC Pilot</v>
          </cell>
          <cell r="P16" t="str">
            <v>5010</v>
          </cell>
          <cell r="Q16" t="str">
            <v>70*C</v>
          </cell>
          <cell r="R16"/>
          <cell r="S16"/>
          <cell r="AS16">
            <v>0</v>
          </cell>
          <cell r="AT16">
            <v>0</v>
          </cell>
          <cell r="AU16">
            <v>0</v>
          </cell>
          <cell r="AV16" t="str">
            <v>S010A180006</v>
          </cell>
          <cell r="AW16"/>
          <cell r="BW16">
            <v>0</v>
          </cell>
          <cell r="BX16">
            <v>0</v>
          </cell>
          <cell r="BY16">
            <v>0</v>
          </cell>
          <cell r="CB16">
            <v>0</v>
          </cell>
        </row>
        <row r="17">
          <cell r="F17" t="str">
            <v>02</v>
          </cell>
          <cell r="G17" t="str">
            <v>0</v>
          </cell>
          <cell r="H17" t="str">
            <v>0</v>
          </cell>
          <cell r="I17" t="str">
            <v>0</v>
          </cell>
          <cell r="J17" t="str">
            <v>0</v>
          </cell>
          <cell r="K17"/>
          <cell r="L17" t="str">
            <v>0000</v>
          </cell>
          <cell r="M17" t="str">
            <v>X</v>
          </cell>
          <cell r="N17" t="str">
            <v>15609260AEC Pilot</v>
          </cell>
          <cell r="P17" t="str">
            <v>5010</v>
          </cell>
          <cell r="Q17" t="str">
            <v>70*C</v>
          </cell>
          <cell r="R17"/>
          <cell r="S17"/>
          <cell r="AS17">
            <v>0</v>
          </cell>
          <cell r="AT17">
            <v>0</v>
          </cell>
          <cell r="AU17">
            <v>0</v>
          </cell>
          <cell r="AV17" t="str">
            <v>S010A180006</v>
          </cell>
          <cell r="AW17"/>
          <cell r="BW17">
            <v>0</v>
          </cell>
          <cell r="BX17">
            <v>0</v>
          </cell>
          <cell r="BY17">
            <v>0</v>
          </cell>
          <cell r="CB17">
            <v>0</v>
          </cell>
        </row>
        <row r="18">
          <cell r="F18" t="str">
            <v>02</v>
          </cell>
          <cell r="G18" t="str">
            <v>0</v>
          </cell>
          <cell r="H18" t="str">
            <v>1</v>
          </cell>
          <cell r="I18" t="str">
            <v>0</v>
          </cell>
          <cell r="J18" t="str">
            <v>0</v>
          </cell>
          <cell r="K18"/>
          <cell r="L18" t="str">
            <v>0100</v>
          </cell>
          <cell r="M18" t="str">
            <v>02</v>
          </cell>
          <cell r="N18" t="str">
            <v>20003604AEC Pilot</v>
          </cell>
          <cell r="P18" t="str">
            <v>5010</v>
          </cell>
          <cell r="Q18" t="str">
            <v>70*C</v>
          </cell>
          <cell r="R18"/>
          <cell r="S18"/>
          <cell r="AS18">
            <v>0</v>
          </cell>
          <cell r="AT18">
            <v>0</v>
          </cell>
          <cell r="AU18">
            <v>0</v>
          </cell>
          <cell r="AV18" t="str">
            <v>S010A180006</v>
          </cell>
          <cell r="AW18"/>
          <cell r="AX18">
            <v>7431</v>
          </cell>
          <cell r="BW18">
            <v>0</v>
          </cell>
          <cell r="BX18">
            <v>0</v>
          </cell>
          <cell r="BY18">
            <v>7431</v>
          </cell>
          <cell r="CB18">
            <v>0</v>
          </cell>
          <cell r="CI18">
            <v>-2526.89</v>
          </cell>
          <cell r="CK18">
            <v>-314.57</v>
          </cell>
        </row>
        <row r="19">
          <cell r="F19" t="str">
            <v>02</v>
          </cell>
          <cell r="G19" t="str">
            <v>0</v>
          </cell>
          <cell r="H19" t="str">
            <v>1</v>
          </cell>
          <cell r="I19" t="str">
            <v>0</v>
          </cell>
          <cell r="J19" t="str">
            <v>0</v>
          </cell>
          <cell r="K19"/>
          <cell r="L19" t="str">
            <v>0100</v>
          </cell>
          <cell r="M19" t="str">
            <v>02</v>
          </cell>
          <cell r="N19" t="str">
            <v>24055180AEC Pilot</v>
          </cell>
          <cell r="P19" t="str">
            <v>5010</v>
          </cell>
          <cell r="Q19" t="str">
            <v>70*C</v>
          </cell>
          <cell r="R19"/>
          <cell r="S19"/>
          <cell r="AS19">
            <v>0</v>
          </cell>
          <cell r="AT19">
            <v>0</v>
          </cell>
          <cell r="AU19">
            <v>0</v>
          </cell>
          <cell r="AV19" t="str">
            <v>S010A180006</v>
          </cell>
          <cell r="AW19"/>
          <cell r="AX19">
            <v>9006</v>
          </cell>
          <cell r="BW19">
            <v>0</v>
          </cell>
          <cell r="BX19">
            <v>0</v>
          </cell>
          <cell r="BY19">
            <v>9006</v>
          </cell>
          <cell r="BZ19" t="str">
            <v>S010A190006</v>
          </cell>
          <cell r="CB19">
            <v>38607</v>
          </cell>
          <cell r="CS19">
            <v>-7111.53</v>
          </cell>
          <cell r="DA19">
            <v>-11216.8</v>
          </cell>
        </row>
        <row r="20">
          <cell r="F20" t="str">
            <v>02</v>
          </cell>
          <cell r="G20" t="str">
            <v>0</v>
          </cell>
          <cell r="H20" t="str">
            <v>0</v>
          </cell>
          <cell r="I20" t="str">
            <v>0</v>
          </cell>
          <cell r="J20" t="str">
            <v>0</v>
          </cell>
          <cell r="K20"/>
          <cell r="L20" t="str">
            <v>0000</v>
          </cell>
          <cell r="M20" t="str">
            <v>X</v>
          </cell>
          <cell r="N20" t="str">
            <v>27709757AEC Pilot</v>
          </cell>
          <cell r="P20" t="str">
            <v>5010</v>
          </cell>
          <cell r="Q20" t="str">
            <v>70*C</v>
          </cell>
          <cell r="R20"/>
          <cell r="S20"/>
          <cell r="AS20">
            <v>0</v>
          </cell>
          <cell r="AT20">
            <v>0</v>
          </cell>
          <cell r="AU20">
            <v>0</v>
          </cell>
          <cell r="AV20" t="str">
            <v>S010A180006</v>
          </cell>
          <cell r="AW20"/>
          <cell r="BW20">
            <v>0</v>
          </cell>
          <cell r="BX20">
            <v>0</v>
          </cell>
          <cell r="BY20">
            <v>0</v>
          </cell>
          <cell r="CB20">
            <v>0</v>
          </cell>
        </row>
        <row r="21">
          <cell r="F21" t="str">
            <v>02</v>
          </cell>
          <cell r="G21" t="str">
            <v>0</v>
          </cell>
          <cell r="H21" t="str">
            <v>1</v>
          </cell>
          <cell r="I21" t="str">
            <v>0</v>
          </cell>
          <cell r="J21" t="str">
            <v>0</v>
          </cell>
          <cell r="K21"/>
          <cell r="L21" t="str">
            <v>0100</v>
          </cell>
          <cell r="M21" t="str">
            <v>02</v>
          </cell>
          <cell r="N21" t="str">
            <v>91706971AEC Pilot</v>
          </cell>
          <cell r="P21" t="str">
            <v>5010</v>
          </cell>
          <cell r="Q21" t="str">
            <v>70*C</v>
          </cell>
          <cell r="R21"/>
          <cell r="S21"/>
          <cell r="AS21">
            <v>0</v>
          </cell>
          <cell r="AT21">
            <v>0</v>
          </cell>
          <cell r="AU21">
            <v>0</v>
          </cell>
          <cell r="AV21" t="str">
            <v>S010A180006</v>
          </cell>
          <cell r="AW21"/>
          <cell r="AX21">
            <v>10000</v>
          </cell>
          <cell r="BW21">
            <v>0</v>
          </cell>
          <cell r="BX21">
            <v>0</v>
          </cell>
          <cell r="BY21">
            <v>10000</v>
          </cell>
          <cell r="BZ21" t="str">
            <v>S010A190006</v>
          </cell>
          <cell r="CB21">
            <v>25981</v>
          </cell>
          <cell r="CI21">
            <v>-7375</v>
          </cell>
        </row>
        <row r="22">
          <cell r="G22"/>
          <cell r="H22"/>
          <cell r="I22"/>
          <cell r="J22"/>
          <cell r="K22"/>
          <cell r="L22"/>
          <cell r="M22" t="str">
            <v xml:space="preserve"> </v>
          </cell>
          <cell r="N22" t="str">
            <v/>
          </cell>
          <cell r="Q22" t="str">
            <v>AEC Pilot Total</v>
          </cell>
          <cell r="R22"/>
          <cell r="S22"/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/>
          <cell r="AW22">
            <v>0</v>
          </cell>
          <cell r="AX22">
            <v>39198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39198</v>
          </cell>
          <cell r="BZ22"/>
          <cell r="CA22">
            <v>0</v>
          </cell>
          <cell r="CB22">
            <v>184152</v>
          </cell>
          <cell r="CC22"/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-9901.89</v>
          </cell>
          <cell r="CJ22">
            <v>0</v>
          </cell>
          <cell r="CK22">
            <v>-314.57</v>
          </cell>
          <cell r="CL22">
            <v>0</v>
          </cell>
          <cell r="CM22">
            <v>0</v>
          </cell>
          <cell r="CN22">
            <v>0</v>
          </cell>
          <cell r="CO22">
            <v>-185.57</v>
          </cell>
          <cell r="CP22">
            <v>0</v>
          </cell>
          <cell r="CQ22">
            <v>0</v>
          </cell>
          <cell r="CR22">
            <v>0</v>
          </cell>
          <cell r="CS22">
            <v>-7111.53</v>
          </cell>
          <cell r="CT22">
            <v>0</v>
          </cell>
          <cell r="CU22">
            <v>-4450</v>
          </cell>
          <cell r="CV22">
            <v>0</v>
          </cell>
          <cell r="CW22">
            <v>-4583.75</v>
          </cell>
          <cell r="CX22">
            <v>0</v>
          </cell>
          <cell r="CY22">
            <v>0</v>
          </cell>
          <cell r="CZ22">
            <v>0</v>
          </cell>
          <cell r="DA22">
            <v>-19942.150000000001</v>
          </cell>
        </row>
        <row r="23">
          <cell r="F23"/>
          <cell r="G23"/>
          <cell r="H23"/>
          <cell r="I23"/>
          <cell r="J23"/>
          <cell r="K23"/>
          <cell r="L23"/>
          <cell r="M23" t="str">
            <v xml:space="preserve"> </v>
          </cell>
          <cell r="N23" t="str">
            <v/>
          </cell>
          <cell r="R23"/>
          <cell r="S23"/>
          <cell r="AW23"/>
        </row>
        <row r="24">
          <cell r="F24" t="str">
            <v>03</v>
          </cell>
          <cell r="G24" t="str">
            <v>1</v>
          </cell>
          <cell r="H24" t="str">
            <v>0</v>
          </cell>
          <cell r="I24" t="str">
            <v>0</v>
          </cell>
          <cell r="J24" t="str">
            <v>0</v>
          </cell>
          <cell r="K24"/>
          <cell r="L24" t="str">
            <v>1000</v>
          </cell>
          <cell r="M24" t="str">
            <v>01</v>
          </cell>
          <cell r="N24" t="str">
            <v>00109036Connect For Success 17-20</v>
          </cell>
          <cell r="O24" t="str">
            <v>S010A170006</v>
          </cell>
          <cell r="P24" t="str">
            <v>5010</v>
          </cell>
          <cell r="Q24" t="str">
            <v>70*C</v>
          </cell>
          <cell r="R24">
            <v>43168</v>
          </cell>
          <cell r="S24">
            <v>43168</v>
          </cell>
          <cell r="T24">
            <v>20000</v>
          </cell>
          <cell r="AO24">
            <v>-474</v>
          </cell>
          <cell r="AS24">
            <v>-474</v>
          </cell>
          <cell r="AT24">
            <v>0</v>
          </cell>
          <cell r="AU24">
            <v>19526</v>
          </cell>
          <cell r="AV24" t="str">
            <v>S010A170006</v>
          </cell>
          <cell r="AW24">
            <v>80000</v>
          </cell>
          <cell r="BC24">
            <v>-2828</v>
          </cell>
          <cell r="BI24">
            <v>-7233</v>
          </cell>
          <cell r="BM24">
            <v>-8456</v>
          </cell>
          <cell r="BO24">
            <v>-2220</v>
          </cell>
          <cell r="BQ24">
            <v>-16355</v>
          </cell>
          <cell r="BS24">
            <v>-7426</v>
          </cell>
          <cell r="BW24">
            <v>-44518</v>
          </cell>
          <cell r="BX24">
            <v>0</v>
          </cell>
          <cell r="BY24">
            <v>55008</v>
          </cell>
          <cell r="BZ24" t="str">
            <v>S010A190006</v>
          </cell>
          <cell r="CA24">
            <v>80000</v>
          </cell>
          <cell r="CE24">
            <v>-11893</v>
          </cell>
          <cell r="CG24">
            <v>-20199.66</v>
          </cell>
          <cell r="CI24">
            <v>-5815.17</v>
          </cell>
          <cell r="CK24">
            <v>-10750.22</v>
          </cell>
          <cell r="CM24">
            <v>-6969.96</v>
          </cell>
          <cell r="CO24">
            <v>-6228.78</v>
          </cell>
          <cell r="CS24">
            <v>-15489.16</v>
          </cell>
          <cell r="CW24">
            <v>-11859.68</v>
          </cell>
          <cell r="CY24">
            <v>-5929.84</v>
          </cell>
        </row>
        <row r="25">
          <cell r="F25" t="str">
            <v>03</v>
          </cell>
          <cell r="G25" t="str">
            <v>0</v>
          </cell>
          <cell r="H25" t="str">
            <v>1</v>
          </cell>
          <cell r="I25" t="str">
            <v>0</v>
          </cell>
          <cell r="J25" t="str">
            <v>0</v>
          </cell>
          <cell r="K25"/>
          <cell r="L25" t="str">
            <v>0100</v>
          </cell>
          <cell r="M25" t="str">
            <v>02</v>
          </cell>
          <cell r="N25" t="str">
            <v>01200206Connect For Success 18-21</v>
          </cell>
          <cell r="P25" t="str">
            <v>5010</v>
          </cell>
          <cell r="Q25" t="str">
            <v>70*C</v>
          </cell>
          <cell r="R25"/>
          <cell r="S25"/>
          <cell r="AV25" t="str">
            <v>S010A180006</v>
          </cell>
          <cell r="AW25"/>
          <cell r="AX25">
            <v>5083</v>
          </cell>
          <cell r="BW25">
            <v>0</v>
          </cell>
          <cell r="BX25">
            <v>0</v>
          </cell>
          <cell r="BY25">
            <v>5083</v>
          </cell>
          <cell r="BZ25" t="str">
            <v>S010A190006</v>
          </cell>
          <cell r="CB25">
            <v>80000</v>
          </cell>
          <cell r="CE25">
            <v>-5009</v>
          </cell>
          <cell r="CU25">
            <v>-33745</v>
          </cell>
          <cell r="CW25">
            <v>-7572</v>
          </cell>
          <cell r="CY25">
            <v>-15344</v>
          </cell>
          <cell r="DA25">
            <v>-4457</v>
          </cell>
        </row>
        <row r="26">
          <cell r="F26" t="str">
            <v>03</v>
          </cell>
          <cell r="G26" t="str">
            <v>1</v>
          </cell>
          <cell r="H26" t="str">
            <v>0</v>
          </cell>
          <cell r="I26" t="str">
            <v>0</v>
          </cell>
          <cell r="J26" t="str">
            <v>0</v>
          </cell>
          <cell r="K26"/>
          <cell r="L26" t="str">
            <v>1000</v>
          </cell>
          <cell r="M26" t="str">
            <v>01</v>
          </cell>
          <cell r="N26" t="str">
            <v>01300242Connect For Success 17-20</v>
          </cell>
          <cell r="O26" t="str">
            <v>S010A170006</v>
          </cell>
          <cell r="P26" t="str">
            <v>5010</v>
          </cell>
          <cell r="Q26" t="str">
            <v>70*C</v>
          </cell>
          <cell r="R26">
            <v>43173</v>
          </cell>
          <cell r="S26">
            <v>43173</v>
          </cell>
          <cell r="T26">
            <v>7000</v>
          </cell>
          <cell r="AS26">
            <v>0</v>
          </cell>
          <cell r="AT26">
            <v>0</v>
          </cell>
          <cell r="AU26">
            <v>7000</v>
          </cell>
          <cell r="AV26" t="str">
            <v>S010A170006</v>
          </cell>
          <cell r="AW26">
            <v>34000</v>
          </cell>
          <cell r="BI26">
            <v>-8405</v>
          </cell>
          <cell r="BM26">
            <v>-4141</v>
          </cell>
          <cell r="BQ26">
            <v>-25692</v>
          </cell>
          <cell r="BW26">
            <v>-38238</v>
          </cell>
          <cell r="BX26">
            <v>0</v>
          </cell>
          <cell r="BY26">
            <v>2762</v>
          </cell>
          <cell r="BZ26" t="str">
            <v>S010A180006</v>
          </cell>
          <cell r="CA26">
            <v>80000</v>
          </cell>
          <cell r="CG26">
            <v>-2762</v>
          </cell>
          <cell r="CM26">
            <v>-28543.360000000001</v>
          </cell>
          <cell r="CQ26">
            <v>-12672.4</v>
          </cell>
          <cell r="CS26">
            <v>-6579.9</v>
          </cell>
          <cell r="CU26">
            <v>-28650.61</v>
          </cell>
        </row>
        <row r="27">
          <cell r="F27"/>
          <cell r="G27"/>
          <cell r="H27"/>
          <cell r="I27"/>
          <cell r="J27"/>
          <cell r="K27"/>
          <cell r="L27"/>
          <cell r="M27"/>
          <cell r="N27" t="str">
            <v>01301572Connect For Success 20-23</v>
          </cell>
          <cell r="P27" t="str">
            <v>5010</v>
          </cell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/>
          <cell r="CV27"/>
          <cell r="CW27"/>
          <cell r="CX27"/>
          <cell r="CY27"/>
          <cell r="CZ27"/>
          <cell r="DA27"/>
        </row>
        <row r="28">
          <cell r="F28" t="str">
            <v>03</v>
          </cell>
          <cell r="G28" t="str">
            <v>0</v>
          </cell>
          <cell r="H28" t="str">
            <v>0</v>
          </cell>
          <cell r="I28" t="str">
            <v>1</v>
          </cell>
          <cell r="J28" t="str">
            <v>0</v>
          </cell>
          <cell r="K28"/>
          <cell r="L28" t="str">
            <v>0010</v>
          </cell>
          <cell r="M28" t="str">
            <v>03</v>
          </cell>
          <cell r="N28" t="str">
            <v>01302428Connect For Success 19-22</v>
          </cell>
          <cell r="O28"/>
          <cell r="P28" t="str">
            <v>5010</v>
          </cell>
          <cell r="Q28" t="str">
            <v>70*C</v>
          </cell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>
            <v>0</v>
          </cell>
          <cell r="AT28">
            <v>0</v>
          </cell>
          <cell r="AU28">
            <v>0</v>
          </cell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>
            <v>0</v>
          </cell>
          <cell r="BX28">
            <v>0</v>
          </cell>
          <cell r="BY28">
            <v>0</v>
          </cell>
          <cell r="BZ28"/>
          <cell r="CA28"/>
          <cell r="CB28"/>
          <cell r="CC28"/>
          <cell r="CD28">
            <v>20542</v>
          </cell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</row>
        <row r="29">
          <cell r="F29" t="str">
            <v>03</v>
          </cell>
          <cell r="G29" t="str">
            <v>0</v>
          </cell>
          <cell r="H29" t="str">
            <v>0</v>
          </cell>
          <cell r="I29" t="str">
            <v>1</v>
          </cell>
          <cell r="J29" t="str">
            <v>0</v>
          </cell>
          <cell r="K29"/>
          <cell r="L29" t="str">
            <v>0010</v>
          </cell>
          <cell r="M29" t="str">
            <v>03</v>
          </cell>
          <cell r="N29" t="str">
            <v>01302653Connect For Success 19-22</v>
          </cell>
          <cell r="O29"/>
          <cell r="P29" t="str">
            <v>5010</v>
          </cell>
          <cell r="Q29" t="str">
            <v>70*C</v>
          </cell>
          <cell r="R29"/>
          <cell r="S29"/>
          <cell r="T29"/>
          <cell r="U29"/>
          <cell r="V29"/>
          <cell r="W29"/>
          <cell r="X29"/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I29"/>
          <cell r="AJ29"/>
          <cell r="AK29"/>
          <cell r="AL29"/>
          <cell r="AM29"/>
          <cell r="AN29"/>
          <cell r="AO29"/>
          <cell r="AP29"/>
          <cell r="AQ29"/>
          <cell r="AR29"/>
          <cell r="AS29">
            <v>0</v>
          </cell>
          <cell r="AT29">
            <v>0</v>
          </cell>
          <cell r="AU29">
            <v>0</v>
          </cell>
          <cell r="AV29"/>
          <cell r="AW29"/>
          <cell r="AX29"/>
          <cell r="AY29"/>
          <cell r="AZ29"/>
          <cell r="BA29"/>
          <cell r="BB29"/>
          <cell r="BC29"/>
          <cell r="BD29"/>
          <cell r="BE29"/>
          <cell r="BF29"/>
          <cell r="BG29"/>
          <cell r="BH29"/>
          <cell r="BI29"/>
          <cell r="BJ29"/>
          <cell r="BK29"/>
          <cell r="BL29"/>
          <cell r="BM29"/>
          <cell r="BN29"/>
          <cell r="BO29"/>
          <cell r="BP29"/>
          <cell r="BQ29"/>
          <cell r="BR29"/>
          <cell r="BS29"/>
          <cell r="BT29"/>
          <cell r="BU29"/>
          <cell r="BV29"/>
          <cell r="BW29">
            <v>0</v>
          </cell>
          <cell r="BX29">
            <v>0</v>
          </cell>
          <cell r="BY29">
            <v>0</v>
          </cell>
          <cell r="BZ29"/>
          <cell r="CA29"/>
          <cell r="CB29"/>
          <cell r="CC29"/>
          <cell r="CD29">
            <v>20542</v>
          </cell>
          <cell r="CE29"/>
          <cell r="CF29"/>
          <cell r="CG29"/>
          <cell r="CH29"/>
          <cell r="CI29"/>
          <cell r="CJ29"/>
          <cell r="CK29"/>
          <cell r="CL29"/>
          <cell r="CM29"/>
          <cell r="CN29"/>
          <cell r="CO29"/>
          <cell r="CP29"/>
          <cell r="CQ29"/>
          <cell r="CR29"/>
          <cell r="CS29"/>
          <cell r="CT29"/>
          <cell r="CU29"/>
          <cell r="CV29"/>
          <cell r="CW29"/>
          <cell r="CX29"/>
          <cell r="CY29"/>
          <cell r="CZ29"/>
          <cell r="DA29"/>
        </row>
        <row r="30">
          <cell r="F30" t="str">
            <v>03</v>
          </cell>
          <cell r="G30" t="str">
            <v>1</v>
          </cell>
          <cell r="H30" t="str">
            <v>0</v>
          </cell>
          <cell r="I30" t="str">
            <v>0</v>
          </cell>
          <cell r="J30" t="str">
            <v>0</v>
          </cell>
          <cell r="K30"/>
          <cell r="L30" t="str">
            <v>1000</v>
          </cell>
          <cell r="M30" t="str">
            <v>01</v>
          </cell>
          <cell r="N30" t="str">
            <v>01302897Connect For Success 17-20</v>
          </cell>
          <cell r="O30" t="str">
            <v>S010A170006</v>
          </cell>
          <cell r="P30" t="str">
            <v>5010</v>
          </cell>
          <cell r="Q30" t="str">
            <v>70*C</v>
          </cell>
          <cell r="R30">
            <v>43173</v>
          </cell>
          <cell r="S30">
            <v>43173</v>
          </cell>
          <cell r="T30">
            <v>7000</v>
          </cell>
          <cell r="AS30">
            <v>0</v>
          </cell>
          <cell r="AT30">
            <v>0</v>
          </cell>
          <cell r="AU30">
            <v>7000</v>
          </cell>
          <cell r="AV30" t="str">
            <v>S010A170006</v>
          </cell>
          <cell r="AW30">
            <v>34000</v>
          </cell>
          <cell r="BA30">
            <v>-394</v>
          </cell>
          <cell r="BI30">
            <v>-695</v>
          </cell>
          <cell r="BM30">
            <v>-350</v>
          </cell>
          <cell r="BQ30">
            <v>-12658</v>
          </cell>
          <cell r="BW30">
            <v>-14097</v>
          </cell>
          <cell r="BX30">
            <v>0</v>
          </cell>
          <cell r="BY30">
            <v>26903</v>
          </cell>
          <cell r="BZ30" t="str">
            <v>S010A180006</v>
          </cell>
          <cell r="CA30">
            <v>80000</v>
          </cell>
          <cell r="CG30">
            <v>-349.56</v>
          </cell>
          <cell r="CM30">
            <v>-7622.21</v>
          </cell>
          <cell r="CQ30">
            <v>-6723.35</v>
          </cell>
          <cell r="CS30">
            <v>-7932.9</v>
          </cell>
          <cell r="CU30">
            <v>-1115.4100000000001</v>
          </cell>
        </row>
        <row r="31">
          <cell r="F31" t="str">
            <v>03</v>
          </cell>
          <cell r="G31" t="str">
            <v>1</v>
          </cell>
          <cell r="H31" t="str">
            <v>0</v>
          </cell>
          <cell r="I31" t="str">
            <v>0</v>
          </cell>
          <cell r="J31" t="str">
            <v>0</v>
          </cell>
          <cell r="K31"/>
          <cell r="L31" t="str">
            <v>1000</v>
          </cell>
          <cell r="M31" t="str">
            <v>01</v>
          </cell>
          <cell r="N31" t="str">
            <v>01303988Connect For Success 17-20</v>
          </cell>
          <cell r="O31" t="str">
            <v>S010A170006</v>
          </cell>
          <cell r="P31" t="str">
            <v>5010</v>
          </cell>
          <cell r="Q31" t="str">
            <v>70*C</v>
          </cell>
          <cell r="R31">
            <v>43173</v>
          </cell>
          <cell r="S31">
            <v>43173</v>
          </cell>
          <cell r="T31">
            <v>7000</v>
          </cell>
          <cell r="AS31">
            <v>0</v>
          </cell>
          <cell r="AT31">
            <v>0</v>
          </cell>
          <cell r="AU31">
            <v>7000</v>
          </cell>
          <cell r="AV31" t="str">
            <v>S010A170006</v>
          </cell>
          <cell r="AW31">
            <v>29000</v>
          </cell>
          <cell r="BA31">
            <v>-1346</v>
          </cell>
          <cell r="BI31">
            <v>-13165</v>
          </cell>
          <cell r="BM31">
            <v>-5672</v>
          </cell>
          <cell r="BQ31">
            <v>-5031</v>
          </cell>
          <cell r="BW31">
            <v>-25214</v>
          </cell>
          <cell r="BX31">
            <v>0</v>
          </cell>
          <cell r="BY31">
            <v>10786</v>
          </cell>
          <cell r="BZ31" t="str">
            <v>S010A180006</v>
          </cell>
          <cell r="CA31">
            <v>80000</v>
          </cell>
          <cell r="CG31">
            <v>-4911.7299999999996</v>
          </cell>
          <cell r="CM31">
            <v>-19422.34</v>
          </cell>
          <cell r="CQ31">
            <v>-5310.6</v>
          </cell>
          <cell r="CS31">
            <v>-28150</v>
          </cell>
        </row>
        <row r="32">
          <cell r="F32" t="str">
            <v>03</v>
          </cell>
          <cell r="G32" t="str">
            <v>1</v>
          </cell>
          <cell r="H32" t="str">
            <v>0</v>
          </cell>
          <cell r="I32" t="str">
            <v>0</v>
          </cell>
          <cell r="J32" t="str">
            <v>0</v>
          </cell>
          <cell r="K32"/>
          <cell r="L32" t="str">
            <v>1000</v>
          </cell>
          <cell r="M32" t="str">
            <v>01</v>
          </cell>
          <cell r="N32" t="str">
            <v>01304276Connect For Success 17-20</v>
          </cell>
          <cell r="O32" t="str">
            <v>S010A170006</v>
          </cell>
          <cell r="P32" t="str">
            <v>5010</v>
          </cell>
          <cell r="Q32" t="str">
            <v>70*C</v>
          </cell>
          <cell r="R32">
            <v>43173</v>
          </cell>
          <cell r="S32">
            <v>43173</v>
          </cell>
          <cell r="T32">
            <v>7000</v>
          </cell>
          <cell r="AS32">
            <v>0</v>
          </cell>
          <cell r="AT32">
            <v>0</v>
          </cell>
          <cell r="AU32">
            <v>7000</v>
          </cell>
          <cell r="AV32" t="str">
            <v>S010A170006</v>
          </cell>
          <cell r="AW32">
            <v>34000</v>
          </cell>
          <cell r="BA32">
            <v>-477</v>
          </cell>
          <cell r="BC32">
            <v>-1093</v>
          </cell>
          <cell r="BI32">
            <v>-19231</v>
          </cell>
          <cell r="BM32">
            <v>-5861</v>
          </cell>
          <cell r="BQ32">
            <v>-8828</v>
          </cell>
          <cell r="BW32">
            <v>-35490</v>
          </cell>
          <cell r="BX32">
            <v>0</v>
          </cell>
          <cell r="BY32">
            <v>5510</v>
          </cell>
          <cell r="BZ32" t="str">
            <v>S010A180006</v>
          </cell>
          <cell r="CA32">
            <v>80000</v>
          </cell>
          <cell r="CG32">
            <v>-5510</v>
          </cell>
          <cell r="CM32">
            <v>-21787.85</v>
          </cell>
          <cell r="CQ32">
            <v>-11132.09</v>
          </cell>
          <cell r="CS32">
            <v>-5218.12</v>
          </cell>
          <cell r="CU32">
            <v>-8201.9500000000007</v>
          </cell>
        </row>
        <row r="33">
          <cell r="F33"/>
          <cell r="G33"/>
          <cell r="H33"/>
          <cell r="I33"/>
          <cell r="J33"/>
          <cell r="K33"/>
          <cell r="L33"/>
          <cell r="M33"/>
          <cell r="N33" t="str">
            <v>01306625Connect For Success 20-23</v>
          </cell>
          <cell r="P33" t="str">
            <v>5010</v>
          </cell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I33"/>
          <cell r="AJ33"/>
          <cell r="AK33"/>
          <cell r="AL33"/>
          <cell r="AM33"/>
          <cell r="AN33"/>
          <cell r="AO33"/>
          <cell r="AP33"/>
          <cell r="AQ33"/>
          <cell r="AR33"/>
          <cell r="AS33"/>
          <cell r="AT33"/>
          <cell r="AU33"/>
          <cell r="AV33"/>
          <cell r="AW33"/>
          <cell r="AX33"/>
          <cell r="AY33"/>
          <cell r="AZ33"/>
          <cell r="BA33"/>
          <cell r="BB33"/>
          <cell r="BC33"/>
          <cell r="BD33"/>
          <cell r="BE33"/>
          <cell r="BF33"/>
          <cell r="BG33"/>
          <cell r="BH33"/>
          <cell r="BI33"/>
          <cell r="BJ33"/>
          <cell r="BK33"/>
          <cell r="BL33"/>
          <cell r="BM33"/>
          <cell r="BN33"/>
          <cell r="BO33"/>
          <cell r="BP33"/>
          <cell r="BQ33"/>
          <cell r="BR33"/>
          <cell r="BS33"/>
          <cell r="BT33"/>
          <cell r="BU33"/>
          <cell r="BV33"/>
          <cell r="BW33"/>
          <cell r="BX33"/>
          <cell r="BY33"/>
          <cell r="BZ33"/>
          <cell r="CA33"/>
          <cell r="CB33"/>
          <cell r="CC33"/>
          <cell r="CD33"/>
          <cell r="CE33"/>
          <cell r="CF33"/>
          <cell r="CG33"/>
          <cell r="CH33"/>
          <cell r="CI33"/>
          <cell r="CJ33"/>
          <cell r="CK33"/>
          <cell r="CL33"/>
          <cell r="CM33"/>
          <cell r="CN33"/>
          <cell r="CO33"/>
          <cell r="CP33"/>
          <cell r="CQ33"/>
          <cell r="CR33"/>
          <cell r="CS33"/>
          <cell r="CT33"/>
          <cell r="CU33"/>
          <cell r="CV33"/>
          <cell r="CW33"/>
          <cell r="CX33"/>
          <cell r="CY33"/>
          <cell r="CZ33"/>
          <cell r="DA33"/>
        </row>
        <row r="34">
          <cell r="F34" t="str">
            <v>03</v>
          </cell>
          <cell r="G34" t="str">
            <v>1</v>
          </cell>
          <cell r="H34" t="str">
            <v>0</v>
          </cell>
          <cell r="I34" t="str">
            <v>0</v>
          </cell>
          <cell r="J34" t="str">
            <v>0</v>
          </cell>
          <cell r="K34"/>
          <cell r="L34" t="str">
            <v>1000</v>
          </cell>
          <cell r="M34" t="str">
            <v>01</v>
          </cell>
          <cell r="N34" t="str">
            <v>01307116Connect For Success 17-20</v>
          </cell>
          <cell r="O34" t="str">
            <v>S010A170006</v>
          </cell>
          <cell r="P34" t="str">
            <v>5010</v>
          </cell>
          <cell r="Q34" t="str">
            <v>70*C</v>
          </cell>
          <cell r="R34">
            <v>43173</v>
          </cell>
          <cell r="S34">
            <v>43173</v>
          </cell>
          <cell r="T34">
            <v>7000</v>
          </cell>
          <cell r="AS34">
            <v>0</v>
          </cell>
          <cell r="AT34">
            <v>0</v>
          </cell>
          <cell r="AU34">
            <v>7000</v>
          </cell>
          <cell r="AV34" t="str">
            <v>S010A170006</v>
          </cell>
          <cell r="AW34">
            <v>34000</v>
          </cell>
          <cell r="BM34">
            <v>-10130</v>
          </cell>
          <cell r="BQ34">
            <v>-12272</v>
          </cell>
          <cell r="BW34">
            <v>-22402</v>
          </cell>
          <cell r="BX34">
            <v>0</v>
          </cell>
          <cell r="BY34">
            <v>18598</v>
          </cell>
          <cell r="BZ34" t="str">
            <v>S010A180006</v>
          </cell>
          <cell r="CA34">
            <v>80000</v>
          </cell>
          <cell r="CQ34">
            <v>-2640</v>
          </cell>
          <cell r="CS34">
            <v>-17410.97</v>
          </cell>
          <cell r="CU34">
            <v>-2391.79</v>
          </cell>
        </row>
        <row r="35">
          <cell r="F35" t="str">
            <v>03</v>
          </cell>
          <cell r="G35" t="str">
            <v>1</v>
          </cell>
          <cell r="H35" t="str">
            <v>0</v>
          </cell>
          <cell r="I35" t="str">
            <v>0</v>
          </cell>
          <cell r="J35" t="str">
            <v>0</v>
          </cell>
          <cell r="K35"/>
          <cell r="L35" t="str">
            <v>1000</v>
          </cell>
          <cell r="M35" t="str">
            <v>01</v>
          </cell>
          <cell r="N35" t="str">
            <v>01309108Connect For Success 17-20</v>
          </cell>
          <cell r="O35" t="str">
            <v>S010A170006</v>
          </cell>
          <cell r="P35" t="str">
            <v>5010</v>
          </cell>
          <cell r="Q35" t="str">
            <v>70*C</v>
          </cell>
          <cell r="R35">
            <v>43173</v>
          </cell>
          <cell r="S35">
            <v>43173</v>
          </cell>
          <cell r="T35">
            <v>7000</v>
          </cell>
          <cell r="AS35">
            <v>0</v>
          </cell>
          <cell r="AT35">
            <v>0</v>
          </cell>
          <cell r="AU35">
            <v>7000</v>
          </cell>
          <cell r="AV35" t="str">
            <v>S010A170006</v>
          </cell>
          <cell r="AW35">
            <v>34000</v>
          </cell>
          <cell r="BA35">
            <v>-3450</v>
          </cell>
          <cell r="BI35">
            <v>-7539</v>
          </cell>
          <cell r="BM35">
            <v>-5267</v>
          </cell>
          <cell r="BQ35">
            <v>-5920</v>
          </cell>
          <cell r="BW35">
            <v>-22176</v>
          </cell>
          <cell r="BX35">
            <v>0</v>
          </cell>
          <cell r="BY35">
            <v>18824</v>
          </cell>
          <cell r="BZ35" t="str">
            <v>S010A180006</v>
          </cell>
          <cell r="CA35">
            <v>80000</v>
          </cell>
          <cell r="CG35">
            <v>-10114.1</v>
          </cell>
          <cell r="CI35">
            <v>-630</v>
          </cell>
          <cell r="CM35">
            <v>-24000</v>
          </cell>
          <cell r="CS35">
            <v>-36889.599999999999</v>
          </cell>
          <cell r="CU35">
            <v>-20341.099999999999</v>
          </cell>
        </row>
        <row r="36">
          <cell r="F36" t="str">
            <v>03</v>
          </cell>
          <cell r="G36" t="str">
            <v>1</v>
          </cell>
          <cell r="H36" t="str">
            <v>0</v>
          </cell>
          <cell r="I36" t="str">
            <v>0</v>
          </cell>
          <cell r="J36" t="str">
            <v>0</v>
          </cell>
          <cell r="K36"/>
          <cell r="L36" t="str">
            <v>1000</v>
          </cell>
          <cell r="M36" t="str">
            <v>01</v>
          </cell>
          <cell r="N36" t="str">
            <v>0130N/AConnect For Success 17-20</v>
          </cell>
          <cell r="O36" t="str">
            <v>S010A170006</v>
          </cell>
          <cell r="P36" t="str">
            <v>5010</v>
          </cell>
          <cell r="Q36" t="str">
            <v>70*C</v>
          </cell>
          <cell r="R36">
            <v>43173</v>
          </cell>
          <cell r="S36">
            <v>43173</v>
          </cell>
          <cell r="T36">
            <v>78085</v>
          </cell>
          <cell r="AS36">
            <v>0</v>
          </cell>
          <cell r="AT36">
            <v>0</v>
          </cell>
          <cell r="AU36">
            <v>78085</v>
          </cell>
          <cell r="AV36" t="str">
            <v>S010A170006</v>
          </cell>
          <cell r="AW36">
            <v>281000</v>
          </cell>
          <cell r="BA36">
            <v>-531</v>
          </cell>
          <cell r="BC36">
            <v>-222</v>
          </cell>
          <cell r="BI36">
            <v>-52068</v>
          </cell>
          <cell r="BM36">
            <v>-28077</v>
          </cell>
          <cell r="BQ36">
            <v>-39850</v>
          </cell>
          <cell r="BW36">
            <v>-120748</v>
          </cell>
          <cell r="BX36">
            <v>0</v>
          </cell>
          <cell r="BY36">
            <v>238337</v>
          </cell>
          <cell r="CG36">
            <v>-88119.150000000009</v>
          </cell>
          <cell r="CI36">
            <v>-12049.77</v>
          </cell>
          <cell r="CK36">
            <v>-25218.33</v>
          </cell>
          <cell r="CM36">
            <v>-37349.96</v>
          </cell>
          <cell r="CQ36">
            <v>-9008.07</v>
          </cell>
          <cell r="CS36">
            <v>-17255.760000000002</v>
          </cell>
          <cell r="CU36">
            <v>-8754.61</v>
          </cell>
        </row>
        <row r="37">
          <cell r="F37" t="str">
            <v>03</v>
          </cell>
          <cell r="G37" t="str">
            <v>1</v>
          </cell>
          <cell r="H37" t="str">
            <v>0</v>
          </cell>
          <cell r="I37" t="str">
            <v>0</v>
          </cell>
          <cell r="J37" t="str">
            <v>0</v>
          </cell>
          <cell r="K37"/>
          <cell r="L37" t="str">
            <v>1000</v>
          </cell>
          <cell r="M37" t="str">
            <v>01</v>
          </cell>
          <cell r="N37" t="str">
            <v>01702136Connect For Success 17-20</v>
          </cell>
          <cell r="O37" t="str">
            <v>S010A170006</v>
          </cell>
          <cell r="P37" t="str">
            <v>5010</v>
          </cell>
          <cell r="Q37" t="str">
            <v>70*C</v>
          </cell>
          <cell r="R37">
            <v>43173</v>
          </cell>
          <cell r="S37">
            <v>43173</v>
          </cell>
          <cell r="T37">
            <v>23000</v>
          </cell>
          <cell r="AS37">
            <v>0</v>
          </cell>
          <cell r="AT37">
            <v>0</v>
          </cell>
          <cell r="AU37">
            <v>23000</v>
          </cell>
          <cell r="AV37" t="str">
            <v>S010A170006</v>
          </cell>
          <cell r="AW37">
            <v>77000</v>
          </cell>
          <cell r="BA37">
            <v>-14757</v>
          </cell>
          <cell r="BW37">
            <v>-14757</v>
          </cell>
          <cell r="BX37">
            <v>0</v>
          </cell>
          <cell r="BY37">
            <v>85243</v>
          </cell>
          <cell r="CE37">
            <v>-60685.64</v>
          </cell>
          <cell r="DA37">
            <v>-24557.360000000001</v>
          </cell>
        </row>
        <row r="38">
          <cell r="F38" t="str">
            <v>03</v>
          </cell>
          <cell r="G38" t="str">
            <v>0</v>
          </cell>
          <cell r="H38" t="str">
            <v>1</v>
          </cell>
          <cell r="I38" t="str">
            <v>0</v>
          </cell>
          <cell r="J38" t="str">
            <v>0</v>
          </cell>
          <cell r="K38"/>
          <cell r="L38" t="str">
            <v>0100</v>
          </cell>
          <cell r="M38" t="str">
            <v>02</v>
          </cell>
          <cell r="N38" t="str">
            <v>01804646Connect For Success 16-19</v>
          </cell>
          <cell r="O38" t="str">
            <v>Old Funding Source 16-19</v>
          </cell>
          <cell r="P38" t="str">
            <v>5010</v>
          </cell>
          <cell r="Q38" t="str">
            <v>70*C</v>
          </cell>
          <cell r="R38">
            <v>43173</v>
          </cell>
          <cell r="S38">
            <v>43173</v>
          </cell>
          <cell r="T38">
            <v>0</v>
          </cell>
          <cell r="AS38">
            <v>0</v>
          </cell>
          <cell r="AT38">
            <v>0</v>
          </cell>
          <cell r="AU38">
            <v>0</v>
          </cell>
          <cell r="AW38"/>
          <cell r="AX38">
            <v>112052</v>
          </cell>
          <cell r="BK38">
            <v>-4234</v>
          </cell>
          <cell r="BM38">
            <v>-2149</v>
          </cell>
          <cell r="BO38">
            <v>-2753</v>
          </cell>
          <cell r="BQ38">
            <v>-14095</v>
          </cell>
          <cell r="BS38">
            <v>-3116</v>
          </cell>
          <cell r="BU38">
            <v>-4801</v>
          </cell>
          <cell r="BW38">
            <v>-31148</v>
          </cell>
          <cell r="BX38">
            <v>0</v>
          </cell>
          <cell r="BY38">
            <v>80904</v>
          </cell>
          <cell r="CO38">
            <v>-783.24</v>
          </cell>
          <cell r="CQ38">
            <v>-3769.43</v>
          </cell>
          <cell r="CS38">
            <v>-29619.909999999996</v>
          </cell>
          <cell r="CU38">
            <v>-10693.08</v>
          </cell>
          <cell r="CW38">
            <v>-5264.99</v>
          </cell>
        </row>
        <row r="39">
          <cell r="F39" t="str">
            <v>03</v>
          </cell>
          <cell r="G39" t="str">
            <v>0</v>
          </cell>
          <cell r="H39" t="str">
            <v>1</v>
          </cell>
          <cell r="I39" t="str">
            <v>0</v>
          </cell>
          <cell r="J39" t="str">
            <v>0</v>
          </cell>
          <cell r="K39"/>
          <cell r="L39" t="str">
            <v>0100</v>
          </cell>
          <cell r="M39" t="str">
            <v>02</v>
          </cell>
          <cell r="N39" t="str">
            <v>01807932Connect For Success 16-19</v>
          </cell>
          <cell r="O39" t="str">
            <v>Old Funding Source 16-19</v>
          </cell>
          <cell r="P39" t="str">
            <v>5010</v>
          </cell>
          <cell r="Q39" t="str">
            <v>70*C</v>
          </cell>
          <cell r="R39">
            <v>43173</v>
          </cell>
          <cell r="S39">
            <v>43173</v>
          </cell>
          <cell r="T39">
            <v>0</v>
          </cell>
          <cell r="AS39">
            <v>0</v>
          </cell>
          <cell r="AT39">
            <v>0</v>
          </cell>
          <cell r="AU39">
            <v>0</v>
          </cell>
          <cell r="AW39"/>
          <cell r="AX39">
            <v>93317</v>
          </cell>
          <cell r="BI39">
            <v>-5428</v>
          </cell>
          <cell r="BK39">
            <v>-5496</v>
          </cell>
          <cell r="BM39">
            <v>-4892</v>
          </cell>
          <cell r="BO39">
            <v>-5823</v>
          </cell>
          <cell r="BQ39">
            <v>-11814</v>
          </cell>
          <cell r="BS39">
            <v>-7551</v>
          </cell>
          <cell r="BU39">
            <v>-8695</v>
          </cell>
          <cell r="BW39">
            <v>-49699</v>
          </cell>
          <cell r="BX39">
            <v>0</v>
          </cell>
          <cell r="BY39">
            <v>43618</v>
          </cell>
          <cell r="CM39">
            <v>-868.22</v>
          </cell>
          <cell r="CO39">
            <v>-260.01</v>
          </cell>
          <cell r="CS39">
            <v>-28638.68</v>
          </cell>
          <cell r="CU39">
            <v>-94.1</v>
          </cell>
          <cell r="CW39">
            <v>-5687.82</v>
          </cell>
          <cell r="CY39">
            <v>-295</v>
          </cell>
          <cell r="DA39">
            <v>-4841.05</v>
          </cell>
        </row>
        <row r="40">
          <cell r="F40"/>
          <cell r="G40"/>
          <cell r="H40"/>
          <cell r="I40"/>
          <cell r="J40"/>
          <cell r="K40"/>
          <cell r="L40"/>
          <cell r="M40"/>
          <cell r="N40" t="str">
            <v>04800934Connect For Success 20-23</v>
          </cell>
          <cell r="P40" t="str">
            <v>5010</v>
          </cell>
          <cell r="Q40"/>
          <cell r="R40"/>
          <cell r="S40"/>
          <cell r="T40"/>
          <cell r="U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H40"/>
          <cell r="AI40"/>
          <cell r="AJ40"/>
          <cell r="AK40"/>
          <cell r="AL40"/>
          <cell r="AM40"/>
          <cell r="AN40"/>
          <cell r="AO40"/>
          <cell r="AP40"/>
          <cell r="AQ40"/>
          <cell r="AR40"/>
          <cell r="AS40"/>
          <cell r="AT40"/>
          <cell r="AU40"/>
          <cell r="AV40"/>
          <cell r="AW40"/>
          <cell r="AX40"/>
          <cell r="AY40"/>
          <cell r="AZ40"/>
          <cell r="BA40"/>
          <cell r="BB40"/>
          <cell r="BC40"/>
          <cell r="BD40"/>
          <cell r="BE40"/>
          <cell r="BF40"/>
          <cell r="BG40"/>
          <cell r="BH40"/>
          <cell r="BI40"/>
          <cell r="BJ40"/>
          <cell r="BK40"/>
          <cell r="BL40"/>
          <cell r="BM40"/>
          <cell r="BN40"/>
          <cell r="BO40"/>
          <cell r="BP40"/>
          <cell r="BQ40"/>
          <cell r="BR40"/>
          <cell r="BS40"/>
          <cell r="BT40"/>
          <cell r="BU40"/>
          <cell r="BV40"/>
          <cell r="BW40"/>
          <cell r="BX40"/>
          <cell r="BY40"/>
          <cell r="BZ40"/>
          <cell r="CA40"/>
          <cell r="CB40"/>
          <cell r="CC40"/>
          <cell r="CD40"/>
          <cell r="CE40"/>
          <cell r="CF40"/>
          <cell r="CG40"/>
          <cell r="CH40"/>
          <cell r="CI40"/>
          <cell r="CJ40"/>
          <cell r="CK40"/>
          <cell r="CL40"/>
          <cell r="CM40"/>
          <cell r="CN40"/>
          <cell r="CO40"/>
          <cell r="CP40"/>
          <cell r="CQ40"/>
          <cell r="CR40"/>
          <cell r="CS40"/>
          <cell r="CT40"/>
          <cell r="CU40"/>
          <cell r="CV40"/>
          <cell r="CW40"/>
          <cell r="CX40"/>
          <cell r="CY40"/>
          <cell r="CZ40"/>
          <cell r="DA40"/>
        </row>
        <row r="41">
          <cell r="F41" t="str">
            <v>03</v>
          </cell>
          <cell r="G41" t="str">
            <v>1</v>
          </cell>
          <cell r="H41" t="str">
            <v>0</v>
          </cell>
          <cell r="I41" t="str">
            <v>0</v>
          </cell>
          <cell r="J41" t="str">
            <v>0</v>
          </cell>
          <cell r="K41"/>
          <cell r="L41" t="str">
            <v>1000</v>
          </cell>
          <cell r="M41" t="str">
            <v>01</v>
          </cell>
          <cell r="N41" t="str">
            <v>0580N/AConnect For Success 17-20</v>
          </cell>
          <cell r="O41" t="str">
            <v>S010A170006</v>
          </cell>
          <cell r="P41" t="str">
            <v>5010</v>
          </cell>
          <cell r="Q41" t="str">
            <v>70*C</v>
          </cell>
          <cell r="R41">
            <v>43173</v>
          </cell>
          <cell r="S41">
            <v>43173</v>
          </cell>
          <cell r="T41">
            <v>20000</v>
          </cell>
          <cell r="AS41">
            <v>0</v>
          </cell>
          <cell r="AT41">
            <v>0</v>
          </cell>
          <cell r="AU41">
            <v>20000</v>
          </cell>
          <cell r="AV41" t="str">
            <v>S010A170006</v>
          </cell>
          <cell r="AW41">
            <v>80000</v>
          </cell>
          <cell r="BU41">
            <v>-53973</v>
          </cell>
          <cell r="BW41">
            <v>-53973</v>
          </cell>
          <cell r="BX41">
            <v>0</v>
          </cell>
          <cell r="BY41">
            <v>46027</v>
          </cell>
          <cell r="BZ41" t="str">
            <v>S010A190006</v>
          </cell>
          <cell r="CA41">
            <v>80000</v>
          </cell>
          <cell r="CK41">
            <v>-67420.77</v>
          </cell>
          <cell r="CU41">
            <v>-58606.23</v>
          </cell>
        </row>
        <row r="42">
          <cell r="F42" t="str">
            <v>03</v>
          </cell>
          <cell r="G42" t="str">
            <v>0</v>
          </cell>
          <cell r="H42" t="str">
            <v>1</v>
          </cell>
          <cell r="I42" t="str">
            <v>0</v>
          </cell>
          <cell r="J42" t="str">
            <v>0</v>
          </cell>
          <cell r="K42"/>
          <cell r="L42" t="str">
            <v>0100</v>
          </cell>
          <cell r="M42" t="str">
            <v>02</v>
          </cell>
          <cell r="N42" t="str">
            <v>08801295Connect For Success 18-21</v>
          </cell>
          <cell r="P42" t="str">
            <v>5010</v>
          </cell>
          <cell r="Q42" t="str">
            <v>70*C</v>
          </cell>
          <cell r="R42"/>
          <cell r="S42"/>
          <cell r="AV42" t="str">
            <v>S010A180006</v>
          </cell>
          <cell r="AW42"/>
          <cell r="AX42">
            <v>19878</v>
          </cell>
          <cell r="BW42">
            <v>0</v>
          </cell>
          <cell r="BX42">
            <v>0</v>
          </cell>
          <cell r="BY42">
            <v>19878</v>
          </cell>
          <cell r="BZ42" t="str">
            <v>S010A190006</v>
          </cell>
          <cell r="CB42">
            <v>79993</v>
          </cell>
        </row>
        <row r="43">
          <cell r="F43" t="str">
            <v>03</v>
          </cell>
          <cell r="G43" t="str">
            <v>0</v>
          </cell>
          <cell r="H43" t="str">
            <v>1</v>
          </cell>
          <cell r="I43" t="str">
            <v>0</v>
          </cell>
          <cell r="J43" t="str">
            <v>0</v>
          </cell>
          <cell r="K43"/>
          <cell r="L43" t="str">
            <v>0100</v>
          </cell>
          <cell r="M43" t="str">
            <v>02</v>
          </cell>
          <cell r="N43" t="str">
            <v>08801816Connect For Success 16-19</v>
          </cell>
          <cell r="O43" t="str">
            <v>Old Funding Source 16-19</v>
          </cell>
          <cell r="P43" t="str">
            <v>5010</v>
          </cell>
          <cell r="Q43" t="str">
            <v>70*C</v>
          </cell>
          <cell r="R43">
            <v>43173</v>
          </cell>
          <cell r="S43">
            <v>43173</v>
          </cell>
          <cell r="T43">
            <v>0</v>
          </cell>
          <cell r="AS43">
            <v>0</v>
          </cell>
          <cell r="AT43">
            <v>0</v>
          </cell>
          <cell r="AU43">
            <v>0</v>
          </cell>
          <cell r="AW43"/>
          <cell r="AX43">
            <v>116511</v>
          </cell>
          <cell r="BK43">
            <v>-33663</v>
          </cell>
          <cell r="BQ43">
            <v>-39723</v>
          </cell>
          <cell r="BW43">
            <v>-73386</v>
          </cell>
          <cell r="BX43">
            <v>0</v>
          </cell>
          <cell r="BY43">
            <v>43125</v>
          </cell>
        </row>
        <row r="44">
          <cell r="F44" t="str">
            <v>03</v>
          </cell>
          <cell r="G44" t="str">
            <v>0</v>
          </cell>
          <cell r="H44" t="str">
            <v>1</v>
          </cell>
          <cell r="I44" t="str">
            <v>0</v>
          </cell>
          <cell r="J44" t="str">
            <v>0</v>
          </cell>
          <cell r="K44"/>
          <cell r="L44" t="str">
            <v>0100</v>
          </cell>
          <cell r="M44" t="str">
            <v>02</v>
          </cell>
          <cell r="N44" t="str">
            <v>08802364Connect For Success 16-19</v>
          </cell>
          <cell r="O44" t="str">
            <v>Old Funding Source 16-19</v>
          </cell>
          <cell r="P44" t="str">
            <v>5010</v>
          </cell>
          <cell r="Q44" t="str">
            <v>70*C</v>
          </cell>
          <cell r="R44">
            <v>43173</v>
          </cell>
          <cell r="S44">
            <v>43173</v>
          </cell>
          <cell r="T44">
            <v>0</v>
          </cell>
          <cell r="AS44">
            <v>0</v>
          </cell>
          <cell r="AT44">
            <v>0</v>
          </cell>
          <cell r="AU44">
            <v>0</v>
          </cell>
          <cell r="AW44"/>
          <cell r="AX44">
            <v>99026</v>
          </cell>
          <cell r="BK44">
            <v>-36199</v>
          </cell>
          <cell r="BQ44">
            <v>-33372</v>
          </cell>
          <cell r="BW44">
            <v>-69571</v>
          </cell>
          <cell r="BX44">
            <v>0</v>
          </cell>
          <cell r="BY44">
            <v>29455</v>
          </cell>
        </row>
        <row r="45">
          <cell r="F45" t="str">
            <v>03</v>
          </cell>
          <cell r="G45" t="str">
            <v>0</v>
          </cell>
          <cell r="H45" t="str">
            <v>1</v>
          </cell>
          <cell r="I45" t="str">
            <v>0</v>
          </cell>
          <cell r="J45" t="str">
            <v>0</v>
          </cell>
          <cell r="K45"/>
          <cell r="L45" t="str">
            <v>0100</v>
          </cell>
          <cell r="M45" t="str">
            <v>02</v>
          </cell>
          <cell r="N45" t="str">
            <v>08803655Connect For Success 18-21</v>
          </cell>
          <cell r="P45" t="str">
            <v>5010</v>
          </cell>
          <cell r="Q45" t="str">
            <v>70*C</v>
          </cell>
          <cell r="R45"/>
          <cell r="S45"/>
          <cell r="AV45" t="str">
            <v>S010A180006</v>
          </cell>
          <cell r="AW45"/>
          <cell r="AX45">
            <v>19878</v>
          </cell>
          <cell r="BW45">
            <v>0</v>
          </cell>
          <cell r="BX45">
            <v>0</v>
          </cell>
          <cell r="BY45">
            <v>19878</v>
          </cell>
          <cell r="BZ45" t="str">
            <v>S010A190006</v>
          </cell>
          <cell r="CB45">
            <v>79993</v>
          </cell>
        </row>
        <row r="46">
          <cell r="F46" t="str">
            <v>03</v>
          </cell>
          <cell r="G46" t="str">
            <v>0</v>
          </cell>
          <cell r="H46" t="str">
            <v>0</v>
          </cell>
          <cell r="I46" t="str">
            <v>0</v>
          </cell>
          <cell r="J46" t="str">
            <v>0</v>
          </cell>
          <cell r="K46"/>
          <cell r="L46" t="str">
            <v>0000</v>
          </cell>
          <cell r="M46" t="str">
            <v>X</v>
          </cell>
          <cell r="N46" t="str">
            <v>08803699Connect For Success 19-22</v>
          </cell>
          <cell r="P46" t="str">
            <v>5010</v>
          </cell>
          <cell r="Q46" t="str">
            <v>70*C</v>
          </cell>
          <cell r="R46">
            <v>43168</v>
          </cell>
          <cell r="S46">
            <v>43168</v>
          </cell>
          <cell r="AS46">
            <v>0</v>
          </cell>
          <cell r="AT46">
            <v>0</v>
          </cell>
          <cell r="AU46">
            <v>0</v>
          </cell>
          <cell r="AV46" t="str">
            <v>S010A170006</v>
          </cell>
          <cell r="AW46"/>
          <cell r="BW46">
            <v>0</v>
          </cell>
          <cell r="BX46">
            <v>0</v>
          </cell>
          <cell r="BY46">
            <v>0</v>
          </cell>
        </row>
        <row r="47">
          <cell r="F47" t="str">
            <v>03</v>
          </cell>
          <cell r="G47" t="str">
            <v>0</v>
          </cell>
          <cell r="H47" t="str">
            <v>1</v>
          </cell>
          <cell r="I47" t="str">
            <v>0</v>
          </cell>
          <cell r="J47" t="str">
            <v>0</v>
          </cell>
          <cell r="K47"/>
          <cell r="L47" t="str">
            <v>0100</v>
          </cell>
          <cell r="M47" t="str">
            <v>02</v>
          </cell>
          <cell r="N47" t="str">
            <v>08804049Connect For Success 18-21</v>
          </cell>
          <cell r="P47" t="str">
            <v>5010</v>
          </cell>
          <cell r="Q47" t="str">
            <v>70*C</v>
          </cell>
          <cell r="R47"/>
          <cell r="S47"/>
          <cell r="AV47" t="str">
            <v>S010A180006</v>
          </cell>
          <cell r="AW47"/>
          <cell r="AX47">
            <v>21560</v>
          </cell>
          <cell r="BW47">
            <v>0</v>
          </cell>
          <cell r="BX47">
            <v>0</v>
          </cell>
          <cell r="BY47">
            <v>21560</v>
          </cell>
          <cell r="BZ47" t="str">
            <v>S010A190006</v>
          </cell>
          <cell r="CB47">
            <v>78432</v>
          </cell>
          <cell r="CI47">
            <v>-2463.65</v>
          </cell>
        </row>
        <row r="48">
          <cell r="F48" t="str">
            <v>03</v>
          </cell>
          <cell r="G48" t="str">
            <v>0</v>
          </cell>
          <cell r="H48" t="str">
            <v>1</v>
          </cell>
          <cell r="I48" t="str">
            <v>0</v>
          </cell>
          <cell r="J48" t="str">
            <v>0</v>
          </cell>
          <cell r="K48"/>
          <cell r="L48" t="str">
            <v>0100</v>
          </cell>
          <cell r="M48" t="str">
            <v>02</v>
          </cell>
          <cell r="N48" t="str">
            <v>08804383Connect For Success 18-21</v>
          </cell>
          <cell r="P48" t="str">
            <v>5010</v>
          </cell>
          <cell r="Q48" t="str">
            <v>70*C</v>
          </cell>
          <cell r="R48"/>
          <cell r="S48"/>
          <cell r="AV48" t="str">
            <v>S010A180006</v>
          </cell>
          <cell r="AW48"/>
          <cell r="AX48">
            <v>19878</v>
          </cell>
          <cell r="BW48">
            <v>0</v>
          </cell>
          <cell r="BX48">
            <v>0</v>
          </cell>
          <cell r="BY48">
            <v>19878</v>
          </cell>
          <cell r="BZ48" t="str">
            <v>S010A190006</v>
          </cell>
          <cell r="CB48">
            <v>79993</v>
          </cell>
        </row>
        <row r="49">
          <cell r="F49" t="str">
            <v>03</v>
          </cell>
          <cell r="G49" t="str">
            <v>0</v>
          </cell>
          <cell r="H49" t="str">
            <v>1</v>
          </cell>
          <cell r="I49" t="str">
            <v>0</v>
          </cell>
          <cell r="J49" t="str">
            <v>0</v>
          </cell>
          <cell r="K49"/>
          <cell r="L49" t="str">
            <v>0100</v>
          </cell>
          <cell r="M49" t="str">
            <v>02</v>
          </cell>
          <cell r="N49" t="str">
            <v>08804450Connect For Success 16-19</v>
          </cell>
          <cell r="O49" t="str">
            <v>Old Funding Source 16-19</v>
          </cell>
          <cell r="P49" t="str">
            <v>5010</v>
          </cell>
          <cell r="Q49" t="str">
            <v>70*C</v>
          </cell>
          <cell r="R49">
            <v>43173</v>
          </cell>
          <cell r="S49">
            <v>43173</v>
          </cell>
          <cell r="T49">
            <v>0</v>
          </cell>
          <cell r="AS49">
            <v>0</v>
          </cell>
          <cell r="AT49">
            <v>0</v>
          </cell>
          <cell r="AU49">
            <v>0</v>
          </cell>
          <cell r="AW49"/>
          <cell r="AX49">
            <v>102734</v>
          </cell>
          <cell r="BK49">
            <v>-33630</v>
          </cell>
          <cell r="BQ49">
            <v>-40700</v>
          </cell>
          <cell r="BW49">
            <v>-74330</v>
          </cell>
          <cell r="BX49">
            <v>0</v>
          </cell>
          <cell r="BY49">
            <v>28404</v>
          </cell>
        </row>
        <row r="50">
          <cell r="F50" t="str">
            <v>03</v>
          </cell>
          <cell r="G50" t="str">
            <v>0</v>
          </cell>
          <cell r="H50" t="str">
            <v>1</v>
          </cell>
          <cell r="I50" t="str">
            <v>0</v>
          </cell>
          <cell r="J50" t="str">
            <v>0</v>
          </cell>
          <cell r="K50"/>
          <cell r="L50" t="str">
            <v>0100</v>
          </cell>
          <cell r="M50" t="str">
            <v>02</v>
          </cell>
          <cell r="N50" t="str">
            <v>08804782Connect For Success 16-19</v>
          </cell>
          <cell r="O50" t="str">
            <v>Old Funding Source 16-19</v>
          </cell>
          <cell r="P50" t="str">
            <v>5010</v>
          </cell>
          <cell r="Q50" t="str">
            <v>70*C</v>
          </cell>
          <cell r="R50">
            <v>43173</v>
          </cell>
          <cell r="S50">
            <v>43173</v>
          </cell>
          <cell r="T50">
            <v>0</v>
          </cell>
          <cell r="AS50">
            <v>0</v>
          </cell>
          <cell r="AT50">
            <v>0</v>
          </cell>
          <cell r="AU50">
            <v>0</v>
          </cell>
          <cell r="AW50"/>
          <cell r="AX50">
            <v>107981</v>
          </cell>
          <cell r="BK50">
            <v>-40275</v>
          </cell>
          <cell r="BQ50">
            <v>-46708</v>
          </cell>
          <cell r="BW50">
            <v>-86983</v>
          </cell>
          <cell r="BX50">
            <v>0</v>
          </cell>
          <cell r="BY50">
            <v>20998</v>
          </cell>
        </row>
        <row r="51">
          <cell r="F51"/>
          <cell r="G51"/>
          <cell r="H51"/>
          <cell r="I51"/>
          <cell r="J51"/>
          <cell r="K51"/>
          <cell r="L51"/>
          <cell r="M51"/>
          <cell r="N51" t="str">
            <v>08805255Connect For Success 20-23</v>
          </cell>
          <cell r="P51" t="str">
            <v>5010</v>
          </cell>
          <cell r="Q51"/>
          <cell r="R51"/>
          <cell r="S51"/>
          <cell r="T51"/>
          <cell r="U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/>
          <cell r="AG51"/>
          <cell r="AH51"/>
          <cell r="AI51"/>
          <cell r="AJ51"/>
          <cell r="AK51"/>
          <cell r="AL51"/>
          <cell r="AM51"/>
          <cell r="AN51"/>
          <cell r="AO51"/>
          <cell r="AP51"/>
          <cell r="AQ51"/>
          <cell r="AR51"/>
          <cell r="AS51"/>
          <cell r="AT51"/>
          <cell r="AU51"/>
          <cell r="AV51"/>
          <cell r="AW51"/>
          <cell r="AX51"/>
          <cell r="AY51"/>
          <cell r="AZ51"/>
          <cell r="BA51"/>
          <cell r="BB51"/>
          <cell r="BC51"/>
          <cell r="BD51"/>
          <cell r="BE51"/>
          <cell r="BF51"/>
          <cell r="BG51"/>
          <cell r="BH51"/>
          <cell r="BI51"/>
          <cell r="BJ51"/>
          <cell r="BK51"/>
          <cell r="BL51"/>
          <cell r="BM51"/>
          <cell r="BN51"/>
          <cell r="BO51"/>
          <cell r="BP51"/>
          <cell r="BQ51"/>
          <cell r="BR51"/>
          <cell r="BS51"/>
          <cell r="BT51"/>
          <cell r="BU51"/>
          <cell r="BV51"/>
          <cell r="BW51"/>
          <cell r="BX51"/>
          <cell r="BY51"/>
          <cell r="BZ51"/>
          <cell r="CA51"/>
          <cell r="CB51"/>
          <cell r="CC51"/>
          <cell r="CD51"/>
          <cell r="CE51"/>
          <cell r="CF51"/>
          <cell r="CG51"/>
          <cell r="CH51"/>
          <cell r="CI51"/>
          <cell r="CJ51"/>
          <cell r="CK51"/>
          <cell r="CL51"/>
          <cell r="CM51"/>
          <cell r="CN51"/>
          <cell r="CO51"/>
          <cell r="CP51"/>
          <cell r="CQ51"/>
          <cell r="CR51"/>
          <cell r="CS51"/>
          <cell r="CT51"/>
          <cell r="CU51"/>
          <cell r="CV51"/>
          <cell r="CW51"/>
          <cell r="CX51"/>
          <cell r="CY51"/>
          <cell r="CZ51"/>
          <cell r="DA51"/>
        </row>
        <row r="52">
          <cell r="F52" t="str">
            <v>03</v>
          </cell>
          <cell r="G52" t="str">
            <v>0</v>
          </cell>
          <cell r="H52" t="str">
            <v>1</v>
          </cell>
          <cell r="I52" t="str">
            <v>0</v>
          </cell>
          <cell r="J52" t="str">
            <v>0</v>
          </cell>
          <cell r="K52"/>
          <cell r="L52" t="str">
            <v>0100</v>
          </cell>
          <cell r="M52" t="str">
            <v>02</v>
          </cell>
          <cell r="N52" t="str">
            <v>08805621Connect For Success 18-21</v>
          </cell>
          <cell r="P52" t="str">
            <v>5010</v>
          </cell>
          <cell r="Q52" t="str">
            <v>70*C</v>
          </cell>
          <cell r="R52"/>
          <cell r="S52"/>
          <cell r="AV52" t="str">
            <v>S010A180006</v>
          </cell>
          <cell r="AW52"/>
          <cell r="AX52">
            <v>21452</v>
          </cell>
          <cell r="BW52">
            <v>0</v>
          </cell>
          <cell r="BX52">
            <v>0</v>
          </cell>
          <cell r="BY52">
            <v>21452</v>
          </cell>
          <cell r="BZ52" t="str">
            <v>S010A190006</v>
          </cell>
          <cell r="CB52">
            <v>78540</v>
          </cell>
          <cell r="CI52">
            <v>-2199</v>
          </cell>
        </row>
        <row r="53">
          <cell r="F53"/>
          <cell r="G53"/>
          <cell r="H53"/>
          <cell r="I53"/>
          <cell r="J53"/>
          <cell r="K53"/>
          <cell r="L53"/>
          <cell r="M53"/>
          <cell r="N53" t="str">
            <v>08807163Connect For Success 20-23</v>
          </cell>
          <cell r="P53" t="str">
            <v>5010</v>
          </cell>
          <cell r="Q53"/>
          <cell r="R53"/>
          <cell r="S53"/>
          <cell r="T53"/>
          <cell r="U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/>
          <cell r="AG53"/>
          <cell r="AH53"/>
          <cell r="AI53"/>
          <cell r="AJ53"/>
          <cell r="AK53"/>
          <cell r="AL53"/>
          <cell r="AM53"/>
          <cell r="AN53"/>
          <cell r="AO53"/>
          <cell r="AP53"/>
          <cell r="AQ53"/>
          <cell r="AR53"/>
          <cell r="AS53"/>
          <cell r="AT53"/>
          <cell r="AU53"/>
          <cell r="AV53"/>
          <cell r="AW53"/>
          <cell r="AX53"/>
          <cell r="AY53"/>
          <cell r="AZ53"/>
          <cell r="BA53"/>
          <cell r="BB53"/>
          <cell r="BC53"/>
          <cell r="BD53"/>
          <cell r="BE53"/>
          <cell r="BF53"/>
          <cell r="BG53"/>
          <cell r="BH53"/>
          <cell r="BI53"/>
          <cell r="BJ53"/>
          <cell r="BK53"/>
          <cell r="BL53"/>
          <cell r="BM53"/>
          <cell r="BN53"/>
          <cell r="BO53"/>
          <cell r="BP53"/>
          <cell r="BQ53"/>
          <cell r="BR53"/>
          <cell r="BS53"/>
          <cell r="BT53"/>
          <cell r="BU53"/>
          <cell r="BV53"/>
          <cell r="BW53"/>
          <cell r="BX53"/>
          <cell r="BY53"/>
          <cell r="BZ53"/>
          <cell r="CA53"/>
          <cell r="CB53"/>
          <cell r="CC53"/>
          <cell r="CD53"/>
          <cell r="CE53"/>
          <cell r="CF53"/>
          <cell r="CG53"/>
          <cell r="CH53"/>
          <cell r="CI53"/>
          <cell r="CJ53"/>
          <cell r="CK53"/>
          <cell r="CL53"/>
          <cell r="CM53"/>
          <cell r="CN53"/>
          <cell r="CO53"/>
          <cell r="CP53"/>
          <cell r="CQ53"/>
          <cell r="CR53"/>
          <cell r="CS53"/>
          <cell r="CT53"/>
          <cell r="CU53"/>
          <cell r="CV53"/>
          <cell r="CW53"/>
          <cell r="CX53"/>
          <cell r="CY53"/>
          <cell r="CZ53"/>
          <cell r="DA53"/>
        </row>
        <row r="54">
          <cell r="F54"/>
          <cell r="G54"/>
          <cell r="H54"/>
          <cell r="I54"/>
          <cell r="J54"/>
          <cell r="K54"/>
          <cell r="L54"/>
          <cell r="M54"/>
          <cell r="N54" t="str">
            <v>08807188Connect For Success 20-23</v>
          </cell>
          <cell r="P54" t="str">
            <v>5010</v>
          </cell>
          <cell r="Q54"/>
          <cell r="R54"/>
          <cell r="S54"/>
          <cell r="T54"/>
          <cell r="U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/>
          <cell r="AG54"/>
          <cell r="AH54"/>
          <cell r="AI54"/>
          <cell r="AJ54"/>
          <cell r="AK54"/>
          <cell r="AL54"/>
          <cell r="AM54"/>
          <cell r="AN54"/>
          <cell r="AO54"/>
          <cell r="AP54"/>
          <cell r="AQ54"/>
          <cell r="AR54"/>
          <cell r="AS54"/>
          <cell r="AT54"/>
          <cell r="AU54"/>
          <cell r="AV54"/>
          <cell r="AW54"/>
          <cell r="AX54"/>
          <cell r="AY54"/>
          <cell r="AZ54"/>
          <cell r="BA54"/>
          <cell r="BB54"/>
          <cell r="BC54"/>
          <cell r="BD54"/>
          <cell r="BE54"/>
          <cell r="BF54"/>
          <cell r="BG54"/>
          <cell r="BH54"/>
          <cell r="BI54"/>
          <cell r="BJ54"/>
          <cell r="BK54"/>
          <cell r="BL54"/>
          <cell r="BM54"/>
          <cell r="BN54"/>
          <cell r="BO54"/>
          <cell r="BP54"/>
          <cell r="BQ54"/>
          <cell r="BR54"/>
          <cell r="BS54"/>
          <cell r="BT54"/>
          <cell r="BU54"/>
          <cell r="BV54"/>
          <cell r="BW54"/>
          <cell r="BX54"/>
          <cell r="BY54"/>
          <cell r="BZ54"/>
          <cell r="CA54"/>
          <cell r="CB54"/>
          <cell r="CC54"/>
          <cell r="CD54"/>
          <cell r="CE54"/>
          <cell r="CF54"/>
          <cell r="CG54"/>
          <cell r="CH54"/>
          <cell r="CI54"/>
          <cell r="CJ54"/>
          <cell r="CK54"/>
          <cell r="CL54"/>
          <cell r="CM54"/>
          <cell r="CN54"/>
          <cell r="CO54"/>
          <cell r="CP54"/>
          <cell r="CQ54"/>
          <cell r="CR54"/>
          <cell r="CS54"/>
          <cell r="CT54"/>
          <cell r="CU54"/>
          <cell r="CV54"/>
          <cell r="CW54"/>
          <cell r="CX54"/>
          <cell r="CY54"/>
          <cell r="CZ54"/>
          <cell r="DA54"/>
        </row>
        <row r="55">
          <cell r="F55" t="str">
            <v>03</v>
          </cell>
          <cell r="G55" t="str">
            <v>1</v>
          </cell>
          <cell r="H55" t="str">
            <v>0</v>
          </cell>
          <cell r="I55" t="str">
            <v>0</v>
          </cell>
          <cell r="J55" t="str">
            <v>0</v>
          </cell>
          <cell r="K55"/>
          <cell r="L55" t="str">
            <v>1000</v>
          </cell>
          <cell r="M55" t="str">
            <v>01</v>
          </cell>
          <cell r="N55" t="str">
            <v>08808006Connect For Success 17-20</v>
          </cell>
          <cell r="O55" t="str">
            <v>S010A170006</v>
          </cell>
          <cell r="P55" t="str">
            <v>5010</v>
          </cell>
          <cell r="Q55" t="str">
            <v>70*C</v>
          </cell>
          <cell r="R55">
            <v>43173</v>
          </cell>
          <cell r="S55">
            <v>43173</v>
          </cell>
          <cell r="T55">
            <v>18433</v>
          </cell>
          <cell r="AS55">
            <v>0</v>
          </cell>
          <cell r="AT55">
            <v>0</v>
          </cell>
          <cell r="AU55">
            <v>18433</v>
          </cell>
          <cell r="AV55" t="str">
            <v>S010A170006</v>
          </cell>
          <cell r="AW55">
            <v>80000</v>
          </cell>
          <cell r="BK55">
            <v>-34945</v>
          </cell>
          <cell r="BQ55">
            <v>-17596</v>
          </cell>
          <cell r="BW55">
            <v>-52541</v>
          </cell>
          <cell r="BX55">
            <v>0</v>
          </cell>
          <cell r="BY55">
            <v>45892</v>
          </cell>
          <cell r="CK55">
            <v>-30386.240000000002</v>
          </cell>
        </row>
        <row r="56">
          <cell r="F56" t="str">
            <v>03</v>
          </cell>
          <cell r="G56" t="str">
            <v>1</v>
          </cell>
          <cell r="H56" t="str">
            <v>0</v>
          </cell>
          <cell r="I56" t="str">
            <v>0</v>
          </cell>
          <cell r="J56" t="str">
            <v>0</v>
          </cell>
          <cell r="K56"/>
          <cell r="L56" t="str">
            <v>1000</v>
          </cell>
          <cell r="M56" t="str">
            <v>01</v>
          </cell>
          <cell r="N56" t="str">
            <v>0880N/AConnect For Success 17-20</v>
          </cell>
          <cell r="O56" t="str">
            <v>S010A170006</v>
          </cell>
          <cell r="P56" t="str">
            <v>5010</v>
          </cell>
          <cell r="Q56" t="str">
            <v>70*C</v>
          </cell>
          <cell r="R56">
            <v>43173</v>
          </cell>
          <cell r="S56">
            <v>43173</v>
          </cell>
          <cell r="T56">
            <v>1567</v>
          </cell>
          <cell r="AS56">
            <v>0</v>
          </cell>
          <cell r="AT56">
            <v>0</v>
          </cell>
          <cell r="AU56">
            <v>1567</v>
          </cell>
          <cell r="AW56">
            <v>0</v>
          </cell>
          <cell r="BW56">
            <v>0</v>
          </cell>
          <cell r="BX56">
            <v>0</v>
          </cell>
          <cell r="BY56">
            <v>1567</v>
          </cell>
        </row>
        <row r="57">
          <cell r="F57" t="str">
            <v>03</v>
          </cell>
          <cell r="G57" t="str">
            <v>0</v>
          </cell>
          <cell r="H57" t="str">
            <v>0</v>
          </cell>
          <cell r="I57" t="str">
            <v>1</v>
          </cell>
          <cell r="J57" t="str">
            <v>0</v>
          </cell>
          <cell r="K57"/>
          <cell r="L57" t="str">
            <v>0010</v>
          </cell>
          <cell r="M57" t="str">
            <v>03</v>
          </cell>
          <cell r="N57" t="str">
            <v>10101885Connect For Success 19-22</v>
          </cell>
          <cell r="O57"/>
          <cell r="P57" t="str">
            <v>5010</v>
          </cell>
          <cell r="Q57" t="str">
            <v>70*C</v>
          </cell>
          <cell r="R57"/>
          <cell r="S57"/>
          <cell r="T57"/>
          <cell r="U57"/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/>
          <cell r="AG57"/>
          <cell r="AH57"/>
          <cell r="AI57"/>
          <cell r="AJ57"/>
          <cell r="AK57"/>
          <cell r="AL57"/>
          <cell r="AM57"/>
          <cell r="AN57"/>
          <cell r="AO57"/>
          <cell r="AP57"/>
          <cell r="AQ57"/>
          <cell r="AR57"/>
          <cell r="AS57">
            <v>0</v>
          </cell>
          <cell r="AT57">
            <v>0</v>
          </cell>
          <cell r="AU57">
            <v>0</v>
          </cell>
          <cell r="AV57"/>
          <cell r="AW57"/>
          <cell r="AX57"/>
          <cell r="AY57"/>
          <cell r="AZ57"/>
          <cell r="BA57"/>
          <cell r="BB57"/>
          <cell r="BC57"/>
          <cell r="BD57"/>
          <cell r="BE57"/>
          <cell r="BF57"/>
          <cell r="BG57"/>
          <cell r="BH57"/>
          <cell r="BI57"/>
          <cell r="BJ57"/>
          <cell r="BK57"/>
          <cell r="BL57"/>
          <cell r="BM57"/>
          <cell r="BN57"/>
          <cell r="BO57"/>
          <cell r="BP57"/>
          <cell r="BQ57"/>
          <cell r="BR57"/>
          <cell r="BS57"/>
          <cell r="BT57"/>
          <cell r="BU57"/>
          <cell r="BV57"/>
          <cell r="BW57">
            <v>0</v>
          </cell>
          <cell r="BX57">
            <v>0</v>
          </cell>
          <cell r="BY57">
            <v>0</v>
          </cell>
          <cell r="BZ57"/>
          <cell r="CA57"/>
          <cell r="CB57"/>
          <cell r="CC57"/>
          <cell r="CD57">
            <v>21344</v>
          </cell>
          <cell r="CE57"/>
          <cell r="CF57"/>
          <cell r="CG57"/>
          <cell r="CH57"/>
          <cell r="CI57"/>
          <cell r="CJ57"/>
          <cell r="CK57"/>
          <cell r="CL57"/>
          <cell r="CM57"/>
          <cell r="CN57"/>
          <cell r="CO57"/>
          <cell r="CP57"/>
          <cell r="CQ57"/>
          <cell r="CR57"/>
          <cell r="CS57"/>
          <cell r="CT57"/>
          <cell r="CU57"/>
          <cell r="CV57"/>
          <cell r="CW57"/>
          <cell r="CX57"/>
          <cell r="CY57"/>
          <cell r="CZ57"/>
          <cell r="DA57"/>
        </row>
        <row r="58">
          <cell r="F58" t="str">
            <v>03</v>
          </cell>
          <cell r="G58" t="str">
            <v>0</v>
          </cell>
          <cell r="H58" t="str">
            <v>1</v>
          </cell>
          <cell r="I58" t="str">
            <v>0</v>
          </cell>
          <cell r="J58" t="str">
            <v>0</v>
          </cell>
          <cell r="K58"/>
          <cell r="L58" t="str">
            <v>0100</v>
          </cell>
          <cell r="M58" t="str">
            <v>02</v>
          </cell>
          <cell r="N58" t="str">
            <v>14200109Connect For Success 16-19</v>
          </cell>
          <cell r="O58" t="str">
            <v>Old Funding Source 16-19</v>
          </cell>
          <cell r="P58" t="str">
            <v>5010</v>
          </cell>
          <cell r="Q58" t="str">
            <v>70*C</v>
          </cell>
          <cell r="R58">
            <v>43173</v>
          </cell>
          <cell r="S58">
            <v>43173</v>
          </cell>
          <cell r="T58">
            <v>0</v>
          </cell>
          <cell r="AS58">
            <v>0</v>
          </cell>
          <cell r="AT58">
            <v>0</v>
          </cell>
          <cell r="AU58">
            <v>0</v>
          </cell>
          <cell r="AW58"/>
          <cell r="AX58">
            <v>33651</v>
          </cell>
          <cell r="BW58">
            <v>0</v>
          </cell>
          <cell r="BX58">
            <v>0</v>
          </cell>
          <cell r="BY58">
            <v>33651</v>
          </cell>
        </row>
        <row r="59">
          <cell r="F59" t="str">
            <v>03</v>
          </cell>
          <cell r="G59" t="str">
            <v>1</v>
          </cell>
          <cell r="H59" t="str">
            <v>0</v>
          </cell>
          <cell r="I59" t="str">
            <v>0</v>
          </cell>
          <cell r="J59" t="str">
            <v>0</v>
          </cell>
          <cell r="K59"/>
          <cell r="L59" t="str">
            <v>1000</v>
          </cell>
          <cell r="M59" t="str">
            <v>01</v>
          </cell>
          <cell r="N59" t="str">
            <v>14208793Connect For Success 17-20</v>
          </cell>
          <cell r="O59" t="str">
            <v>S010A170006</v>
          </cell>
          <cell r="P59" t="str">
            <v>5010</v>
          </cell>
          <cell r="Q59" t="str">
            <v>70*C</v>
          </cell>
          <cell r="R59">
            <v>43173</v>
          </cell>
          <cell r="S59">
            <v>43173</v>
          </cell>
          <cell r="T59">
            <v>20000</v>
          </cell>
          <cell r="AS59">
            <v>0</v>
          </cell>
          <cell r="AT59">
            <v>0</v>
          </cell>
          <cell r="AU59">
            <v>20000</v>
          </cell>
          <cell r="AV59" t="str">
            <v>S010A170006</v>
          </cell>
          <cell r="AW59">
            <v>80000</v>
          </cell>
          <cell r="BA59">
            <v>-14649</v>
          </cell>
          <cell r="BG59">
            <v>-30136</v>
          </cell>
          <cell r="BI59">
            <v>-5493</v>
          </cell>
          <cell r="BK59">
            <v>-5302</v>
          </cell>
          <cell r="BM59">
            <v>-5302</v>
          </cell>
          <cell r="BO59">
            <v>-5302</v>
          </cell>
          <cell r="BQ59">
            <v>-5302</v>
          </cell>
          <cell r="BS59">
            <v>-11003</v>
          </cell>
          <cell r="BU59">
            <v>-5302</v>
          </cell>
          <cell r="BW59">
            <v>-87791</v>
          </cell>
          <cell r="BX59">
            <v>0</v>
          </cell>
          <cell r="BY59">
            <v>12209</v>
          </cell>
          <cell r="BZ59" t="str">
            <v>S010A190006</v>
          </cell>
          <cell r="CA59">
            <v>80000</v>
          </cell>
          <cell r="CE59">
            <v>-5302</v>
          </cell>
          <cell r="CI59">
            <v>-5876</v>
          </cell>
          <cell r="CM59">
            <v>-36329.040000000001</v>
          </cell>
          <cell r="CO59">
            <v>-5311.32</v>
          </cell>
          <cell r="CQ59">
            <v>-8192.42</v>
          </cell>
          <cell r="CU59">
            <v>-3191.05</v>
          </cell>
        </row>
        <row r="60">
          <cell r="F60" t="str">
            <v>03</v>
          </cell>
          <cell r="G60" t="str">
            <v>1</v>
          </cell>
          <cell r="H60" t="str">
            <v>0</v>
          </cell>
          <cell r="I60" t="str">
            <v>0</v>
          </cell>
          <cell r="J60" t="str">
            <v>0</v>
          </cell>
          <cell r="K60"/>
          <cell r="L60" t="str">
            <v>1000</v>
          </cell>
          <cell r="M60" t="str">
            <v>01</v>
          </cell>
          <cell r="N60" t="str">
            <v>15404252Connect For Success 17-20</v>
          </cell>
          <cell r="O60" t="str">
            <v>S010A170006</v>
          </cell>
          <cell r="P60" t="str">
            <v>5010</v>
          </cell>
          <cell r="Q60" t="str">
            <v>70*C</v>
          </cell>
          <cell r="R60">
            <v>43173</v>
          </cell>
          <cell r="S60">
            <v>43173</v>
          </cell>
          <cell r="T60">
            <v>20000</v>
          </cell>
          <cell r="AS60">
            <v>0</v>
          </cell>
          <cell r="AT60">
            <v>0</v>
          </cell>
          <cell r="AU60">
            <v>20000</v>
          </cell>
          <cell r="AV60" t="str">
            <v>S010A170006</v>
          </cell>
          <cell r="AW60">
            <v>80000</v>
          </cell>
          <cell r="BG60">
            <v>-20000</v>
          </cell>
          <cell r="BW60">
            <v>-20000</v>
          </cell>
          <cell r="BX60">
            <v>0</v>
          </cell>
          <cell r="BY60">
            <v>80000</v>
          </cell>
          <cell r="BZ60" t="str">
            <v>S010A190006</v>
          </cell>
          <cell r="CA60">
            <v>80000</v>
          </cell>
          <cell r="CE60">
            <v>-80000</v>
          </cell>
        </row>
        <row r="61">
          <cell r="F61" t="str">
            <v>03</v>
          </cell>
          <cell r="G61" t="str">
            <v>1</v>
          </cell>
          <cell r="H61" t="str">
            <v>0</v>
          </cell>
          <cell r="I61" t="str">
            <v>0</v>
          </cell>
          <cell r="J61" t="str">
            <v>0</v>
          </cell>
          <cell r="K61"/>
          <cell r="L61" t="str">
            <v>1000</v>
          </cell>
          <cell r="M61" t="str">
            <v>01</v>
          </cell>
          <cell r="N61" t="str">
            <v>16200058Connect For Success 17-20</v>
          </cell>
          <cell r="O61" t="str">
            <v>S010A170006</v>
          </cell>
          <cell r="P61" t="str">
            <v>5010</v>
          </cell>
          <cell r="Q61" t="str">
            <v>70*C</v>
          </cell>
          <cell r="R61">
            <v>43173</v>
          </cell>
          <cell r="S61">
            <v>43173</v>
          </cell>
          <cell r="T61">
            <v>19946</v>
          </cell>
          <cell r="AO61">
            <v>-2300</v>
          </cell>
          <cell r="AS61">
            <v>-2300</v>
          </cell>
          <cell r="AT61">
            <v>0</v>
          </cell>
          <cell r="AU61">
            <v>17646</v>
          </cell>
          <cell r="AV61" t="str">
            <v>S010A170006</v>
          </cell>
          <cell r="AW61">
            <v>79560</v>
          </cell>
          <cell r="BE61">
            <v>-17646</v>
          </cell>
          <cell r="BI61">
            <v>-16415</v>
          </cell>
          <cell r="BQ61">
            <v>-63145</v>
          </cell>
          <cell r="BW61">
            <v>-97206</v>
          </cell>
          <cell r="BX61">
            <v>0</v>
          </cell>
          <cell r="BY61">
            <v>0</v>
          </cell>
          <cell r="BZ61" t="str">
            <v>S010A180006</v>
          </cell>
          <cell r="CA61">
            <v>80000</v>
          </cell>
        </row>
        <row r="62">
          <cell r="F62"/>
          <cell r="G62"/>
          <cell r="H62"/>
          <cell r="I62"/>
          <cell r="J62"/>
          <cell r="K62"/>
          <cell r="L62"/>
          <cell r="M62"/>
          <cell r="N62"/>
          <cell r="R62"/>
          <cell r="S62"/>
          <cell r="AW62"/>
        </row>
        <row r="63">
          <cell r="F63"/>
          <cell r="G63"/>
          <cell r="H63"/>
          <cell r="I63"/>
          <cell r="J63"/>
          <cell r="K63"/>
          <cell r="L63"/>
          <cell r="M63"/>
          <cell r="N63"/>
          <cell r="R63"/>
          <cell r="S63"/>
          <cell r="AW63"/>
        </row>
        <row r="64">
          <cell r="F64"/>
          <cell r="G64"/>
          <cell r="H64"/>
          <cell r="I64"/>
          <cell r="J64"/>
          <cell r="K64"/>
          <cell r="L64"/>
          <cell r="M64"/>
          <cell r="N64"/>
          <cell r="R64"/>
          <cell r="S64"/>
          <cell r="AW64"/>
        </row>
        <row r="65">
          <cell r="F65"/>
          <cell r="G65"/>
          <cell r="H65"/>
          <cell r="I65"/>
          <cell r="J65"/>
          <cell r="K65"/>
          <cell r="L65"/>
          <cell r="M65"/>
          <cell r="N65"/>
          <cell r="R65"/>
          <cell r="S65"/>
          <cell r="AW65"/>
        </row>
        <row r="66">
          <cell r="F66"/>
          <cell r="G66"/>
          <cell r="H66"/>
          <cell r="I66"/>
          <cell r="J66"/>
          <cell r="K66"/>
          <cell r="L66"/>
          <cell r="M66"/>
          <cell r="N66"/>
          <cell r="R66"/>
          <cell r="S66"/>
          <cell r="AW66"/>
        </row>
        <row r="67">
          <cell r="F67"/>
          <cell r="G67"/>
          <cell r="H67"/>
          <cell r="I67"/>
          <cell r="J67"/>
          <cell r="K67"/>
          <cell r="L67"/>
          <cell r="M67"/>
          <cell r="N67"/>
          <cell r="R67"/>
          <cell r="S67"/>
          <cell r="AW67"/>
        </row>
        <row r="68">
          <cell r="F68" t="str">
            <v>03</v>
          </cell>
          <cell r="G68" t="str">
            <v>0</v>
          </cell>
          <cell r="H68" t="str">
            <v>0</v>
          </cell>
          <cell r="I68" t="str">
            <v>1</v>
          </cell>
          <cell r="J68" t="str">
            <v>0</v>
          </cell>
          <cell r="K68"/>
          <cell r="L68" t="str">
            <v>0010</v>
          </cell>
          <cell r="M68" t="str">
            <v>03</v>
          </cell>
          <cell r="N68" t="str">
            <v>25204841Connect For Success 19-22</v>
          </cell>
          <cell r="O68"/>
          <cell r="P68" t="str">
            <v>5010</v>
          </cell>
          <cell r="Q68" t="str">
            <v>70*C</v>
          </cell>
          <cell r="R68"/>
          <cell r="S68"/>
          <cell r="T68"/>
          <cell r="U68"/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H68"/>
          <cell r="AI68"/>
          <cell r="AJ68"/>
          <cell r="AK68"/>
          <cell r="AL68"/>
          <cell r="AM68"/>
          <cell r="AN68"/>
          <cell r="AO68"/>
          <cell r="AP68"/>
          <cell r="AQ68"/>
          <cell r="AR68"/>
          <cell r="AS68">
            <v>0</v>
          </cell>
          <cell r="AT68">
            <v>0</v>
          </cell>
          <cell r="AU68">
            <v>0</v>
          </cell>
          <cell r="AV68"/>
          <cell r="AW68"/>
          <cell r="AX68"/>
          <cell r="AY68"/>
          <cell r="AZ68"/>
          <cell r="BA68"/>
          <cell r="BB68"/>
          <cell r="BC68"/>
          <cell r="BD68"/>
          <cell r="BE68"/>
          <cell r="BF68"/>
          <cell r="BG68"/>
          <cell r="BH68"/>
          <cell r="BI68"/>
          <cell r="BJ68"/>
          <cell r="BK68"/>
          <cell r="BL68"/>
          <cell r="BM68"/>
          <cell r="BN68"/>
          <cell r="BO68"/>
          <cell r="BP68"/>
          <cell r="BQ68"/>
          <cell r="BR68"/>
          <cell r="BS68"/>
          <cell r="BT68"/>
          <cell r="BU68"/>
          <cell r="BV68"/>
          <cell r="BW68">
            <v>0</v>
          </cell>
          <cell r="BX68">
            <v>0</v>
          </cell>
          <cell r="BY68">
            <v>0</v>
          </cell>
          <cell r="BZ68"/>
          <cell r="CA68"/>
          <cell r="CB68"/>
          <cell r="CC68"/>
          <cell r="CD68">
            <v>21418</v>
          </cell>
          <cell r="CE68"/>
          <cell r="CF68"/>
          <cell r="CG68"/>
          <cell r="CH68"/>
          <cell r="CI68"/>
          <cell r="CJ68"/>
          <cell r="CK68"/>
          <cell r="CL68"/>
          <cell r="CM68"/>
          <cell r="CN68"/>
          <cell r="CO68"/>
          <cell r="CP68"/>
          <cell r="CQ68"/>
          <cell r="CR68"/>
          <cell r="CS68"/>
          <cell r="CT68"/>
          <cell r="CU68"/>
          <cell r="CV68"/>
          <cell r="CW68"/>
          <cell r="CX68"/>
          <cell r="CY68"/>
          <cell r="CZ68"/>
          <cell r="DA68"/>
        </row>
        <row r="69">
          <cell r="F69" t="str">
            <v>03</v>
          </cell>
          <cell r="G69" t="str">
            <v>0</v>
          </cell>
          <cell r="H69" t="str">
            <v>0</v>
          </cell>
          <cell r="I69" t="str">
            <v>1</v>
          </cell>
          <cell r="J69" t="str">
            <v>0</v>
          </cell>
          <cell r="K69"/>
          <cell r="L69" t="str">
            <v>0010</v>
          </cell>
          <cell r="M69" t="str">
            <v>03</v>
          </cell>
          <cell r="N69" t="str">
            <v>25204843Connect For Success 19-22</v>
          </cell>
          <cell r="O69"/>
          <cell r="P69" t="str">
            <v>5010</v>
          </cell>
          <cell r="Q69" t="str">
            <v>70*C</v>
          </cell>
          <cell r="R69"/>
          <cell r="S69"/>
          <cell r="T69"/>
          <cell r="U69"/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/>
          <cell r="AG69"/>
          <cell r="AH69"/>
          <cell r="AI69"/>
          <cell r="AJ69"/>
          <cell r="AK69"/>
          <cell r="AL69"/>
          <cell r="AM69"/>
          <cell r="AN69"/>
          <cell r="AO69"/>
          <cell r="AP69"/>
          <cell r="AQ69"/>
          <cell r="AR69"/>
          <cell r="AS69">
            <v>0</v>
          </cell>
          <cell r="AT69">
            <v>0</v>
          </cell>
          <cell r="AU69">
            <v>0</v>
          </cell>
          <cell r="AV69"/>
          <cell r="AW69"/>
          <cell r="AX69"/>
          <cell r="AY69"/>
          <cell r="AZ69"/>
          <cell r="BA69"/>
          <cell r="BB69"/>
          <cell r="BC69"/>
          <cell r="BD69"/>
          <cell r="BE69"/>
          <cell r="BF69"/>
          <cell r="BG69"/>
          <cell r="BH69"/>
          <cell r="BI69"/>
          <cell r="BJ69"/>
          <cell r="BK69"/>
          <cell r="BL69"/>
          <cell r="BM69"/>
          <cell r="BN69"/>
          <cell r="BO69"/>
          <cell r="BP69"/>
          <cell r="BQ69"/>
          <cell r="BR69"/>
          <cell r="BS69"/>
          <cell r="BT69"/>
          <cell r="BU69"/>
          <cell r="BV69"/>
          <cell r="BW69">
            <v>0</v>
          </cell>
          <cell r="BX69">
            <v>0</v>
          </cell>
          <cell r="BY69">
            <v>0</v>
          </cell>
          <cell r="BZ69"/>
          <cell r="CA69"/>
          <cell r="CB69"/>
          <cell r="CC69"/>
          <cell r="CD69">
            <v>21418</v>
          </cell>
          <cell r="CE69"/>
          <cell r="CF69"/>
          <cell r="CG69"/>
          <cell r="CH69"/>
          <cell r="CI69"/>
          <cell r="CJ69"/>
          <cell r="CK69"/>
          <cell r="CL69"/>
          <cell r="CM69"/>
          <cell r="CN69"/>
          <cell r="CO69"/>
          <cell r="CP69"/>
          <cell r="CQ69"/>
          <cell r="CR69"/>
          <cell r="CS69"/>
          <cell r="CT69"/>
          <cell r="CU69"/>
          <cell r="CV69"/>
          <cell r="CW69"/>
          <cell r="CX69"/>
          <cell r="CY69"/>
          <cell r="CZ69"/>
          <cell r="DA69"/>
        </row>
        <row r="70">
          <cell r="F70" t="str">
            <v>03</v>
          </cell>
          <cell r="G70" t="str">
            <v>0</v>
          </cell>
          <cell r="H70" t="str">
            <v>1</v>
          </cell>
          <cell r="I70" t="str">
            <v>0</v>
          </cell>
          <cell r="J70" t="str">
            <v>0</v>
          </cell>
          <cell r="K70"/>
          <cell r="L70" t="str">
            <v>0100</v>
          </cell>
          <cell r="M70" t="str">
            <v>02</v>
          </cell>
          <cell r="N70" t="str">
            <v>27406036Connect For Success 16-19</v>
          </cell>
          <cell r="O70" t="str">
            <v>Old Funding Source 16-19</v>
          </cell>
          <cell r="P70" t="str">
            <v>5010</v>
          </cell>
          <cell r="Q70" t="str">
            <v>70*C</v>
          </cell>
          <cell r="R70">
            <v>43173</v>
          </cell>
          <cell r="S70">
            <v>43173</v>
          </cell>
          <cell r="T70">
            <v>0</v>
          </cell>
          <cell r="AS70">
            <v>0</v>
          </cell>
          <cell r="AT70">
            <v>0</v>
          </cell>
          <cell r="AU70">
            <v>0</v>
          </cell>
          <cell r="AW70"/>
          <cell r="AX70">
            <v>93559</v>
          </cell>
          <cell r="BO70">
            <v>-41198</v>
          </cell>
          <cell r="BW70">
            <v>-41198</v>
          </cell>
          <cell r="BX70">
            <v>0</v>
          </cell>
          <cell r="BY70">
            <v>52361</v>
          </cell>
          <cell r="CE70">
            <v>-47906</v>
          </cell>
        </row>
        <row r="71">
          <cell r="F71" t="str">
            <v>03</v>
          </cell>
          <cell r="G71" t="str">
            <v>0</v>
          </cell>
          <cell r="H71" t="str">
            <v>1</v>
          </cell>
          <cell r="I71" t="str">
            <v>0</v>
          </cell>
          <cell r="J71" t="str">
            <v>0</v>
          </cell>
          <cell r="K71"/>
          <cell r="L71" t="str">
            <v>0100</v>
          </cell>
          <cell r="M71" t="str">
            <v>02</v>
          </cell>
          <cell r="N71" t="str">
            <v>80010655Connect For Success 18-21</v>
          </cell>
          <cell r="P71" t="str">
            <v>5010</v>
          </cell>
          <cell r="Q71" t="str">
            <v>70*C</v>
          </cell>
          <cell r="R71"/>
          <cell r="S71"/>
          <cell r="AV71" t="str">
            <v>S010A180006</v>
          </cell>
          <cell r="AW71"/>
          <cell r="AX71">
            <v>20000</v>
          </cell>
          <cell r="BW71">
            <v>0</v>
          </cell>
          <cell r="BX71">
            <v>0</v>
          </cell>
          <cell r="BY71">
            <v>20000</v>
          </cell>
          <cell r="BZ71" t="str">
            <v>S010A180006</v>
          </cell>
          <cell r="CB71">
            <v>80000</v>
          </cell>
          <cell r="CG71">
            <v>-15907</v>
          </cell>
          <cell r="CY71">
            <v>-52039</v>
          </cell>
          <cell r="DA71">
            <v>-11273</v>
          </cell>
        </row>
        <row r="72">
          <cell r="F72"/>
          <cell r="G72"/>
          <cell r="H72"/>
          <cell r="I72"/>
          <cell r="J72"/>
          <cell r="K72"/>
          <cell r="L72"/>
          <cell r="M72"/>
          <cell r="N72"/>
          <cell r="R72"/>
          <cell r="S72"/>
          <cell r="AW72"/>
        </row>
        <row r="73">
          <cell r="F73" t="str">
            <v>03</v>
          </cell>
          <cell r="G73" t="str">
            <v>0</v>
          </cell>
          <cell r="H73" t="str">
            <v>1</v>
          </cell>
          <cell r="I73" t="str">
            <v>0</v>
          </cell>
          <cell r="J73" t="str">
            <v>0</v>
          </cell>
          <cell r="K73"/>
          <cell r="L73" t="str">
            <v>0100</v>
          </cell>
          <cell r="M73" t="str">
            <v>02</v>
          </cell>
          <cell r="N73" t="str">
            <v>80012837Connect For Success 18-21</v>
          </cell>
          <cell r="P73" t="str">
            <v>5010</v>
          </cell>
          <cell r="Q73" t="str">
            <v>70*C</v>
          </cell>
          <cell r="R73"/>
          <cell r="S73"/>
          <cell r="AV73" t="str">
            <v>S010A180006</v>
          </cell>
          <cell r="AW73"/>
          <cell r="AX73">
            <v>20000</v>
          </cell>
          <cell r="BW73">
            <v>0</v>
          </cell>
          <cell r="BX73">
            <v>0</v>
          </cell>
          <cell r="BY73">
            <v>20000</v>
          </cell>
          <cell r="BZ73" t="str">
            <v>S010A180006</v>
          </cell>
          <cell r="CB73">
            <v>80000</v>
          </cell>
          <cell r="CG73">
            <v>-2810.92</v>
          </cell>
          <cell r="CH73">
            <v>-17189.080000000002</v>
          </cell>
          <cell r="CY73">
            <v>-63460</v>
          </cell>
        </row>
        <row r="74">
          <cell r="G74"/>
          <cell r="H74"/>
          <cell r="I74"/>
          <cell r="J74"/>
          <cell r="K74"/>
          <cell r="L74"/>
          <cell r="M74" t="str">
            <v xml:space="preserve"> </v>
          </cell>
          <cell r="N74" t="str">
            <v/>
          </cell>
          <cell r="Q74" t="str">
            <v>Connect Total</v>
          </cell>
          <cell r="R74"/>
          <cell r="S74"/>
          <cell r="T74">
            <v>263031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-2774</v>
          </cell>
          <cell r="AP74">
            <v>0</v>
          </cell>
          <cell r="AQ74">
            <v>0</v>
          </cell>
          <cell r="AR74">
            <v>0</v>
          </cell>
          <cell r="AS74">
            <v>-2774</v>
          </cell>
          <cell r="AT74">
            <v>0</v>
          </cell>
          <cell r="AU74">
            <v>260257</v>
          </cell>
          <cell r="AV74"/>
          <cell r="AW74">
            <v>1036560</v>
          </cell>
          <cell r="AX74">
            <v>906560</v>
          </cell>
          <cell r="AY74">
            <v>0</v>
          </cell>
          <cell r="AZ74">
            <v>0</v>
          </cell>
          <cell r="BA74">
            <v>-35604</v>
          </cell>
          <cell r="BB74">
            <v>0</v>
          </cell>
          <cell r="BC74">
            <v>-4143</v>
          </cell>
          <cell r="BD74">
            <v>0</v>
          </cell>
          <cell r="BE74">
            <v>-17646</v>
          </cell>
          <cell r="BF74">
            <v>0</v>
          </cell>
          <cell r="BG74">
            <v>-50136</v>
          </cell>
          <cell r="BH74">
            <v>0</v>
          </cell>
          <cell r="BI74">
            <v>-135672</v>
          </cell>
          <cell r="BJ74">
            <v>0</v>
          </cell>
          <cell r="BK74">
            <v>-193744</v>
          </cell>
          <cell r="BL74">
            <v>0</v>
          </cell>
          <cell r="BM74">
            <v>-80297</v>
          </cell>
          <cell r="BN74">
            <v>0</v>
          </cell>
          <cell r="BO74">
            <v>-57296</v>
          </cell>
          <cell r="BP74">
            <v>0</v>
          </cell>
          <cell r="BQ74">
            <v>-399061</v>
          </cell>
          <cell r="BR74">
            <v>0</v>
          </cell>
          <cell r="BS74">
            <v>-29096</v>
          </cell>
          <cell r="BT74">
            <v>0</v>
          </cell>
          <cell r="BU74">
            <v>-72771</v>
          </cell>
          <cell r="BV74">
            <v>0</v>
          </cell>
          <cell r="BW74">
            <v>-1075466</v>
          </cell>
          <cell r="BX74">
            <v>0</v>
          </cell>
          <cell r="BY74">
            <v>1127911</v>
          </cell>
          <cell r="BZ74"/>
          <cell r="CA74">
            <v>880000</v>
          </cell>
          <cell r="CB74">
            <v>636951</v>
          </cell>
          <cell r="CC74"/>
          <cell r="CD74">
            <v>105264</v>
          </cell>
          <cell r="CE74">
            <v>-210795.64</v>
          </cell>
          <cell r="CF74">
            <v>0</v>
          </cell>
          <cell r="CG74">
            <v>-150684.12000000002</v>
          </cell>
          <cell r="CH74">
            <v>-17189.080000000002</v>
          </cell>
          <cell r="CI74">
            <v>-29033.590000000004</v>
          </cell>
          <cell r="CJ74">
            <v>0</v>
          </cell>
          <cell r="CK74">
            <v>-133775.56</v>
          </cell>
          <cell r="CL74">
            <v>0</v>
          </cell>
          <cell r="CM74">
            <v>-182892.94</v>
          </cell>
          <cell r="CN74">
            <v>0</v>
          </cell>
          <cell r="CO74">
            <v>-12583.349999999999</v>
          </cell>
          <cell r="CP74">
            <v>0</v>
          </cell>
          <cell r="CQ74">
            <v>-59448.36</v>
          </cell>
          <cell r="CR74">
            <v>0</v>
          </cell>
          <cell r="CS74">
            <v>-193185</v>
          </cell>
          <cell r="CT74">
            <v>0</v>
          </cell>
          <cell r="CU74">
            <v>-175784.93</v>
          </cell>
          <cell r="CV74">
            <v>0</v>
          </cell>
          <cell r="CW74">
            <v>-30384.489999999998</v>
          </cell>
          <cell r="CX74">
            <v>0</v>
          </cell>
          <cell r="CY74">
            <v>-137067.84</v>
          </cell>
          <cell r="CZ74">
            <v>0</v>
          </cell>
          <cell r="DA74">
            <v>-45128.41</v>
          </cell>
        </row>
        <row r="75">
          <cell r="F75"/>
          <cell r="G75"/>
          <cell r="H75"/>
          <cell r="I75"/>
          <cell r="J75"/>
          <cell r="K75"/>
          <cell r="L75"/>
          <cell r="M75" t="str">
            <v xml:space="preserve"> </v>
          </cell>
          <cell r="N75" t="str">
            <v/>
          </cell>
          <cell r="R75"/>
          <cell r="S75"/>
          <cell r="AW75"/>
        </row>
        <row r="76">
          <cell r="F76" t="str">
            <v>04</v>
          </cell>
          <cell r="G76" t="str">
            <v>1</v>
          </cell>
          <cell r="H76" t="str">
            <v>0</v>
          </cell>
          <cell r="I76" t="str">
            <v>0</v>
          </cell>
          <cell r="J76" t="str">
            <v>0</v>
          </cell>
          <cell r="K76"/>
          <cell r="L76" t="str">
            <v>1000</v>
          </cell>
          <cell r="M76" t="str">
            <v>01</v>
          </cell>
          <cell r="N76" t="str">
            <v>1560N/AConsultation</v>
          </cell>
          <cell r="O76" t="str">
            <v>S010A170006</v>
          </cell>
          <cell r="P76" t="str">
            <v>5010</v>
          </cell>
          <cell r="Q76" t="str">
            <v>70*C</v>
          </cell>
          <cell r="R76">
            <v>43173</v>
          </cell>
          <cell r="S76">
            <v>43173</v>
          </cell>
          <cell r="T76">
            <v>15000</v>
          </cell>
          <cell r="AS76">
            <v>0</v>
          </cell>
          <cell r="AT76">
            <v>0</v>
          </cell>
          <cell r="AU76">
            <v>15000</v>
          </cell>
          <cell r="AW76"/>
          <cell r="BW76">
            <v>0</v>
          </cell>
          <cell r="BX76">
            <v>0</v>
          </cell>
          <cell r="BY76">
            <v>15000</v>
          </cell>
        </row>
        <row r="77">
          <cell r="F77" t="str">
            <v>04</v>
          </cell>
          <cell r="G77" t="str">
            <v>1</v>
          </cell>
          <cell r="H77" t="str">
            <v>0</v>
          </cell>
          <cell r="I77" t="str">
            <v>0</v>
          </cell>
          <cell r="J77" t="str">
            <v>0</v>
          </cell>
          <cell r="K77"/>
          <cell r="L77" t="str">
            <v>1000</v>
          </cell>
          <cell r="M77" t="str">
            <v>01</v>
          </cell>
          <cell r="N77" t="str">
            <v>1570N/AConsultation</v>
          </cell>
          <cell r="O77" t="str">
            <v>S010A170006</v>
          </cell>
          <cell r="P77" t="str">
            <v>5010</v>
          </cell>
          <cell r="Q77" t="str">
            <v>70*C</v>
          </cell>
          <cell r="R77">
            <v>43173</v>
          </cell>
          <cell r="S77">
            <v>43173</v>
          </cell>
          <cell r="T77">
            <v>15000</v>
          </cell>
          <cell r="AS77">
            <v>0</v>
          </cell>
          <cell r="AT77">
            <v>0</v>
          </cell>
          <cell r="AU77">
            <v>15000</v>
          </cell>
          <cell r="AW77"/>
          <cell r="BW77">
            <v>0</v>
          </cell>
          <cell r="BX77">
            <v>0</v>
          </cell>
          <cell r="BY77">
            <v>15000</v>
          </cell>
        </row>
        <row r="78">
          <cell r="F78" t="str">
            <v>04</v>
          </cell>
          <cell r="G78" t="str">
            <v>1</v>
          </cell>
          <cell r="H78" t="str">
            <v>0</v>
          </cell>
          <cell r="I78" t="str">
            <v>0</v>
          </cell>
          <cell r="J78" t="str">
            <v>0</v>
          </cell>
          <cell r="K78"/>
          <cell r="L78" t="str">
            <v>1000</v>
          </cell>
          <cell r="M78" t="str">
            <v>01</v>
          </cell>
          <cell r="N78" t="str">
            <v>2395N/AConsultation</v>
          </cell>
          <cell r="O78" t="str">
            <v>S010A170006</v>
          </cell>
          <cell r="P78" t="str">
            <v>5010</v>
          </cell>
          <cell r="Q78" t="str">
            <v>70*C</v>
          </cell>
          <cell r="R78">
            <v>43168</v>
          </cell>
          <cell r="S78">
            <v>43168</v>
          </cell>
          <cell r="T78">
            <v>15000</v>
          </cell>
          <cell r="AS78">
            <v>0</v>
          </cell>
          <cell r="AT78">
            <v>0</v>
          </cell>
          <cell r="AU78">
            <v>15000</v>
          </cell>
          <cell r="AW78"/>
          <cell r="BA78">
            <v>-6250</v>
          </cell>
          <cell r="BW78">
            <v>-6250</v>
          </cell>
          <cell r="BX78">
            <v>0</v>
          </cell>
          <cell r="BY78">
            <v>8750</v>
          </cell>
        </row>
        <row r="79">
          <cell r="F79" t="str">
            <v>04</v>
          </cell>
          <cell r="G79" t="str">
            <v>1</v>
          </cell>
          <cell r="H79" t="str">
            <v>0</v>
          </cell>
          <cell r="I79" t="str">
            <v>0</v>
          </cell>
          <cell r="J79" t="str">
            <v>0</v>
          </cell>
          <cell r="K79"/>
          <cell r="L79" t="str">
            <v>1000</v>
          </cell>
          <cell r="M79" t="str">
            <v>01</v>
          </cell>
          <cell r="N79" t="str">
            <v>26901504Consultation</v>
          </cell>
          <cell r="O79" t="str">
            <v>S010A170006</v>
          </cell>
          <cell r="P79" t="str">
            <v>5010</v>
          </cell>
          <cell r="Q79" t="str">
            <v>70*C</v>
          </cell>
          <cell r="R79">
            <v>43168</v>
          </cell>
          <cell r="S79">
            <v>43168</v>
          </cell>
          <cell r="T79">
            <v>4020</v>
          </cell>
          <cell r="AS79">
            <v>0</v>
          </cell>
          <cell r="AT79">
            <v>0</v>
          </cell>
          <cell r="AU79">
            <v>4020</v>
          </cell>
          <cell r="AW79"/>
          <cell r="BW79">
            <v>0</v>
          </cell>
          <cell r="BX79">
            <v>0</v>
          </cell>
          <cell r="BY79">
            <v>4020</v>
          </cell>
        </row>
        <row r="80">
          <cell r="F80" t="str">
            <v>04</v>
          </cell>
          <cell r="G80" t="str">
            <v>1</v>
          </cell>
          <cell r="H80" t="str">
            <v>0</v>
          </cell>
          <cell r="I80" t="str">
            <v>0</v>
          </cell>
          <cell r="J80" t="str">
            <v>0</v>
          </cell>
          <cell r="K80"/>
          <cell r="L80" t="str">
            <v>1000</v>
          </cell>
          <cell r="M80" t="str">
            <v>01</v>
          </cell>
          <cell r="N80" t="str">
            <v>2760N/AConsultation</v>
          </cell>
          <cell r="O80" t="str">
            <v>S010A170006</v>
          </cell>
          <cell r="P80" t="str">
            <v>5010</v>
          </cell>
          <cell r="Q80" t="str">
            <v>70*C</v>
          </cell>
          <cell r="R80">
            <v>43168</v>
          </cell>
          <cell r="S80">
            <v>43168</v>
          </cell>
          <cell r="T80">
            <v>1044</v>
          </cell>
          <cell r="AQ80">
            <v>-1044</v>
          </cell>
          <cell r="AS80">
            <v>-1044</v>
          </cell>
          <cell r="AT80">
            <v>0</v>
          </cell>
          <cell r="AU80">
            <v>0</v>
          </cell>
          <cell r="AW80"/>
          <cell r="BW80">
            <v>0</v>
          </cell>
          <cell r="BX80">
            <v>0</v>
          </cell>
          <cell r="BY80">
            <v>0</v>
          </cell>
        </row>
        <row r="81">
          <cell r="G81"/>
          <cell r="H81"/>
          <cell r="I81"/>
          <cell r="J81"/>
          <cell r="K81"/>
          <cell r="L81"/>
          <cell r="M81" t="str">
            <v xml:space="preserve"> </v>
          </cell>
          <cell r="N81" t="str">
            <v/>
          </cell>
          <cell r="Q81" t="str">
            <v>Consultation Total</v>
          </cell>
          <cell r="R81"/>
          <cell r="S81"/>
          <cell r="T81">
            <v>50064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-1044</v>
          </cell>
          <cell r="AR81">
            <v>0</v>
          </cell>
          <cell r="AS81">
            <v>-1044</v>
          </cell>
          <cell r="AT81">
            <v>0</v>
          </cell>
          <cell r="AU81">
            <v>49020</v>
          </cell>
          <cell r="AV81"/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-6250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-6250</v>
          </cell>
          <cell r="BX81">
            <v>0</v>
          </cell>
          <cell r="BY81">
            <v>42770</v>
          </cell>
          <cell r="BZ81"/>
          <cell r="CA81">
            <v>0</v>
          </cell>
          <cell r="CB81">
            <v>0</v>
          </cell>
          <cell r="CC81"/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</row>
        <row r="82">
          <cell r="F82"/>
          <cell r="G82"/>
          <cell r="H82"/>
          <cell r="I82"/>
          <cell r="J82"/>
          <cell r="K82"/>
          <cell r="L82"/>
          <cell r="M82" t="str">
            <v xml:space="preserve"> </v>
          </cell>
          <cell r="N82" t="str">
            <v/>
          </cell>
          <cell r="R82"/>
          <cell r="S82"/>
          <cell r="AW82"/>
        </row>
        <row r="83">
          <cell r="F83" t="str">
            <v>05</v>
          </cell>
          <cell r="G83" t="str">
            <v>0</v>
          </cell>
          <cell r="H83" t="str">
            <v>0</v>
          </cell>
          <cell r="I83" t="str">
            <v>1</v>
          </cell>
          <cell r="J83" t="str">
            <v>0</v>
          </cell>
          <cell r="K83"/>
          <cell r="L83" t="str">
            <v>0010</v>
          </cell>
          <cell r="M83" t="str">
            <v>03</v>
          </cell>
          <cell r="N83" t="str">
            <v>00300022Diagnostic Review 19-20</v>
          </cell>
          <cell r="O83"/>
          <cell r="P83" t="str">
            <v>5010</v>
          </cell>
          <cell r="Q83" t="str">
            <v>70*C</v>
          </cell>
          <cell r="R83"/>
          <cell r="S83"/>
          <cell r="T83"/>
          <cell r="U83"/>
          <cell r="V83"/>
          <cell r="W83"/>
          <cell r="X83"/>
          <cell r="Y83"/>
          <cell r="Z83"/>
          <cell r="AA83"/>
          <cell r="AB83"/>
          <cell r="AC83"/>
          <cell r="AD83"/>
          <cell r="AE83"/>
          <cell r="AF83"/>
          <cell r="AG83"/>
          <cell r="AH83"/>
          <cell r="AI83"/>
          <cell r="AJ83"/>
          <cell r="AK83"/>
          <cell r="AL83"/>
          <cell r="AM83"/>
          <cell r="AN83"/>
          <cell r="AO83"/>
          <cell r="AP83"/>
          <cell r="AQ83"/>
          <cell r="AR83"/>
          <cell r="AS83"/>
          <cell r="AT83"/>
          <cell r="AU83"/>
          <cell r="AV83"/>
          <cell r="AW83"/>
          <cell r="AX83"/>
          <cell r="AY83"/>
          <cell r="AZ83"/>
          <cell r="BA83"/>
          <cell r="BB83"/>
          <cell r="BC83"/>
          <cell r="BD83"/>
          <cell r="BE83"/>
          <cell r="BF83"/>
          <cell r="BG83"/>
          <cell r="BH83"/>
          <cell r="BI83"/>
          <cell r="BJ83"/>
          <cell r="BK83"/>
          <cell r="BL83"/>
          <cell r="BM83"/>
          <cell r="BN83"/>
          <cell r="BO83"/>
          <cell r="BP83"/>
          <cell r="BQ83"/>
          <cell r="BR83"/>
          <cell r="BS83"/>
          <cell r="BT83"/>
          <cell r="BU83"/>
          <cell r="BV83"/>
          <cell r="BW83">
            <v>0</v>
          </cell>
          <cell r="BX83">
            <v>0</v>
          </cell>
          <cell r="BY83">
            <v>0</v>
          </cell>
          <cell r="BZ83"/>
          <cell r="CA83"/>
          <cell r="CB83"/>
          <cell r="CC83"/>
          <cell r="CD83">
            <v>11050</v>
          </cell>
          <cell r="CE83"/>
          <cell r="CF83"/>
          <cell r="CG83"/>
          <cell r="CH83"/>
          <cell r="CI83"/>
          <cell r="CJ83"/>
          <cell r="CK83"/>
          <cell r="CL83"/>
          <cell r="CM83"/>
          <cell r="CN83"/>
          <cell r="CO83"/>
          <cell r="CP83"/>
          <cell r="CQ83"/>
          <cell r="CR83"/>
          <cell r="CS83"/>
          <cell r="CT83"/>
          <cell r="CU83"/>
          <cell r="CV83"/>
          <cell r="CW83"/>
          <cell r="CX83"/>
          <cell r="CY83">
            <v>-250</v>
          </cell>
          <cell r="CZ83"/>
          <cell r="DA83"/>
        </row>
        <row r="84">
          <cell r="F84" t="str">
            <v>05</v>
          </cell>
          <cell r="G84" t="str">
            <v>0</v>
          </cell>
          <cell r="H84" t="str">
            <v>1</v>
          </cell>
          <cell r="I84" t="str">
            <v>0</v>
          </cell>
          <cell r="J84" t="str">
            <v>0</v>
          </cell>
          <cell r="K84"/>
          <cell r="L84" t="str">
            <v>0100</v>
          </cell>
          <cell r="M84" t="str">
            <v>02</v>
          </cell>
          <cell r="N84" t="str">
            <v>00300022Diagnostic Review 18-19</v>
          </cell>
          <cell r="P84" t="str">
            <v>5010</v>
          </cell>
          <cell r="Q84" t="str">
            <v>70*C</v>
          </cell>
          <cell r="R84"/>
          <cell r="S84"/>
          <cell r="AV84" t="str">
            <v>S010A180006</v>
          </cell>
          <cell r="AW84"/>
          <cell r="AX84">
            <v>71825</v>
          </cell>
          <cell r="BW84">
            <v>0</v>
          </cell>
          <cell r="BX84">
            <v>0</v>
          </cell>
          <cell r="BY84">
            <v>71825</v>
          </cell>
          <cell r="CS84">
            <v>-2844.44</v>
          </cell>
        </row>
        <row r="85">
          <cell r="F85" t="str">
            <v>05</v>
          </cell>
          <cell r="G85" t="str">
            <v>0</v>
          </cell>
          <cell r="H85" t="str">
            <v>1</v>
          </cell>
          <cell r="I85" t="str">
            <v>0</v>
          </cell>
          <cell r="J85" t="str">
            <v>0</v>
          </cell>
          <cell r="K85"/>
          <cell r="L85" t="str">
            <v>0100</v>
          </cell>
          <cell r="M85" t="str">
            <v>02</v>
          </cell>
          <cell r="N85" t="str">
            <v>00300024Diagnostic Review 18-19</v>
          </cell>
          <cell r="P85" t="str">
            <v>5010</v>
          </cell>
          <cell r="Q85" t="str">
            <v>70*C</v>
          </cell>
          <cell r="R85"/>
          <cell r="S85"/>
          <cell r="AV85" t="str">
            <v>S010A180006</v>
          </cell>
          <cell r="AW85"/>
          <cell r="AX85">
            <v>71825</v>
          </cell>
          <cell r="BW85">
            <v>0</v>
          </cell>
          <cell r="BX85">
            <v>0</v>
          </cell>
          <cell r="BY85">
            <v>71825</v>
          </cell>
          <cell r="CS85">
            <v>-8162.66</v>
          </cell>
          <cell r="CY85">
            <v>-1500</v>
          </cell>
        </row>
        <row r="86">
          <cell r="F86" t="str">
            <v>05</v>
          </cell>
          <cell r="G86" t="str">
            <v>0</v>
          </cell>
          <cell r="H86" t="str">
            <v>1</v>
          </cell>
          <cell r="I86" t="str">
            <v>0</v>
          </cell>
          <cell r="J86" t="str">
            <v>0</v>
          </cell>
          <cell r="K86"/>
          <cell r="L86" t="str">
            <v>0100</v>
          </cell>
          <cell r="M86" t="str">
            <v>02</v>
          </cell>
          <cell r="N86" t="str">
            <v>00300186Diagnostic Review 18-19</v>
          </cell>
          <cell r="P86" t="str">
            <v>5010</v>
          </cell>
          <cell r="Q86" t="str">
            <v>70*C</v>
          </cell>
          <cell r="R86"/>
          <cell r="S86"/>
          <cell r="AV86" t="str">
            <v>S010A180006</v>
          </cell>
          <cell r="AW86"/>
          <cell r="AX86">
            <v>71825</v>
          </cell>
          <cell r="BW86">
            <v>0</v>
          </cell>
          <cell r="BX86">
            <v>0</v>
          </cell>
          <cell r="BY86">
            <v>71825</v>
          </cell>
          <cell r="CS86">
            <v>-4380.04</v>
          </cell>
          <cell r="CW86">
            <v>-738.8</v>
          </cell>
          <cell r="CY86">
            <v>-1200</v>
          </cell>
        </row>
        <row r="87">
          <cell r="F87" t="str">
            <v>05</v>
          </cell>
          <cell r="G87" t="str">
            <v>0</v>
          </cell>
          <cell r="H87" t="str">
            <v>1</v>
          </cell>
          <cell r="I87" t="str">
            <v>0</v>
          </cell>
          <cell r="J87" t="str">
            <v>0</v>
          </cell>
          <cell r="K87"/>
          <cell r="L87" t="str">
            <v>0100</v>
          </cell>
          <cell r="M87" t="str">
            <v>02</v>
          </cell>
          <cell r="N87" t="str">
            <v>00302308Diagnostic Review 18-19</v>
          </cell>
          <cell r="P87" t="str">
            <v>5010</v>
          </cell>
          <cell r="Q87" t="str">
            <v>70*C</v>
          </cell>
          <cell r="R87"/>
          <cell r="S87"/>
          <cell r="AV87" t="str">
            <v>S010A180006</v>
          </cell>
          <cell r="AW87"/>
          <cell r="AX87">
            <v>71825</v>
          </cell>
          <cell r="BW87">
            <v>0</v>
          </cell>
          <cell r="BX87">
            <v>0</v>
          </cell>
          <cell r="BY87">
            <v>71825</v>
          </cell>
          <cell r="CS87">
            <v>-2396.2199999999998</v>
          </cell>
          <cell r="CY87">
            <v>-550</v>
          </cell>
        </row>
        <row r="88">
          <cell r="F88" t="str">
            <v>05</v>
          </cell>
          <cell r="G88" t="str">
            <v>0</v>
          </cell>
          <cell r="H88" t="str">
            <v>1</v>
          </cell>
          <cell r="I88" t="str">
            <v>0</v>
          </cell>
          <cell r="J88" t="str">
            <v>0</v>
          </cell>
          <cell r="K88"/>
          <cell r="L88" t="str">
            <v>0100</v>
          </cell>
          <cell r="M88" t="str">
            <v>02</v>
          </cell>
          <cell r="N88" t="str">
            <v>00304516Diagnostic Review 18-19</v>
          </cell>
          <cell r="P88" t="str">
            <v>5010</v>
          </cell>
          <cell r="Q88" t="str">
            <v>70*C</v>
          </cell>
          <cell r="R88"/>
          <cell r="S88"/>
          <cell r="AV88" t="str">
            <v>S010A180006</v>
          </cell>
          <cell r="AW88"/>
          <cell r="AX88">
            <v>44200</v>
          </cell>
          <cell r="BW88">
            <v>0</v>
          </cell>
          <cell r="BX88">
            <v>0</v>
          </cell>
          <cell r="BY88">
            <v>44200</v>
          </cell>
        </row>
        <row r="89">
          <cell r="F89" t="str">
            <v>05</v>
          </cell>
          <cell r="G89" t="str">
            <v>0</v>
          </cell>
          <cell r="H89" t="str">
            <v>1</v>
          </cell>
          <cell r="I89" t="str">
            <v>1</v>
          </cell>
          <cell r="J89" t="str">
            <v>0</v>
          </cell>
          <cell r="K89"/>
          <cell r="L89" t="str">
            <v>0110</v>
          </cell>
          <cell r="M89" t="str">
            <v>X</v>
          </cell>
          <cell r="N89" t="str">
            <v>00304536Diagnostic Review 18-19</v>
          </cell>
          <cell r="P89" t="str">
            <v>5010</v>
          </cell>
          <cell r="Q89" t="str">
            <v>70*C</v>
          </cell>
          <cell r="R89"/>
          <cell r="S89"/>
          <cell r="AV89" t="str">
            <v>S010A180006</v>
          </cell>
          <cell r="AW89"/>
          <cell r="AX89">
            <v>71825</v>
          </cell>
          <cell r="BW89">
            <v>0</v>
          </cell>
          <cell r="BX89">
            <v>0</v>
          </cell>
          <cell r="BY89">
            <v>71825</v>
          </cell>
          <cell r="CD89">
            <v>11050</v>
          </cell>
          <cell r="CS89">
            <v>-2721.05</v>
          </cell>
          <cell r="CY89">
            <v>-550</v>
          </cell>
        </row>
        <row r="90">
          <cell r="F90" t="str">
            <v>05</v>
          </cell>
          <cell r="G90" t="str">
            <v>0</v>
          </cell>
          <cell r="H90" t="str">
            <v>1</v>
          </cell>
          <cell r="I90" t="str">
            <v>1</v>
          </cell>
          <cell r="J90" t="str">
            <v>0</v>
          </cell>
          <cell r="K90"/>
          <cell r="L90" t="str">
            <v>0110</v>
          </cell>
          <cell r="M90" t="str">
            <v>X</v>
          </cell>
          <cell r="N90" t="str">
            <v>00305982Diagnostic Review 18-19</v>
          </cell>
          <cell r="P90" t="str">
            <v>5010</v>
          </cell>
          <cell r="Q90" t="str">
            <v>70*C</v>
          </cell>
          <cell r="R90"/>
          <cell r="S90"/>
          <cell r="AV90" t="str">
            <v>S010A180006</v>
          </cell>
          <cell r="AW90"/>
          <cell r="AX90">
            <v>71825</v>
          </cell>
          <cell r="BW90">
            <v>0</v>
          </cell>
          <cell r="BX90">
            <v>0</v>
          </cell>
          <cell r="BY90">
            <v>71825</v>
          </cell>
          <cell r="CD90">
            <v>11050</v>
          </cell>
          <cell r="CS90">
            <v>-2313.7399999999998</v>
          </cell>
        </row>
        <row r="91">
          <cell r="F91" t="str">
            <v>05</v>
          </cell>
          <cell r="G91" t="str">
            <v>0</v>
          </cell>
          <cell r="H91" t="str">
            <v>1</v>
          </cell>
          <cell r="I91" t="str">
            <v>1</v>
          </cell>
          <cell r="J91" t="str">
            <v>0</v>
          </cell>
          <cell r="K91"/>
          <cell r="L91" t="str">
            <v>0110</v>
          </cell>
          <cell r="M91" t="str">
            <v>X</v>
          </cell>
          <cell r="N91" t="str">
            <v>00306534Diagnostic Review 18-19</v>
          </cell>
          <cell r="P91" t="str">
            <v>5010</v>
          </cell>
          <cell r="Q91" t="str">
            <v>70*C</v>
          </cell>
          <cell r="R91"/>
          <cell r="S91"/>
          <cell r="AV91" t="str">
            <v>S010A180006</v>
          </cell>
          <cell r="AW91"/>
          <cell r="AX91">
            <v>71825</v>
          </cell>
          <cell r="BW91">
            <v>0</v>
          </cell>
          <cell r="BX91">
            <v>0</v>
          </cell>
          <cell r="BY91">
            <v>71825</v>
          </cell>
          <cell r="CD91">
            <v>11050</v>
          </cell>
          <cell r="CS91">
            <v>-6344.44</v>
          </cell>
          <cell r="CY91">
            <v>-450</v>
          </cell>
        </row>
        <row r="92">
          <cell r="F92" t="str">
            <v>05</v>
          </cell>
          <cell r="G92" t="str">
            <v>0</v>
          </cell>
          <cell r="H92" t="str">
            <v>1</v>
          </cell>
          <cell r="I92" t="str">
            <v>0</v>
          </cell>
          <cell r="J92" t="str">
            <v>0</v>
          </cell>
          <cell r="K92"/>
          <cell r="L92" t="str">
            <v>0100</v>
          </cell>
          <cell r="M92" t="str">
            <v>02</v>
          </cell>
          <cell r="N92" t="str">
            <v>00307500Diagnostic Review 18-19</v>
          </cell>
          <cell r="P92" t="str">
            <v>5010</v>
          </cell>
          <cell r="Q92" t="str">
            <v>70*C</v>
          </cell>
          <cell r="R92"/>
          <cell r="S92"/>
          <cell r="AV92" t="str">
            <v>S010A180006</v>
          </cell>
          <cell r="AW92"/>
          <cell r="AX92">
            <v>71825</v>
          </cell>
          <cell r="BW92">
            <v>0</v>
          </cell>
          <cell r="BX92">
            <v>0</v>
          </cell>
          <cell r="BY92">
            <v>71825</v>
          </cell>
          <cell r="CS92">
            <v>-3486.85</v>
          </cell>
          <cell r="CY92">
            <v>-550</v>
          </cell>
        </row>
        <row r="93">
          <cell r="F93" t="str">
            <v>05</v>
          </cell>
          <cell r="G93" t="str">
            <v>0</v>
          </cell>
          <cell r="H93" t="str">
            <v>1</v>
          </cell>
          <cell r="I93" t="str">
            <v>0</v>
          </cell>
          <cell r="J93" t="str">
            <v>0</v>
          </cell>
          <cell r="K93"/>
          <cell r="L93" t="str">
            <v>0100</v>
          </cell>
          <cell r="M93" t="str">
            <v>02</v>
          </cell>
          <cell r="N93" t="str">
            <v>00500775Diagnostic Review 18-19</v>
          </cell>
          <cell r="P93" t="str">
            <v>5010</v>
          </cell>
          <cell r="Q93" t="str">
            <v>70*C</v>
          </cell>
          <cell r="R93"/>
          <cell r="S93"/>
          <cell r="AV93" t="str">
            <v>S010A180006</v>
          </cell>
          <cell r="AW93"/>
          <cell r="AX93">
            <v>60700</v>
          </cell>
          <cell r="BS93">
            <v>-28200</v>
          </cell>
          <cell r="BW93">
            <v>-28200</v>
          </cell>
          <cell r="BX93">
            <v>0</v>
          </cell>
          <cell r="BY93">
            <v>32500</v>
          </cell>
          <cell r="CM93">
            <v>-19000</v>
          </cell>
        </row>
        <row r="94">
          <cell r="F94" t="str">
            <v>05</v>
          </cell>
          <cell r="G94" t="str">
            <v>1</v>
          </cell>
          <cell r="H94" t="str">
            <v>0</v>
          </cell>
          <cell r="I94" t="str">
            <v>0</v>
          </cell>
          <cell r="J94" t="str">
            <v>0</v>
          </cell>
          <cell r="K94"/>
          <cell r="L94" t="str">
            <v>1000</v>
          </cell>
          <cell r="M94" t="str">
            <v>01</v>
          </cell>
          <cell r="N94" t="str">
            <v>00608334Diagnostic Review 17-18</v>
          </cell>
          <cell r="O94" t="str">
            <v>S010A170006</v>
          </cell>
          <cell r="P94" t="str">
            <v>5010</v>
          </cell>
          <cell r="Q94" t="str">
            <v>70*C</v>
          </cell>
          <cell r="R94">
            <v>43168</v>
          </cell>
          <cell r="S94">
            <v>43168</v>
          </cell>
          <cell r="T94">
            <v>49859</v>
          </cell>
          <cell r="AS94">
            <v>0</v>
          </cell>
          <cell r="AT94">
            <v>0</v>
          </cell>
          <cell r="AU94">
            <v>49859</v>
          </cell>
          <cell r="AW94"/>
          <cell r="BE94">
            <v>-42604</v>
          </cell>
          <cell r="BO94">
            <v>-1680</v>
          </cell>
          <cell r="BS94">
            <v>-5575</v>
          </cell>
          <cell r="BW94">
            <v>-49859</v>
          </cell>
          <cell r="BX94">
            <v>0</v>
          </cell>
          <cell r="BY94">
            <v>0</v>
          </cell>
        </row>
        <row r="95">
          <cell r="F95" t="str">
            <v>05</v>
          </cell>
          <cell r="G95" t="str">
            <v>0</v>
          </cell>
          <cell r="H95" t="str">
            <v>0</v>
          </cell>
          <cell r="I95" t="str">
            <v>1</v>
          </cell>
          <cell r="J95" t="str">
            <v>0</v>
          </cell>
          <cell r="K95"/>
          <cell r="L95" t="str">
            <v>0010</v>
          </cell>
          <cell r="M95" t="str">
            <v>03</v>
          </cell>
          <cell r="N95" t="str">
            <v>00703931Diagnostic Review 19-20</v>
          </cell>
          <cell r="O95"/>
          <cell r="P95" t="str">
            <v>5010</v>
          </cell>
          <cell r="Q95" t="str">
            <v>70*C</v>
          </cell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/>
          <cell r="AH95"/>
          <cell r="AI95"/>
          <cell r="AJ95"/>
          <cell r="AK95"/>
          <cell r="AL95"/>
          <cell r="AM95"/>
          <cell r="AN95"/>
          <cell r="AO95"/>
          <cell r="AP95"/>
          <cell r="AQ95"/>
          <cell r="AR95"/>
          <cell r="AS95">
            <v>0</v>
          </cell>
          <cell r="AT95">
            <v>0</v>
          </cell>
          <cell r="AU95">
            <v>0</v>
          </cell>
          <cell r="AV95"/>
          <cell r="AW95"/>
          <cell r="AX95"/>
          <cell r="AY95"/>
          <cell r="AZ95"/>
          <cell r="BA95"/>
          <cell r="BB95"/>
          <cell r="BC95"/>
          <cell r="BD95"/>
          <cell r="BE95"/>
          <cell r="BF95"/>
          <cell r="BG95"/>
          <cell r="BH95"/>
          <cell r="BI95"/>
          <cell r="BJ95"/>
          <cell r="BK95"/>
          <cell r="BL95"/>
          <cell r="BM95"/>
          <cell r="BN95"/>
          <cell r="BO95"/>
          <cell r="BP95"/>
          <cell r="BQ95"/>
          <cell r="BR95"/>
          <cell r="BS95"/>
          <cell r="BT95"/>
          <cell r="BU95"/>
          <cell r="BV95"/>
          <cell r="BW95">
            <v>0</v>
          </cell>
          <cell r="BX95">
            <v>0</v>
          </cell>
          <cell r="BY95">
            <v>0</v>
          </cell>
          <cell r="BZ95"/>
          <cell r="CA95"/>
          <cell r="CB95"/>
          <cell r="CC95"/>
          <cell r="CD95">
            <v>38675</v>
          </cell>
          <cell r="CE95"/>
          <cell r="CF95"/>
          <cell r="CG95"/>
          <cell r="CH95"/>
          <cell r="CI95"/>
          <cell r="CJ95"/>
          <cell r="CK95"/>
          <cell r="CL95"/>
          <cell r="CM95"/>
          <cell r="CN95"/>
          <cell r="CO95"/>
          <cell r="CP95"/>
          <cell r="CQ95"/>
          <cell r="CR95"/>
          <cell r="CS95"/>
          <cell r="CT95"/>
          <cell r="CU95"/>
          <cell r="CV95"/>
          <cell r="CW95"/>
          <cell r="CX95"/>
          <cell r="CY95"/>
          <cell r="CZ95"/>
          <cell r="DA95"/>
        </row>
        <row r="96">
          <cell r="F96" t="str">
            <v>05</v>
          </cell>
          <cell r="G96" t="str">
            <v>0</v>
          </cell>
          <cell r="H96" t="str">
            <v>1</v>
          </cell>
          <cell r="I96" t="str">
            <v>0</v>
          </cell>
          <cell r="J96" t="str">
            <v>0</v>
          </cell>
          <cell r="K96"/>
          <cell r="L96" t="str">
            <v>0100</v>
          </cell>
          <cell r="M96" t="str">
            <v>02</v>
          </cell>
          <cell r="N96" t="str">
            <v>01201514Diagnostic Review 18-19</v>
          </cell>
          <cell r="P96" t="str">
            <v>5010</v>
          </cell>
          <cell r="Q96" t="str">
            <v>70*C</v>
          </cell>
          <cell r="R96"/>
          <cell r="S96"/>
          <cell r="AV96" t="str">
            <v>S010A180006</v>
          </cell>
          <cell r="AW96"/>
          <cell r="AX96">
            <v>8840</v>
          </cell>
          <cell r="BW96">
            <v>0</v>
          </cell>
          <cell r="BX96">
            <v>0</v>
          </cell>
          <cell r="BY96">
            <v>8840</v>
          </cell>
          <cell r="CU96">
            <v>-5460</v>
          </cell>
        </row>
        <row r="97">
          <cell r="F97" t="str">
            <v>05</v>
          </cell>
          <cell r="G97" t="str">
            <v>0</v>
          </cell>
          <cell r="H97" t="str">
            <v>1</v>
          </cell>
          <cell r="I97" t="str">
            <v>0</v>
          </cell>
          <cell r="J97" t="str">
            <v>0</v>
          </cell>
          <cell r="K97"/>
          <cell r="L97" t="str">
            <v>0100</v>
          </cell>
          <cell r="M97" t="str">
            <v>02</v>
          </cell>
          <cell r="N97" t="str">
            <v>01233054Diagnostic Review 18-19</v>
          </cell>
          <cell r="P97" t="str">
            <v>5010</v>
          </cell>
          <cell r="Q97" t="str">
            <v>70*C</v>
          </cell>
          <cell r="R97"/>
          <cell r="S97"/>
          <cell r="AV97" t="str">
            <v>S010A180006</v>
          </cell>
          <cell r="AW97"/>
          <cell r="AX97">
            <v>19035</v>
          </cell>
          <cell r="BW97">
            <v>0</v>
          </cell>
          <cell r="BX97">
            <v>0</v>
          </cell>
          <cell r="BY97">
            <v>19035</v>
          </cell>
          <cell r="CE97">
            <v>-1862</v>
          </cell>
          <cell r="CU97">
            <v>-7712</v>
          </cell>
        </row>
        <row r="98">
          <cell r="F98" t="str">
            <v>05</v>
          </cell>
          <cell r="G98" t="str">
            <v>0</v>
          </cell>
          <cell r="H98" t="str">
            <v>1</v>
          </cell>
          <cell r="I98" t="str">
            <v>0</v>
          </cell>
          <cell r="J98" t="str">
            <v>0</v>
          </cell>
          <cell r="K98"/>
          <cell r="L98" t="str">
            <v>0100</v>
          </cell>
          <cell r="M98" t="str">
            <v>02</v>
          </cell>
          <cell r="N98" t="str">
            <v>01237837Diagnostic Review 18-19</v>
          </cell>
          <cell r="P98" t="str">
            <v>5010</v>
          </cell>
          <cell r="Q98" t="str">
            <v>70*C</v>
          </cell>
          <cell r="R98"/>
          <cell r="S98"/>
          <cell r="AV98" t="str">
            <v>S010A180006</v>
          </cell>
          <cell r="AW98"/>
          <cell r="AX98">
            <v>19035</v>
          </cell>
          <cell r="BW98">
            <v>0</v>
          </cell>
          <cell r="BX98">
            <v>0</v>
          </cell>
          <cell r="BY98">
            <v>19035</v>
          </cell>
          <cell r="CH98">
            <v>-986.97</v>
          </cell>
          <cell r="CK98">
            <v>-5257.97</v>
          </cell>
          <cell r="CO98">
            <v>-4288.7700000000004</v>
          </cell>
        </row>
        <row r="99">
          <cell r="F99" t="str">
            <v>05</v>
          </cell>
          <cell r="G99" t="str">
            <v>0</v>
          </cell>
          <cell r="H99" t="str">
            <v>0</v>
          </cell>
          <cell r="I99" t="str">
            <v>0</v>
          </cell>
          <cell r="J99" t="str">
            <v>0</v>
          </cell>
          <cell r="K99"/>
          <cell r="L99" t="str">
            <v>0000</v>
          </cell>
          <cell r="M99" t="str">
            <v>X</v>
          </cell>
          <cell r="N99" t="str">
            <v>0123N/ADiagnostic Review 19-20</v>
          </cell>
          <cell r="P99" t="str">
            <v>5010</v>
          </cell>
          <cell r="Q99" t="str">
            <v>70*C</v>
          </cell>
          <cell r="R99">
            <v>43168</v>
          </cell>
          <cell r="S99">
            <v>43168</v>
          </cell>
          <cell r="AS99">
            <v>0</v>
          </cell>
          <cell r="AT99">
            <v>0</v>
          </cell>
          <cell r="AU99">
            <v>0</v>
          </cell>
          <cell r="AW99"/>
          <cell r="BW99">
            <v>0</v>
          </cell>
          <cell r="BX99">
            <v>0</v>
          </cell>
          <cell r="BY99">
            <v>0</v>
          </cell>
        </row>
        <row r="100">
          <cell r="F100" t="str">
            <v>05</v>
          </cell>
          <cell r="G100" t="str">
            <v>0</v>
          </cell>
          <cell r="H100" t="str">
            <v>1</v>
          </cell>
          <cell r="I100" t="str">
            <v>0</v>
          </cell>
          <cell r="J100" t="str">
            <v>0</v>
          </cell>
          <cell r="K100"/>
          <cell r="L100" t="str">
            <v>0100</v>
          </cell>
          <cell r="M100" t="str">
            <v>02</v>
          </cell>
          <cell r="N100" t="str">
            <v>01800213Diagnostic Review 18-19</v>
          </cell>
          <cell r="P100" t="str">
            <v>5010</v>
          </cell>
          <cell r="Q100" t="str">
            <v>70*C</v>
          </cell>
          <cell r="R100"/>
          <cell r="S100"/>
          <cell r="AV100" t="str">
            <v>S010A180006</v>
          </cell>
          <cell r="AW100"/>
          <cell r="AX100">
            <v>16278</v>
          </cell>
          <cell r="BW100">
            <v>0</v>
          </cell>
          <cell r="BX100">
            <v>0</v>
          </cell>
          <cell r="BY100">
            <v>16278</v>
          </cell>
          <cell r="CI100">
            <v>-15000</v>
          </cell>
        </row>
        <row r="101">
          <cell r="F101" t="str">
            <v>05</v>
          </cell>
          <cell r="G101" t="str">
            <v>1</v>
          </cell>
          <cell r="H101" t="str">
            <v>0</v>
          </cell>
          <cell r="I101" t="str">
            <v>0</v>
          </cell>
          <cell r="J101" t="str">
            <v>0</v>
          </cell>
          <cell r="K101"/>
          <cell r="L101" t="str">
            <v>1000</v>
          </cell>
          <cell r="M101" t="str">
            <v>01</v>
          </cell>
          <cell r="N101" t="str">
            <v>01800219Diagnostic Review 17-18</v>
          </cell>
          <cell r="O101" t="str">
            <v>S010A170006</v>
          </cell>
          <cell r="P101" t="str">
            <v>5010</v>
          </cell>
          <cell r="Q101" t="str">
            <v>70*C</v>
          </cell>
          <cell r="R101">
            <v>43168</v>
          </cell>
          <cell r="S101">
            <v>43168</v>
          </cell>
          <cell r="T101">
            <v>31313.4</v>
          </cell>
          <cell r="AS101">
            <v>0</v>
          </cell>
          <cell r="AT101">
            <v>0</v>
          </cell>
          <cell r="AU101">
            <v>31313.4</v>
          </cell>
          <cell r="AW101"/>
          <cell r="BC101">
            <v>-27625</v>
          </cell>
          <cell r="BW101">
            <v>-27625</v>
          </cell>
          <cell r="BX101">
            <v>0</v>
          </cell>
          <cell r="BY101">
            <v>3688.4000000000015</v>
          </cell>
        </row>
        <row r="102">
          <cell r="F102" t="str">
            <v>05</v>
          </cell>
          <cell r="G102" t="str">
            <v>0</v>
          </cell>
          <cell r="H102" t="str">
            <v>1</v>
          </cell>
          <cell r="I102" t="str">
            <v>0</v>
          </cell>
          <cell r="J102" t="str">
            <v>0</v>
          </cell>
          <cell r="K102"/>
          <cell r="L102" t="str">
            <v>0100</v>
          </cell>
          <cell r="M102" t="str">
            <v>02</v>
          </cell>
          <cell r="N102" t="str">
            <v>01800458Diagnostic Review 18-19</v>
          </cell>
          <cell r="P102" t="str">
            <v>5010</v>
          </cell>
          <cell r="Q102" t="str">
            <v>70*C</v>
          </cell>
          <cell r="R102"/>
          <cell r="S102"/>
          <cell r="AV102" t="str">
            <v>S010A180006</v>
          </cell>
          <cell r="AW102"/>
          <cell r="AX102">
            <v>18991</v>
          </cell>
          <cell r="BW102">
            <v>0</v>
          </cell>
          <cell r="BX102">
            <v>0</v>
          </cell>
          <cell r="BY102">
            <v>18991</v>
          </cell>
          <cell r="CI102">
            <v>-17500</v>
          </cell>
        </row>
        <row r="103">
          <cell r="F103" t="str">
            <v>05</v>
          </cell>
          <cell r="G103" t="str">
            <v>0</v>
          </cell>
          <cell r="H103" t="str">
            <v>1</v>
          </cell>
          <cell r="I103" t="str">
            <v>0</v>
          </cell>
          <cell r="J103" t="str">
            <v>0</v>
          </cell>
          <cell r="K103"/>
          <cell r="L103" t="str">
            <v>0100</v>
          </cell>
          <cell r="M103" t="str">
            <v>02</v>
          </cell>
          <cell r="N103" t="str">
            <v>01802095Diagnostic Review 18-19</v>
          </cell>
          <cell r="P103" t="str">
            <v>5010</v>
          </cell>
          <cell r="Q103" t="str">
            <v>70*C</v>
          </cell>
          <cell r="R103"/>
          <cell r="S103"/>
          <cell r="AV103" t="str">
            <v>S010A180006</v>
          </cell>
          <cell r="AW103"/>
          <cell r="AX103">
            <v>16278</v>
          </cell>
          <cell r="BW103">
            <v>0</v>
          </cell>
          <cell r="BX103">
            <v>0</v>
          </cell>
          <cell r="BY103">
            <v>16278</v>
          </cell>
          <cell r="CI103">
            <v>-15000</v>
          </cell>
        </row>
        <row r="104">
          <cell r="F104" t="str">
            <v>05</v>
          </cell>
          <cell r="G104" t="str">
            <v>1</v>
          </cell>
          <cell r="H104" t="str">
            <v>0</v>
          </cell>
          <cell r="I104" t="str">
            <v>0</v>
          </cell>
          <cell r="J104" t="str">
            <v>0</v>
          </cell>
          <cell r="K104"/>
          <cell r="L104" t="str">
            <v>1000</v>
          </cell>
          <cell r="M104" t="str">
            <v>01</v>
          </cell>
          <cell r="N104" t="str">
            <v>01803471Diagnostic Review 17-18</v>
          </cell>
          <cell r="O104" t="str">
            <v>S010A170006</v>
          </cell>
          <cell r="P104" t="str">
            <v>5010</v>
          </cell>
          <cell r="Q104" t="str">
            <v>70*C</v>
          </cell>
          <cell r="R104">
            <v>43168</v>
          </cell>
          <cell r="S104">
            <v>43168</v>
          </cell>
          <cell r="T104">
            <v>47407.6</v>
          </cell>
          <cell r="AS104">
            <v>0</v>
          </cell>
          <cell r="AT104">
            <v>0</v>
          </cell>
          <cell r="AU104">
            <v>47407.6</v>
          </cell>
          <cell r="AW104"/>
          <cell r="BC104">
            <v>-23205</v>
          </cell>
          <cell r="BW104">
            <v>-23205</v>
          </cell>
          <cell r="BX104">
            <v>0</v>
          </cell>
          <cell r="BY104">
            <v>24202.6</v>
          </cell>
        </row>
        <row r="105">
          <cell r="F105" t="str">
            <v>05</v>
          </cell>
          <cell r="G105" t="str">
            <v>0</v>
          </cell>
          <cell r="H105" t="str">
            <v>1</v>
          </cell>
          <cell r="I105" t="str">
            <v>0</v>
          </cell>
          <cell r="J105" t="str">
            <v>0</v>
          </cell>
          <cell r="K105"/>
          <cell r="L105" t="str">
            <v>0100</v>
          </cell>
          <cell r="M105" t="str">
            <v>02</v>
          </cell>
          <cell r="N105" t="str">
            <v>01806758Diagnostic Review 18-19</v>
          </cell>
          <cell r="P105" t="str">
            <v>5010</v>
          </cell>
          <cell r="Q105" t="str">
            <v>70*C</v>
          </cell>
          <cell r="R105"/>
          <cell r="S105"/>
          <cell r="AV105" t="str">
            <v>S010A180006</v>
          </cell>
          <cell r="AW105"/>
          <cell r="AX105">
            <v>16278</v>
          </cell>
          <cell r="BW105">
            <v>0</v>
          </cell>
          <cell r="BX105">
            <v>0</v>
          </cell>
          <cell r="BY105">
            <v>16278</v>
          </cell>
          <cell r="CI105">
            <v>-15000</v>
          </cell>
        </row>
        <row r="106">
          <cell r="F106" t="str">
            <v>05</v>
          </cell>
          <cell r="G106" t="str">
            <v>0</v>
          </cell>
          <cell r="H106" t="str">
            <v>0</v>
          </cell>
          <cell r="I106" t="str">
            <v>0</v>
          </cell>
          <cell r="J106" t="str">
            <v>0</v>
          </cell>
          <cell r="K106"/>
          <cell r="L106" t="str">
            <v>0000</v>
          </cell>
          <cell r="M106" t="str">
            <v>X</v>
          </cell>
          <cell r="N106" t="str">
            <v>02206679Diagnostic Review 19-20</v>
          </cell>
          <cell r="P106" t="str">
            <v>5010</v>
          </cell>
          <cell r="Q106" t="str">
            <v>70*C</v>
          </cell>
          <cell r="R106">
            <v>43168</v>
          </cell>
          <cell r="S106">
            <v>43168</v>
          </cell>
          <cell r="AS106">
            <v>0</v>
          </cell>
          <cell r="AT106">
            <v>0</v>
          </cell>
          <cell r="AU106">
            <v>0</v>
          </cell>
          <cell r="AW106"/>
          <cell r="BW106">
            <v>0</v>
          </cell>
          <cell r="BX106">
            <v>0</v>
          </cell>
          <cell r="BY106">
            <v>0</v>
          </cell>
        </row>
        <row r="107">
          <cell r="F107" t="str">
            <v>05</v>
          </cell>
          <cell r="G107" t="str">
            <v>0</v>
          </cell>
          <cell r="H107" t="str">
            <v>0</v>
          </cell>
          <cell r="I107" t="str">
            <v>1</v>
          </cell>
          <cell r="J107" t="str">
            <v>0</v>
          </cell>
          <cell r="K107"/>
          <cell r="L107" t="str">
            <v>0010</v>
          </cell>
          <cell r="M107" t="str">
            <v>03</v>
          </cell>
          <cell r="N107" t="str">
            <v>04800934Diagnostic Review 19-20</v>
          </cell>
          <cell r="O107"/>
          <cell r="P107" t="str">
            <v>5010</v>
          </cell>
          <cell r="Q107" t="str">
            <v>70*C</v>
          </cell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  <cell r="AN107"/>
          <cell r="AO107"/>
          <cell r="AP107"/>
          <cell r="AQ107"/>
          <cell r="AR107"/>
          <cell r="AS107"/>
          <cell r="AT107"/>
          <cell r="AU107"/>
          <cell r="AV107"/>
          <cell r="AW107"/>
          <cell r="AX107"/>
          <cell r="AY107"/>
          <cell r="AZ107"/>
          <cell r="BA107"/>
          <cell r="BB107"/>
          <cell r="BC107"/>
          <cell r="BD107"/>
          <cell r="BE107"/>
          <cell r="BF107"/>
          <cell r="BG107"/>
          <cell r="BH107"/>
          <cell r="BI107"/>
          <cell r="BJ107"/>
          <cell r="BK107"/>
          <cell r="BL107"/>
          <cell r="BM107"/>
          <cell r="BN107"/>
          <cell r="BO107"/>
          <cell r="BP107"/>
          <cell r="BQ107"/>
          <cell r="BR107"/>
          <cell r="BS107"/>
          <cell r="BT107"/>
          <cell r="BU107"/>
          <cell r="BV107"/>
          <cell r="BW107">
            <v>0</v>
          </cell>
          <cell r="BX107">
            <v>0</v>
          </cell>
          <cell r="BY107">
            <v>0</v>
          </cell>
          <cell r="BZ107"/>
          <cell r="CA107"/>
          <cell r="CB107"/>
          <cell r="CC107"/>
          <cell r="CD107">
            <v>50026.447500000002</v>
          </cell>
          <cell r="CE107"/>
          <cell r="CF107"/>
          <cell r="CG107"/>
          <cell r="CH107"/>
          <cell r="CI107"/>
          <cell r="CJ107"/>
          <cell r="CK107"/>
          <cell r="CL107"/>
          <cell r="CM107"/>
          <cell r="CN107"/>
          <cell r="CO107"/>
          <cell r="CP107"/>
          <cell r="CQ107"/>
          <cell r="CR107"/>
          <cell r="CS107"/>
          <cell r="CT107"/>
          <cell r="CU107"/>
          <cell r="CV107"/>
          <cell r="CW107"/>
          <cell r="CX107"/>
          <cell r="CY107"/>
          <cell r="CZ107"/>
          <cell r="DA107"/>
        </row>
        <row r="108">
          <cell r="F108" t="str">
            <v>05</v>
          </cell>
          <cell r="G108" t="str">
            <v>0</v>
          </cell>
          <cell r="H108" t="str">
            <v>1</v>
          </cell>
          <cell r="I108" t="str">
            <v>0</v>
          </cell>
          <cell r="J108" t="str">
            <v>0</v>
          </cell>
          <cell r="K108"/>
          <cell r="L108" t="str">
            <v>0100</v>
          </cell>
          <cell r="M108" t="str">
            <v>02</v>
          </cell>
          <cell r="N108" t="str">
            <v>05004085Diagnostic Review 18-19</v>
          </cell>
          <cell r="P108" t="str">
            <v>5010</v>
          </cell>
          <cell r="Q108" t="str">
            <v>70*C</v>
          </cell>
          <cell r="R108"/>
          <cell r="S108"/>
          <cell r="AV108" t="str">
            <v>S010A180006</v>
          </cell>
          <cell r="AW108"/>
          <cell r="AX108">
            <v>35748</v>
          </cell>
          <cell r="BW108">
            <v>0</v>
          </cell>
          <cell r="BX108">
            <v>0</v>
          </cell>
          <cell r="BY108">
            <v>35748</v>
          </cell>
          <cell r="BZ108" t="str">
            <v>S010A190006</v>
          </cell>
          <cell r="CB108">
            <v>5504</v>
          </cell>
          <cell r="CE108">
            <v>-26984</v>
          </cell>
          <cell r="CI108">
            <v>-151.9</v>
          </cell>
          <cell r="CK108">
            <v>-1155</v>
          </cell>
          <cell r="CM108">
            <v>-32.229999999999997</v>
          </cell>
          <cell r="CO108">
            <v>-1234.4100000000001</v>
          </cell>
          <cell r="CQ108">
            <v>-531.05999999999995</v>
          </cell>
          <cell r="CU108">
            <v>-5659.4</v>
          </cell>
        </row>
        <row r="109">
          <cell r="F109"/>
          <cell r="G109"/>
          <cell r="H109"/>
          <cell r="I109"/>
          <cell r="J109"/>
          <cell r="K109"/>
          <cell r="L109"/>
          <cell r="M109"/>
          <cell r="N109" t="str">
            <v>05506339Diagnostic Review 20-21</v>
          </cell>
          <cell r="P109" t="str">
            <v>5010</v>
          </cell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  <cell r="AN109"/>
          <cell r="AO109"/>
          <cell r="AP109"/>
          <cell r="AQ109"/>
          <cell r="AR109"/>
          <cell r="AS109"/>
          <cell r="AT109"/>
          <cell r="AU109"/>
          <cell r="AV109"/>
          <cell r="AW109"/>
          <cell r="AX109"/>
          <cell r="AY109"/>
          <cell r="AZ109"/>
          <cell r="BA109"/>
          <cell r="BB109"/>
          <cell r="BC109"/>
          <cell r="BD109"/>
          <cell r="BE109"/>
          <cell r="BF109"/>
          <cell r="BG109"/>
          <cell r="BH109"/>
          <cell r="BI109"/>
          <cell r="BJ109"/>
          <cell r="BK109"/>
          <cell r="BL109"/>
          <cell r="BM109"/>
          <cell r="BN109"/>
          <cell r="BO109"/>
          <cell r="BP109"/>
          <cell r="BQ109"/>
          <cell r="BR109"/>
          <cell r="BS109"/>
          <cell r="BT109"/>
          <cell r="BU109"/>
          <cell r="BV109"/>
          <cell r="BW109"/>
          <cell r="BX109"/>
          <cell r="BY109"/>
          <cell r="BZ109"/>
          <cell r="CA109"/>
          <cell r="CB109"/>
          <cell r="CC109"/>
          <cell r="CD109"/>
          <cell r="CE109"/>
          <cell r="CF109"/>
          <cell r="CG109"/>
          <cell r="CH109"/>
          <cell r="CI109"/>
          <cell r="CJ109"/>
          <cell r="CK109"/>
          <cell r="CL109"/>
          <cell r="CM109"/>
          <cell r="CN109"/>
          <cell r="CO109"/>
          <cell r="CP109"/>
          <cell r="CQ109"/>
          <cell r="CR109"/>
          <cell r="CS109"/>
          <cell r="CT109"/>
          <cell r="CU109"/>
          <cell r="CV109"/>
          <cell r="CW109"/>
          <cell r="CX109"/>
          <cell r="CY109"/>
          <cell r="CZ109"/>
          <cell r="DA109"/>
        </row>
        <row r="110">
          <cell r="F110" t="str">
            <v>05</v>
          </cell>
          <cell r="G110" t="str">
            <v>1</v>
          </cell>
          <cell r="H110" t="str">
            <v>0</v>
          </cell>
          <cell r="I110" t="str">
            <v>0</v>
          </cell>
          <cell r="J110" t="str">
            <v>0</v>
          </cell>
          <cell r="K110"/>
          <cell r="L110" t="str">
            <v>1000</v>
          </cell>
          <cell r="M110" t="str">
            <v>01</v>
          </cell>
          <cell r="N110" t="str">
            <v>07407880Diagnostic Review 17-18</v>
          </cell>
          <cell r="O110" t="str">
            <v>S010A170006</v>
          </cell>
          <cell r="P110" t="str">
            <v>5010</v>
          </cell>
          <cell r="Q110" t="str">
            <v>70*C</v>
          </cell>
          <cell r="R110">
            <v>43173</v>
          </cell>
          <cell r="S110">
            <v>43173</v>
          </cell>
          <cell r="T110">
            <v>49590</v>
          </cell>
          <cell r="AS110">
            <v>0</v>
          </cell>
          <cell r="AT110">
            <v>0</v>
          </cell>
          <cell r="AU110">
            <v>49590</v>
          </cell>
          <cell r="AW110"/>
          <cell r="BA110">
            <v>-49590</v>
          </cell>
          <cell r="BW110">
            <v>-49590</v>
          </cell>
          <cell r="BX110">
            <v>0</v>
          </cell>
          <cell r="BY110">
            <v>0</v>
          </cell>
        </row>
        <row r="111">
          <cell r="F111" t="str">
            <v>05</v>
          </cell>
          <cell r="G111" t="str">
            <v>0</v>
          </cell>
          <cell r="H111" t="str">
            <v>1</v>
          </cell>
          <cell r="I111" t="str">
            <v>0</v>
          </cell>
          <cell r="J111" t="str">
            <v>0</v>
          </cell>
          <cell r="K111"/>
          <cell r="L111" t="str">
            <v>0100</v>
          </cell>
          <cell r="M111" t="str">
            <v>02</v>
          </cell>
          <cell r="N111" t="str">
            <v>08702155Diagnostic Review 18-19</v>
          </cell>
          <cell r="P111" t="str">
            <v>5010</v>
          </cell>
          <cell r="Q111" t="str">
            <v>70*C</v>
          </cell>
          <cell r="R111"/>
          <cell r="S111"/>
          <cell r="AV111" t="str">
            <v>S010A180006</v>
          </cell>
          <cell r="AW111"/>
          <cell r="AX111">
            <v>54281</v>
          </cell>
          <cell r="BU111">
            <v>-21000</v>
          </cell>
          <cell r="BW111">
            <v>-21000</v>
          </cell>
          <cell r="BX111">
            <v>0</v>
          </cell>
          <cell r="BY111">
            <v>33281</v>
          </cell>
          <cell r="CK111">
            <v>-21920</v>
          </cell>
        </row>
        <row r="112">
          <cell r="F112" t="str">
            <v>05</v>
          </cell>
          <cell r="G112" t="str">
            <v>0</v>
          </cell>
          <cell r="H112" t="str">
            <v>1</v>
          </cell>
          <cell r="I112" t="str">
            <v>0</v>
          </cell>
          <cell r="J112" t="str">
            <v>0</v>
          </cell>
          <cell r="K112"/>
          <cell r="L112" t="str">
            <v>0100</v>
          </cell>
          <cell r="M112" t="str">
            <v>02</v>
          </cell>
          <cell r="N112" t="str">
            <v>08702166Diagnostic Review 18-19</v>
          </cell>
          <cell r="P112" t="str">
            <v>5010</v>
          </cell>
          <cell r="Q112" t="str">
            <v>70*C</v>
          </cell>
          <cell r="R112"/>
          <cell r="S112"/>
          <cell r="AV112" t="str">
            <v>S010A180006</v>
          </cell>
          <cell r="AW112"/>
          <cell r="AX112">
            <v>28283</v>
          </cell>
          <cell r="BU112">
            <v>-18000</v>
          </cell>
          <cell r="BW112">
            <v>-18000</v>
          </cell>
          <cell r="BX112">
            <v>0</v>
          </cell>
          <cell r="BY112">
            <v>10283</v>
          </cell>
          <cell r="CU112">
            <v>-9405.4500000000007</v>
          </cell>
        </row>
        <row r="113">
          <cell r="F113" t="str">
            <v>05</v>
          </cell>
          <cell r="G113" t="str">
            <v>0</v>
          </cell>
          <cell r="H113" t="str">
            <v>1</v>
          </cell>
          <cell r="I113" t="str">
            <v>0</v>
          </cell>
          <cell r="J113" t="str">
            <v>0</v>
          </cell>
          <cell r="K113"/>
          <cell r="L113" t="str">
            <v>0100</v>
          </cell>
          <cell r="M113" t="str">
            <v>02</v>
          </cell>
          <cell r="N113" t="str">
            <v>08800650Diagnostic Review 18-19</v>
          </cell>
          <cell r="P113" t="str">
            <v>5010</v>
          </cell>
          <cell r="Q113" t="str">
            <v>70*C</v>
          </cell>
          <cell r="R113"/>
          <cell r="S113"/>
          <cell r="AV113" t="str">
            <v>S010A180006</v>
          </cell>
          <cell r="AW113"/>
          <cell r="AX113">
            <v>18296</v>
          </cell>
          <cell r="BW113">
            <v>0</v>
          </cell>
          <cell r="BX113">
            <v>0</v>
          </cell>
          <cell r="BY113">
            <v>18296</v>
          </cell>
        </row>
        <row r="114">
          <cell r="F114"/>
          <cell r="G114"/>
          <cell r="H114"/>
          <cell r="I114"/>
          <cell r="J114"/>
          <cell r="K114"/>
          <cell r="L114"/>
          <cell r="M114"/>
          <cell r="N114" t="str">
            <v>08803000Diagnostic Review 20-21</v>
          </cell>
          <cell r="P114" t="str">
            <v>5010</v>
          </cell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  <cell r="AN114"/>
          <cell r="AO114"/>
          <cell r="AP114"/>
          <cell r="AQ114"/>
          <cell r="AR114"/>
          <cell r="AS114"/>
          <cell r="AT114"/>
          <cell r="AU114"/>
          <cell r="AV114"/>
          <cell r="AW114"/>
          <cell r="AX114"/>
          <cell r="AY114"/>
          <cell r="AZ114"/>
          <cell r="BA114"/>
          <cell r="BB114"/>
          <cell r="BC114"/>
          <cell r="BD114"/>
          <cell r="BE114"/>
          <cell r="BF114"/>
          <cell r="BG114"/>
          <cell r="BH114"/>
          <cell r="BI114"/>
          <cell r="BJ114"/>
          <cell r="BK114"/>
          <cell r="BL114"/>
          <cell r="BM114"/>
          <cell r="BN114"/>
          <cell r="BO114"/>
          <cell r="BP114"/>
          <cell r="BQ114"/>
          <cell r="BR114"/>
          <cell r="BS114"/>
          <cell r="BT114"/>
          <cell r="BU114"/>
          <cell r="BV114"/>
          <cell r="BW114"/>
          <cell r="BX114"/>
          <cell r="BY114"/>
          <cell r="BZ114"/>
          <cell r="CA114"/>
          <cell r="CB114"/>
          <cell r="CC114"/>
          <cell r="CD114"/>
          <cell r="CE114"/>
          <cell r="CF114"/>
          <cell r="CG114"/>
          <cell r="CH114"/>
          <cell r="CI114"/>
          <cell r="CJ114"/>
          <cell r="CK114"/>
          <cell r="CL114"/>
          <cell r="CM114"/>
          <cell r="CN114"/>
          <cell r="CO114"/>
          <cell r="CP114"/>
          <cell r="CQ114"/>
          <cell r="CR114"/>
          <cell r="CS114"/>
          <cell r="CT114"/>
          <cell r="CU114"/>
          <cell r="CV114"/>
          <cell r="CW114"/>
          <cell r="CX114"/>
          <cell r="CY114"/>
          <cell r="CZ114"/>
          <cell r="DA114"/>
        </row>
        <row r="115">
          <cell r="F115" t="str">
            <v>05</v>
          </cell>
          <cell r="G115" t="str">
            <v>0</v>
          </cell>
          <cell r="H115" t="str">
            <v>0</v>
          </cell>
          <cell r="I115" t="str">
            <v>1</v>
          </cell>
          <cell r="J115" t="str">
            <v>0</v>
          </cell>
          <cell r="K115"/>
          <cell r="L115" t="str">
            <v>0010</v>
          </cell>
          <cell r="M115" t="str">
            <v>03</v>
          </cell>
          <cell r="N115" t="str">
            <v>08804140Diagnostic Review 19-20</v>
          </cell>
          <cell r="O115"/>
          <cell r="P115" t="str">
            <v>5010</v>
          </cell>
          <cell r="Q115" t="str">
            <v>70*C</v>
          </cell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  <cell r="AN115"/>
          <cell r="AO115"/>
          <cell r="AP115"/>
          <cell r="AQ115"/>
          <cell r="AR115"/>
          <cell r="AS115"/>
          <cell r="AT115"/>
          <cell r="AU115"/>
          <cell r="AV115"/>
          <cell r="AW115"/>
          <cell r="AX115"/>
          <cell r="AY115"/>
          <cell r="AZ115"/>
          <cell r="BA115"/>
          <cell r="BB115"/>
          <cell r="BC115"/>
          <cell r="BD115"/>
          <cell r="BE115"/>
          <cell r="BF115"/>
          <cell r="BG115"/>
          <cell r="BH115"/>
          <cell r="BI115"/>
          <cell r="BJ115"/>
          <cell r="BK115"/>
          <cell r="BL115"/>
          <cell r="BM115"/>
          <cell r="BN115"/>
          <cell r="BO115"/>
          <cell r="BP115"/>
          <cell r="BQ115"/>
          <cell r="BR115"/>
          <cell r="BS115"/>
          <cell r="BT115"/>
          <cell r="BU115"/>
          <cell r="BV115"/>
          <cell r="BW115">
            <v>0</v>
          </cell>
          <cell r="BX115">
            <v>0</v>
          </cell>
          <cell r="BY115">
            <v>0</v>
          </cell>
          <cell r="BZ115"/>
          <cell r="CA115"/>
          <cell r="CB115"/>
          <cell r="CC115"/>
          <cell r="CD115">
            <v>21454</v>
          </cell>
          <cell r="CE115"/>
          <cell r="CF115"/>
          <cell r="CG115"/>
          <cell r="CH115"/>
          <cell r="CI115"/>
          <cell r="CJ115"/>
          <cell r="CK115"/>
          <cell r="CL115"/>
          <cell r="CM115"/>
          <cell r="CN115"/>
          <cell r="CO115"/>
          <cell r="CP115"/>
          <cell r="CQ115"/>
          <cell r="CR115"/>
          <cell r="CS115"/>
          <cell r="CT115"/>
          <cell r="CU115"/>
          <cell r="CV115"/>
          <cell r="CW115"/>
          <cell r="CX115"/>
          <cell r="CY115"/>
          <cell r="CZ115"/>
          <cell r="DA115"/>
        </row>
        <row r="116">
          <cell r="F116" t="str">
            <v>05</v>
          </cell>
          <cell r="G116" t="str">
            <v>0</v>
          </cell>
          <cell r="H116" t="str">
            <v>1</v>
          </cell>
          <cell r="I116" t="str">
            <v>0</v>
          </cell>
          <cell r="J116" t="str">
            <v>0</v>
          </cell>
          <cell r="K116"/>
          <cell r="L116" t="str">
            <v>0100</v>
          </cell>
          <cell r="M116" t="str">
            <v>02</v>
          </cell>
          <cell r="N116" t="str">
            <v>08804782Diagnostic Review 18-19</v>
          </cell>
          <cell r="P116" t="str">
            <v>5010</v>
          </cell>
          <cell r="Q116" t="str">
            <v>70*C</v>
          </cell>
          <cell r="R116"/>
          <cell r="S116"/>
          <cell r="AV116" t="str">
            <v>S010A180006</v>
          </cell>
          <cell r="AW116"/>
          <cell r="AX116">
            <v>18296</v>
          </cell>
          <cell r="BW116">
            <v>0</v>
          </cell>
          <cell r="BX116">
            <v>0</v>
          </cell>
          <cell r="BY116">
            <v>18296</v>
          </cell>
        </row>
        <row r="117">
          <cell r="F117" t="str">
            <v>05</v>
          </cell>
          <cell r="G117" t="str">
            <v>0</v>
          </cell>
          <cell r="H117" t="str">
            <v>1</v>
          </cell>
          <cell r="I117" t="str">
            <v>0</v>
          </cell>
          <cell r="J117" t="str">
            <v>0</v>
          </cell>
          <cell r="K117"/>
          <cell r="L117" t="str">
            <v>0100</v>
          </cell>
          <cell r="M117" t="str">
            <v>02</v>
          </cell>
          <cell r="N117" t="str">
            <v>08805578Diagnostic Review 18-19</v>
          </cell>
          <cell r="P117" t="str">
            <v>5010</v>
          </cell>
          <cell r="Q117" t="str">
            <v>70*C</v>
          </cell>
          <cell r="R117"/>
          <cell r="S117"/>
          <cell r="AV117" t="str">
            <v>S010A180006</v>
          </cell>
          <cell r="AW117"/>
          <cell r="AX117">
            <v>18296</v>
          </cell>
          <cell r="BW117">
            <v>0</v>
          </cell>
          <cell r="BX117">
            <v>0</v>
          </cell>
          <cell r="BY117">
            <v>18296</v>
          </cell>
        </row>
        <row r="118">
          <cell r="F118" t="str">
            <v>05</v>
          </cell>
          <cell r="G118" t="str">
            <v>0</v>
          </cell>
          <cell r="H118" t="str">
            <v>1</v>
          </cell>
          <cell r="I118" t="str">
            <v>0</v>
          </cell>
          <cell r="J118" t="str">
            <v>0</v>
          </cell>
          <cell r="K118"/>
          <cell r="L118" t="str">
            <v>0100</v>
          </cell>
          <cell r="M118" t="str">
            <v>02</v>
          </cell>
          <cell r="N118" t="str">
            <v>08806002Diagnostic Review 18-19</v>
          </cell>
          <cell r="P118" t="str">
            <v>5010</v>
          </cell>
          <cell r="Q118" t="str">
            <v>70*C</v>
          </cell>
          <cell r="R118"/>
          <cell r="S118"/>
          <cell r="AV118" t="str">
            <v>S010A180006</v>
          </cell>
          <cell r="AW118"/>
          <cell r="AX118">
            <v>18296</v>
          </cell>
          <cell r="BW118">
            <v>0</v>
          </cell>
          <cell r="BX118">
            <v>0</v>
          </cell>
          <cell r="BY118">
            <v>18296</v>
          </cell>
        </row>
        <row r="119">
          <cell r="F119" t="str">
            <v>05</v>
          </cell>
          <cell r="G119" t="str">
            <v>0</v>
          </cell>
          <cell r="H119" t="str">
            <v>1</v>
          </cell>
          <cell r="I119" t="str">
            <v>0</v>
          </cell>
          <cell r="J119" t="str">
            <v>0</v>
          </cell>
          <cell r="K119"/>
          <cell r="L119" t="str">
            <v>0100</v>
          </cell>
          <cell r="M119" t="str">
            <v>02</v>
          </cell>
          <cell r="N119" t="str">
            <v>08807698Diagnostic Review 18-19</v>
          </cell>
          <cell r="P119" t="str">
            <v>5010</v>
          </cell>
          <cell r="Q119" t="str">
            <v>70*C</v>
          </cell>
          <cell r="R119"/>
          <cell r="S119"/>
          <cell r="AV119" t="str">
            <v>S010A180006</v>
          </cell>
          <cell r="AW119"/>
          <cell r="AX119">
            <v>18296</v>
          </cell>
          <cell r="BW119">
            <v>0</v>
          </cell>
          <cell r="BX119">
            <v>0</v>
          </cell>
          <cell r="BY119">
            <v>18296</v>
          </cell>
        </row>
        <row r="120">
          <cell r="F120" t="str">
            <v>05</v>
          </cell>
          <cell r="G120" t="str">
            <v>0</v>
          </cell>
          <cell r="H120" t="str">
            <v>1</v>
          </cell>
          <cell r="I120" t="str">
            <v>0</v>
          </cell>
          <cell r="J120" t="str">
            <v>0</v>
          </cell>
          <cell r="K120"/>
          <cell r="L120" t="str">
            <v>0100</v>
          </cell>
          <cell r="M120" t="str">
            <v>02</v>
          </cell>
          <cell r="N120" t="str">
            <v>08808145Diagnostic Review 18-19</v>
          </cell>
          <cell r="P120" t="str">
            <v>5010</v>
          </cell>
          <cell r="Q120" t="str">
            <v>70*C</v>
          </cell>
          <cell r="R120"/>
          <cell r="S120"/>
          <cell r="AV120" t="str">
            <v>S010A180006</v>
          </cell>
          <cell r="AW120"/>
          <cell r="AX120">
            <v>7837</v>
          </cell>
          <cell r="BW120">
            <v>0</v>
          </cell>
          <cell r="BX120">
            <v>0</v>
          </cell>
          <cell r="BY120">
            <v>7837</v>
          </cell>
        </row>
        <row r="121">
          <cell r="F121" t="str">
            <v>05</v>
          </cell>
          <cell r="G121" t="str">
            <v>0</v>
          </cell>
          <cell r="H121" t="str">
            <v>1</v>
          </cell>
          <cell r="I121" t="str">
            <v>0</v>
          </cell>
          <cell r="J121" t="str">
            <v>0</v>
          </cell>
          <cell r="K121"/>
          <cell r="L121" t="str">
            <v>0100</v>
          </cell>
          <cell r="M121" t="str">
            <v>02</v>
          </cell>
          <cell r="N121" t="str">
            <v>08809496Diagnostic Review 18-19</v>
          </cell>
          <cell r="P121" t="str">
            <v>5010</v>
          </cell>
          <cell r="Q121" t="str">
            <v>70*C</v>
          </cell>
          <cell r="R121"/>
          <cell r="S121"/>
          <cell r="AV121" t="str">
            <v>S010A180006</v>
          </cell>
          <cell r="AW121"/>
          <cell r="AX121">
            <v>18296</v>
          </cell>
          <cell r="BW121">
            <v>0</v>
          </cell>
          <cell r="BX121">
            <v>0</v>
          </cell>
          <cell r="BY121">
            <v>18296</v>
          </cell>
        </row>
        <row r="122">
          <cell r="F122" t="str">
            <v>05</v>
          </cell>
          <cell r="G122" t="str">
            <v>0</v>
          </cell>
          <cell r="H122" t="str">
            <v>0</v>
          </cell>
          <cell r="I122" t="str">
            <v>0</v>
          </cell>
          <cell r="J122" t="str">
            <v>0</v>
          </cell>
          <cell r="K122"/>
          <cell r="L122" t="str">
            <v>0000</v>
          </cell>
          <cell r="M122" t="str">
            <v>X</v>
          </cell>
          <cell r="N122" t="str">
            <v>0880N/ADiagnostic Review 19-20</v>
          </cell>
          <cell r="P122" t="str">
            <v>5010</v>
          </cell>
          <cell r="Q122" t="str">
            <v>70*C</v>
          </cell>
          <cell r="R122">
            <v>43168</v>
          </cell>
          <cell r="S122">
            <v>43168</v>
          </cell>
          <cell r="AS122">
            <v>0</v>
          </cell>
          <cell r="AT122">
            <v>0</v>
          </cell>
          <cell r="AU122">
            <v>0</v>
          </cell>
          <cell r="AW122"/>
          <cell r="BW122">
            <v>0</v>
          </cell>
          <cell r="BX122">
            <v>0</v>
          </cell>
          <cell r="BY122">
            <v>0</v>
          </cell>
          <cell r="BZ122" t="str">
            <v>S010A190006</v>
          </cell>
          <cell r="CB122">
            <v>125892</v>
          </cell>
        </row>
        <row r="123">
          <cell r="F123" t="str">
            <v>05</v>
          </cell>
          <cell r="G123" t="str">
            <v>0</v>
          </cell>
          <cell r="H123" t="str">
            <v>0</v>
          </cell>
          <cell r="I123" t="str">
            <v>1</v>
          </cell>
          <cell r="J123" t="str">
            <v>0</v>
          </cell>
          <cell r="K123"/>
          <cell r="L123" t="str">
            <v>0010</v>
          </cell>
          <cell r="M123" t="str">
            <v>03</v>
          </cell>
          <cell r="N123" t="str">
            <v>10100871Diagnostic Review 19-20</v>
          </cell>
          <cell r="O123"/>
          <cell r="P123" t="str">
            <v>5010</v>
          </cell>
          <cell r="Q123" t="str">
            <v>70*C</v>
          </cell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/>
          <cell r="AG123"/>
          <cell r="AH123"/>
          <cell r="AI123"/>
          <cell r="AJ123"/>
          <cell r="AK123"/>
          <cell r="AL123"/>
          <cell r="AM123"/>
          <cell r="AN123"/>
          <cell r="AO123"/>
          <cell r="AP123"/>
          <cell r="AQ123"/>
          <cell r="AR123"/>
          <cell r="AS123">
            <v>0</v>
          </cell>
          <cell r="AT123">
            <v>0</v>
          </cell>
          <cell r="AU123">
            <v>0</v>
          </cell>
          <cell r="AV123"/>
          <cell r="AW123"/>
          <cell r="AX123"/>
          <cell r="AY123"/>
          <cell r="AZ123"/>
          <cell r="BA123"/>
          <cell r="BB123"/>
          <cell r="BC123"/>
          <cell r="BD123"/>
          <cell r="BE123"/>
          <cell r="BF123"/>
          <cell r="BG123"/>
          <cell r="BH123"/>
          <cell r="BI123"/>
          <cell r="BJ123"/>
          <cell r="BK123"/>
          <cell r="BL123"/>
          <cell r="BM123"/>
          <cell r="BN123"/>
          <cell r="BO123"/>
          <cell r="BP123"/>
          <cell r="BQ123"/>
          <cell r="BR123"/>
          <cell r="BS123"/>
          <cell r="BT123"/>
          <cell r="BU123"/>
          <cell r="BV123"/>
          <cell r="BW123">
            <v>0</v>
          </cell>
          <cell r="BX123">
            <v>0</v>
          </cell>
          <cell r="BY123">
            <v>0</v>
          </cell>
          <cell r="BZ123"/>
          <cell r="CA123"/>
          <cell r="CB123"/>
          <cell r="CC123"/>
          <cell r="CD123">
            <v>15313.30616</v>
          </cell>
          <cell r="CE123"/>
          <cell r="CF123"/>
          <cell r="CG123"/>
          <cell r="CH123"/>
          <cell r="CI123"/>
          <cell r="CJ123"/>
          <cell r="CK123"/>
          <cell r="CL123"/>
          <cell r="CM123"/>
          <cell r="CN123"/>
          <cell r="CO123"/>
          <cell r="CP123"/>
          <cell r="CQ123"/>
          <cell r="CR123"/>
          <cell r="CS123"/>
          <cell r="CT123"/>
          <cell r="CU123"/>
          <cell r="CV123"/>
          <cell r="CW123"/>
          <cell r="CX123"/>
          <cell r="CY123"/>
          <cell r="CZ123"/>
          <cell r="DA123"/>
        </row>
        <row r="124">
          <cell r="F124" t="str">
            <v>05</v>
          </cell>
          <cell r="G124" t="str">
            <v>0</v>
          </cell>
          <cell r="H124" t="str">
            <v>1</v>
          </cell>
          <cell r="I124" t="str">
            <v>0</v>
          </cell>
          <cell r="J124" t="str">
            <v>0</v>
          </cell>
          <cell r="K124"/>
          <cell r="L124" t="str">
            <v>0100</v>
          </cell>
          <cell r="M124" t="str">
            <v>02</v>
          </cell>
          <cell r="N124" t="str">
            <v>10101625Diagnostic Review 18-19</v>
          </cell>
          <cell r="P124" t="str">
            <v>5010</v>
          </cell>
          <cell r="Q124" t="str">
            <v>70*C</v>
          </cell>
          <cell r="R124"/>
          <cell r="S124"/>
          <cell r="AV124" t="str">
            <v>S010A180006</v>
          </cell>
          <cell r="AW124"/>
          <cell r="AX124">
            <v>64054</v>
          </cell>
          <cell r="BS124">
            <v>-228</v>
          </cell>
          <cell r="BW124">
            <v>-228</v>
          </cell>
          <cell r="BX124">
            <v>0</v>
          </cell>
          <cell r="BY124">
            <v>63826</v>
          </cell>
          <cell r="CH124">
            <v>-28390</v>
          </cell>
          <cell r="CQ124">
            <v>-27348.53</v>
          </cell>
          <cell r="CS124">
            <v>-959.94</v>
          </cell>
        </row>
        <row r="125">
          <cell r="F125" t="str">
            <v>05</v>
          </cell>
          <cell r="G125" t="str">
            <v>0</v>
          </cell>
          <cell r="H125" t="str">
            <v>1</v>
          </cell>
          <cell r="I125" t="str">
            <v>0</v>
          </cell>
          <cell r="J125" t="str">
            <v>0</v>
          </cell>
          <cell r="K125"/>
          <cell r="L125" t="str">
            <v>0100</v>
          </cell>
          <cell r="M125" t="str">
            <v>02</v>
          </cell>
          <cell r="N125" t="str">
            <v>10103218Diagnostic Review 18-19</v>
          </cell>
          <cell r="P125" t="str">
            <v>5010</v>
          </cell>
          <cell r="Q125" t="str">
            <v>70*C</v>
          </cell>
          <cell r="R125"/>
          <cell r="S125"/>
          <cell r="AV125" t="str">
            <v>S010A180006</v>
          </cell>
          <cell r="AW125"/>
          <cell r="AX125">
            <v>64054</v>
          </cell>
          <cell r="BS125">
            <v>-978</v>
          </cell>
          <cell r="BW125">
            <v>-978</v>
          </cell>
          <cell r="BX125">
            <v>0</v>
          </cell>
          <cell r="BY125">
            <v>63076</v>
          </cell>
          <cell r="CH125">
            <v>-27451</v>
          </cell>
          <cell r="CQ125">
            <v>-28283.789999999997</v>
          </cell>
          <cell r="CS125">
            <v>-1100.99</v>
          </cell>
        </row>
        <row r="126">
          <cell r="F126" t="str">
            <v>05</v>
          </cell>
          <cell r="G126" t="str">
            <v>0</v>
          </cell>
          <cell r="H126" t="str">
            <v>1</v>
          </cell>
          <cell r="I126" t="str">
            <v>0</v>
          </cell>
          <cell r="J126" t="str">
            <v>0</v>
          </cell>
          <cell r="K126"/>
          <cell r="L126" t="str">
            <v>0100</v>
          </cell>
          <cell r="M126" t="str">
            <v>02</v>
          </cell>
          <cell r="N126" t="str">
            <v>10105604Diagnostic Review 18-19</v>
          </cell>
          <cell r="P126" t="str">
            <v>5010</v>
          </cell>
          <cell r="Q126" t="str">
            <v>70*C</v>
          </cell>
          <cell r="R126"/>
          <cell r="S126"/>
          <cell r="AV126" t="str">
            <v>S010A180006</v>
          </cell>
          <cell r="AW126"/>
          <cell r="AX126">
            <v>64054</v>
          </cell>
          <cell r="BS126">
            <v>-398</v>
          </cell>
          <cell r="BW126">
            <v>-398</v>
          </cell>
          <cell r="BX126">
            <v>0</v>
          </cell>
          <cell r="BY126">
            <v>63656</v>
          </cell>
          <cell r="CH126">
            <v>-28243</v>
          </cell>
          <cell r="CQ126">
            <v>-14257.91</v>
          </cell>
          <cell r="CS126">
            <v>-500.45</v>
          </cell>
        </row>
        <row r="127">
          <cell r="F127" t="str">
            <v>05</v>
          </cell>
          <cell r="G127" t="str">
            <v>0</v>
          </cell>
          <cell r="H127" t="str">
            <v>0</v>
          </cell>
          <cell r="I127" t="str">
            <v>1</v>
          </cell>
          <cell r="J127" t="str">
            <v>0</v>
          </cell>
          <cell r="K127"/>
          <cell r="L127" t="str">
            <v>0010</v>
          </cell>
          <cell r="M127" t="str">
            <v>03</v>
          </cell>
          <cell r="N127" t="str">
            <v>10109445Diagnostic Review 19-20</v>
          </cell>
          <cell r="O127"/>
          <cell r="P127" t="str">
            <v>5010</v>
          </cell>
          <cell r="Q127" t="str">
            <v>70*C</v>
          </cell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/>
          <cell r="AG127"/>
          <cell r="AH127"/>
          <cell r="AI127"/>
          <cell r="AJ127"/>
          <cell r="AK127"/>
          <cell r="AL127"/>
          <cell r="AM127"/>
          <cell r="AN127"/>
          <cell r="AO127"/>
          <cell r="AP127"/>
          <cell r="AQ127"/>
          <cell r="AR127"/>
          <cell r="AS127"/>
          <cell r="AT127"/>
          <cell r="AU127"/>
          <cell r="AV127"/>
          <cell r="AW127"/>
          <cell r="AX127"/>
          <cell r="AY127"/>
          <cell r="AZ127"/>
          <cell r="BA127"/>
          <cell r="BB127"/>
          <cell r="BC127"/>
          <cell r="BD127"/>
          <cell r="BE127"/>
          <cell r="BF127"/>
          <cell r="BG127"/>
          <cell r="BH127"/>
          <cell r="BI127"/>
          <cell r="BJ127"/>
          <cell r="BK127"/>
          <cell r="BL127"/>
          <cell r="BM127"/>
          <cell r="BN127"/>
          <cell r="BO127"/>
          <cell r="BP127"/>
          <cell r="BQ127"/>
          <cell r="BR127"/>
          <cell r="BS127"/>
          <cell r="BT127"/>
          <cell r="BU127"/>
          <cell r="BV127"/>
          <cell r="BW127">
            <v>0</v>
          </cell>
          <cell r="BX127">
            <v>0</v>
          </cell>
          <cell r="BY127">
            <v>0</v>
          </cell>
          <cell r="BZ127"/>
          <cell r="CA127"/>
          <cell r="CB127"/>
          <cell r="CC127"/>
          <cell r="CD127">
            <v>3812.881488</v>
          </cell>
          <cell r="CE127"/>
          <cell r="CF127"/>
          <cell r="CG127"/>
          <cell r="CH127"/>
          <cell r="CI127"/>
          <cell r="CJ127"/>
          <cell r="CK127"/>
          <cell r="CL127"/>
          <cell r="CM127"/>
          <cell r="CN127"/>
          <cell r="CO127"/>
          <cell r="CP127"/>
          <cell r="CQ127"/>
          <cell r="CR127"/>
          <cell r="CS127"/>
          <cell r="CT127"/>
          <cell r="CU127"/>
          <cell r="CV127"/>
          <cell r="CW127"/>
          <cell r="CX127"/>
          <cell r="CY127"/>
          <cell r="CZ127"/>
          <cell r="DA127"/>
        </row>
        <row r="128">
          <cell r="F128" t="str">
            <v>05</v>
          </cell>
          <cell r="G128" t="str">
            <v>0</v>
          </cell>
          <cell r="H128" t="str">
            <v>1</v>
          </cell>
          <cell r="I128" t="str">
            <v>0</v>
          </cell>
          <cell r="J128" t="str">
            <v>0</v>
          </cell>
          <cell r="K128"/>
          <cell r="L128" t="str">
            <v>0100</v>
          </cell>
          <cell r="M128" t="str">
            <v>02</v>
          </cell>
          <cell r="N128" t="str">
            <v>1010N/ADiagnostic Review 18-19</v>
          </cell>
          <cell r="P128" t="str">
            <v>5010</v>
          </cell>
          <cell r="Q128" t="str">
            <v>70*C</v>
          </cell>
          <cell r="R128"/>
          <cell r="S128"/>
          <cell r="AV128" t="str">
            <v>S010A180006</v>
          </cell>
          <cell r="AW128"/>
          <cell r="AX128">
            <v>2838</v>
          </cell>
          <cell r="BW128">
            <v>0</v>
          </cell>
          <cell r="BX128">
            <v>0</v>
          </cell>
          <cell r="BY128">
            <v>2838</v>
          </cell>
          <cell r="CQ128">
            <v>-1116.1600000000001</v>
          </cell>
          <cell r="CS128">
            <v>-39.18</v>
          </cell>
        </row>
        <row r="129">
          <cell r="F129"/>
          <cell r="G129"/>
          <cell r="H129"/>
          <cell r="I129"/>
          <cell r="J129"/>
          <cell r="K129"/>
          <cell r="L129"/>
          <cell r="M129"/>
          <cell r="N129" t="str">
            <v>11106810Diagnostic Review 20-21</v>
          </cell>
          <cell r="P129" t="str">
            <v>5010</v>
          </cell>
          <cell r="Q129"/>
          <cell r="R129"/>
          <cell r="S129"/>
          <cell r="T129"/>
          <cell r="U129"/>
          <cell r="V129"/>
          <cell r="W129"/>
          <cell r="X129"/>
          <cell r="Y129"/>
          <cell r="Z129"/>
          <cell r="AA129"/>
          <cell r="AB129"/>
          <cell r="AC129"/>
          <cell r="AD129"/>
          <cell r="AE129"/>
          <cell r="AF129"/>
          <cell r="AG129"/>
          <cell r="AH129"/>
          <cell r="AI129"/>
          <cell r="AJ129"/>
          <cell r="AK129"/>
          <cell r="AL129"/>
          <cell r="AM129"/>
          <cell r="AN129"/>
          <cell r="AO129"/>
          <cell r="AP129"/>
          <cell r="AQ129"/>
          <cell r="AR129"/>
          <cell r="AS129"/>
          <cell r="AT129"/>
          <cell r="AU129"/>
          <cell r="AV129"/>
          <cell r="AW129"/>
          <cell r="AX129"/>
          <cell r="AY129"/>
          <cell r="AZ129"/>
          <cell r="BA129"/>
          <cell r="BB129"/>
          <cell r="BC129"/>
          <cell r="BD129"/>
          <cell r="BE129"/>
          <cell r="BF129"/>
          <cell r="BG129"/>
          <cell r="BH129"/>
          <cell r="BI129"/>
          <cell r="BJ129"/>
          <cell r="BK129"/>
          <cell r="BL129"/>
          <cell r="BM129"/>
          <cell r="BN129"/>
          <cell r="BO129"/>
          <cell r="BP129"/>
          <cell r="BQ129"/>
          <cell r="BR129"/>
          <cell r="BS129"/>
          <cell r="BT129"/>
          <cell r="BU129"/>
          <cell r="BV129"/>
          <cell r="BW129"/>
          <cell r="BX129"/>
          <cell r="BY129"/>
          <cell r="BZ129"/>
          <cell r="CA129"/>
          <cell r="CB129"/>
          <cell r="CC129"/>
          <cell r="CD129"/>
          <cell r="CE129"/>
          <cell r="CF129"/>
          <cell r="CG129"/>
          <cell r="CH129"/>
          <cell r="CI129"/>
          <cell r="CJ129"/>
          <cell r="CK129"/>
          <cell r="CL129"/>
          <cell r="CM129"/>
          <cell r="CN129"/>
          <cell r="CO129"/>
          <cell r="CP129"/>
          <cell r="CQ129"/>
          <cell r="CR129"/>
          <cell r="CS129"/>
          <cell r="CT129"/>
          <cell r="CU129"/>
          <cell r="CV129"/>
          <cell r="CW129"/>
          <cell r="CX129"/>
          <cell r="CY129"/>
          <cell r="CZ129"/>
          <cell r="DA129"/>
        </row>
        <row r="130">
          <cell r="F130" t="str">
            <v>05</v>
          </cell>
          <cell r="G130" t="str">
            <v>0</v>
          </cell>
          <cell r="H130" t="str">
            <v>0</v>
          </cell>
          <cell r="I130" t="str">
            <v>1</v>
          </cell>
          <cell r="J130" t="str">
            <v>0</v>
          </cell>
          <cell r="K130"/>
          <cell r="L130" t="str">
            <v>0010</v>
          </cell>
          <cell r="M130" t="str">
            <v>03</v>
          </cell>
          <cell r="N130" t="str">
            <v>11405704Diagnostic Review 19-20</v>
          </cell>
          <cell r="O130"/>
          <cell r="P130" t="str">
            <v>5010</v>
          </cell>
          <cell r="Q130" t="str">
            <v>70*C</v>
          </cell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/>
          <cell r="AG130"/>
          <cell r="AH130"/>
          <cell r="AI130"/>
          <cell r="AJ130"/>
          <cell r="AK130"/>
          <cell r="AL130"/>
          <cell r="AM130"/>
          <cell r="AN130"/>
          <cell r="AO130"/>
          <cell r="AP130"/>
          <cell r="AQ130"/>
          <cell r="AR130"/>
          <cell r="AS130"/>
          <cell r="AT130"/>
          <cell r="AU130"/>
          <cell r="AV130"/>
          <cell r="AW130"/>
          <cell r="AX130"/>
          <cell r="AY130"/>
          <cell r="AZ130"/>
          <cell r="BA130"/>
          <cell r="BB130"/>
          <cell r="BC130"/>
          <cell r="BD130"/>
          <cell r="BE130"/>
          <cell r="BF130"/>
          <cell r="BG130"/>
          <cell r="BH130"/>
          <cell r="BI130"/>
          <cell r="BJ130"/>
          <cell r="BK130"/>
          <cell r="BL130"/>
          <cell r="BM130"/>
          <cell r="BN130"/>
          <cell r="BO130"/>
          <cell r="BP130"/>
          <cell r="BQ130"/>
          <cell r="BR130"/>
          <cell r="BS130"/>
          <cell r="BT130"/>
          <cell r="BU130"/>
          <cell r="BV130"/>
          <cell r="BW130">
            <v>0</v>
          </cell>
          <cell r="BX130">
            <v>0</v>
          </cell>
          <cell r="BY130">
            <v>0</v>
          </cell>
          <cell r="BZ130"/>
          <cell r="CA130"/>
          <cell r="CB130"/>
          <cell r="CC130"/>
          <cell r="CD130">
            <v>63462</v>
          </cell>
          <cell r="CE130"/>
          <cell r="CF130"/>
          <cell r="CG130"/>
          <cell r="CH130"/>
          <cell r="CI130"/>
          <cell r="CJ130"/>
          <cell r="CK130"/>
          <cell r="CL130"/>
          <cell r="CM130"/>
          <cell r="CN130"/>
          <cell r="CO130"/>
          <cell r="CP130"/>
          <cell r="CQ130"/>
          <cell r="CR130"/>
          <cell r="CS130"/>
          <cell r="CT130"/>
          <cell r="CU130"/>
          <cell r="CV130"/>
          <cell r="CW130"/>
          <cell r="CX130"/>
          <cell r="CY130"/>
          <cell r="CZ130"/>
          <cell r="DA130"/>
        </row>
        <row r="131">
          <cell r="F131" t="str">
            <v>05</v>
          </cell>
          <cell r="G131" t="str">
            <v>0</v>
          </cell>
          <cell r="H131" t="str">
            <v>1</v>
          </cell>
          <cell r="I131" t="str">
            <v>0</v>
          </cell>
          <cell r="J131" t="str">
            <v>0</v>
          </cell>
          <cell r="K131"/>
          <cell r="L131" t="str">
            <v>0100</v>
          </cell>
          <cell r="M131" t="str">
            <v>02</v>
          </cell>
          <cell r="N131" t="str">
            <v>11503002Diagnostic Review 18-19</v>
          </cell>
          <cell r="P131" t="str">
            <v>5010</v>
          </cell>
          <cell r="Q131" t="str">
            <v>70*C</v>
          </cell>
          <cell r="R131"/>
          <cell r="S131"/>
          <cell r="AV131" t="str">
            <v>S010A180006</v>
          </cell>
          <cell r="AW131"/>
          <cell r="AX131">
            <v>28844</v>
          </cell>
          <cell r="BU131">
            <v>-15500</v>
          </cell>
          <cell r="BW131">
            <v>-15500</v>
          </cell>
          <cell r="BX131">
            <v>0</v>
          </cell>
          <cell r="BY131">
            <v>13344</v>
          </cell>
          <cell r="CU131">
            <v>-2915.64</v>
          </cell>
        </row>
        <row r="132">
          <cell r="F132" t="str">
            <v>05</v>
          </cell>
          <cell r="G132" t="str">
            <v>0</v>
          </cell>
          <cell r="H132" t="str">
            <v>0</v>
          </cell>
          <cell r="I132" t="str">
            <v>0</v>
          </cell>
          <cell r="J132" t="str">
            <v>0</v>
          </cell>
          <cell r="K132"/>
          <cell r="L132" t="str">
            <v>0000</v>
          </cell>
          <cell r="M132" t="str">
            <v>X</v>
          </cell>
          <cell r="N132" t="str">
            <v>11506858Diagnostic Review 19-20</v>
          </cell>
          <cell r="P132" t="str">
            <v>5010</v>
          </cell>
          <cell r="Q132" t="str">
            <v>70*C</v>
          </cell>
          <cell r="R132">
            <v>43168</v>
          </cell>
          <cell r="S132">
            <v>43168</v>
          </cell>
          <cell r="AS132">
            <v>0</v>
          </cell>
          <cell r="AT132">
            <v>0</v>
          </cell>
          <cell r="AU132">
            <v>0</v>
          </cell>
          <cell r="AW132"/>
          <cell r="BW132">
            <v>0</v>
          </cell>
          <cell r="BX132">
            <v>0</v>
          </cell>
          <cell r="BY132">
            <v>0</v>
          </cell>
        </row>
        <row r="133">
          <cell r="F133"/>
          <cell r="G133"/>
          <cell r="H133"/>
          <cell r="I133"/>
          <cell r="J133"/>
          <cell r="K133"/>
          <cell r="L133"/>
          <cell r="M133"/>
          <cell r="N133" t="str">
            <v>10606900Diagnostic Review 20-21</v>
          </cell>
          <cell r="P133" t="str">
            <v>5010</v>
          </cell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/>
          <cell r="AG133"/>
          <cell r="AH133"/>
          <cell r="AI133"/>
          <cell r="AJ133"/>
          <cell r="AK133"/>
          <cell r="AL133"/>
          <cell r="AM133"/>
          <cell r="AN133"/>
          <cell r="AO133"/>
          <cell r="AP133"/>
          <cell r="AQ133"/>
          <cell r="AR133"/>
          <cell r="AS133"/>
          <cell r="AT133"/>
          <cell r="AU133"/>
          <cell r="AV133"/>
          <cell r="AW133"/>
          <cell r="AX133"/>
          <cell r="AY133"/>
          <cell r="AZ133"/>
          <cell r="BA133"/>
          <cell r="BB133"/>
          <cell r="BC133"/>
          <cell r="BD133"/>
          <cell r="BE133"/>
          <cell r="BF133"/>
          <cell r="BG133"/>
          <cell r="BH133"/>
          <cell r="BI133"/>
          <cell r="BJ133"/>
          <cell r="BK133"/>
          <cell r="BL133"/>
          <cell r="BM133"/>
          <cell r="BN133"/>
          <cell r="BO133"/>
          <cell r="BP133"/>
          <cell r="BQ133"/>
          <cell r="BR133"/>
          <cell r="BS133"/>
          <cell r="BT133"/>
          <cell r="BU133"/>
          <cell r="BV133"/>
          <cell r="BW133"/>
          <cell r="BX133"/>
          <cell r="BY133"/>
          <cell r="BZ133"/>
          <cell r="CA133"/>
          <cell r="CB133"/>
          <cell r="CC133"/>
          <cell r="CD133"/>
          <cell r="CE133"/>
          <cell r="CF133"/>
          <cell r="CG133"/>
          <cell r="CH133"/>
          <cell r="CI133"/>
          <cell r="CJ133"/>
          <cell r="CK133"/>
          <cell r="CL133"/>
          <cell r="CM133"/>
          <cell r="CN133"/>
          <cell r="CO133"/>
          <cell r="CP133"/>
          <cell r="CQ133"/>
          <cell r="CR133"/>
          <cell r="CS133"/>
          <cell r="CT133"/>
          <cell r="CU133"/>
          <cell r="CV133"/>
          <cell r="CW133"/>
          <cell r="CX133"/>
          <cell r="CY133"/>
          <cell r="CZ133"/>
          <cell r="DA133"/>
        </row>
        <row r="134">
          <cell r="F134" t="str">
            <v>05</v>
          </cell>
          <cell r="G134" t="str">
            <v>0</v>
          </cell>
          <cell r="H134" t="str">
            <v>0</v>
          </cell>
          <cell r="I134" t="str">
            <v>0</v>
          </cell>
          <cell r="J134" t="str">
            <v>0</v>
          </cell>
          <cell r="K134"/>
          <cell r="L134" t="str">
            <v>0000</v>
          </cell>
          <cell r="M134" t="str">
            <v>X</v>
          </cell>
          <cell r="N134" t="str">
            <v>11952573Diagnostic Review 19-20</v>
          </cell>
          <cell r="P134" t="str">
            <v>5010</v>
          </cell>
          <cell r="Q134" t="str">
            <v>70*C</v>
          </cell>
          <cell r="R134">
            <v>43168</v>
          </cell>
          <cell r="S134">
            <v>43168</v>
          </cell>
          <cell r="AS134">
            <v>0</v>
          </cell>
          <cell r="AT134">
            <v>0</v>
          </cell>
          <cell r="AU134">
            <v>0</v>
          </cell>
          <cell r="AW134"/>
          <cell r="BW134">
            <v>0</v>
          </cell>
          <cell r="BX134">
            <v>0</v>
          </cell>
          <cell r="BY134">
            <v>0</v>
          </cell>
        </row>
        <row r="135">
          <cell r="F135" t="str">
            <v>05</v>
          </cell>
          <cell r="G135" t="str">
            <v>0</v>
          </cell>
          <cell r="H135" t="str">
            <v>1</v>
          </cell>
          <cell r="I135" t="str">
            <v>0</v>
          </cell>
          <cell r="J135" t="str">
            <v>0</v>
          </cell>
          <cell r="K135"/>
          <cell r="L135" t="str">
            <v>0100</v>
          </cell>
          <cell r="M135" t="str">
            <v>02</v>
          </cell>
          <cell r="N135" t="str">
            <v>13603690Diagnostic Review 18-19</v>
          </cell>
          <cell r="P135" t="str">
            <v>5010</v>
          </cell>
          <cell r="Q135" t="str">
            <v>70*C</v>
          </cell>
          <cell r="R135"/>
          <cell r="S135"/>
          <cell r="AV135" t="str">
            <v>S010A180006</v>
          </cell>
          <cell r="AW135"/>
          <cell r="AX135">
            <v>27393</v>
          </cell>
          <cell r="BU135">
            <v>-272</v>
          </cell>
          <cell r="BW135">
            <v>-272</v>
          </cell>
          <cell r="BX135">
            <v>0</v>
          </cell>
          <cell r="BY135">
            <v>27121</v>
          </cell>
          <cell r="CO135">
            <v>-25700</v>
          </cell>
        </row>
        <row r="136">
          <cell r="F136" t="str">
            <v>05</v>
          </cell>
          <cell r="G136" t="str">
            <v>0</v>
          </cell>
          <cell r="H136" t="str">
            <v>0</v>
          </cell>
          <cell r="I136" t="str">
            <v>1</v>
          </cell>
          <cell r="J136" t="str">
            <v>0</v>
          </cell>
          <cell r="K136"/>
          <cell r="L136" t="str">
            <v>0010</v>
          </cell>
          <cell r="M136" t="str">
            <v>03</v>
          </cell>
          <cell r="N136" t="str">
            <v>14200965Diagnostic Review 19-20</v>
          </cell>
          <cell r="O136"/>
          <cell r="P136" t="str">
            <v>5010</v>
          </cell>
          <cell r="Q136" t="str">
            <v>70*C</v>
          </cell>
          <cell r="R136"/>
          <cell r="S136"/>
          <cell r="T136"/>
          <cell r="U136"/>
          <cell r="V136"/>
          <cell r="W136"/>
          <cell r="X136"/>
          <cell r="Y136"/>
          <cell r="Z136"/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  <cell r="AN136"/>
          <cell r="AO136"/>
          <cell r="AP136"/>
          <cell r="AQ136"/>
          <cell r="AR136"/>
          <cell r="AS136"/>
          <cell r="AT136"/>
          <cell r="AU136"/>
          <cell r="AV136"/>
          <cell r="AW136"/>
          <cell r="AX136"/>
          <cell r="AY136"/>
          <cell r="AZ136"/>
          <cell r="BA136"/>
          <cell r="BB136"/>
          <cell r="BC136"/>
          <cell r="BD136"/>
          <cell r="BE136"/>
          <cell r="BF136"/>
          <cell r="BG136"/>
          <cell r="BH136"/>
          <cell r="BI136"/>
          <cell r="BJ136"/>
          <cell r="BK136"/>
          <cell r="BL136"/>
          <cell r="BM136"/>
          <cell r="BN136"/>
          <cell r="BO136"/>
          <cell r="BP136"/>
          <cell r="BQ136"/>
          <cell r="BR136"/>
          <cell r="BS136"/>
          <cell r="BT136"/>
          <cell r="BU136"/>
          <cell r="BV136"/>
          <cell r="BW136">
            <v>0</v>
          </cell>
          <cell r="BX136">
            <v>0</v>
          </cell>
          <cell r="BY136">
            <v>0</v>
          </cell>
          <cell r="BZ136"/>
          <cell r="CA136"/>
          <cell r="CB136"/>
          <cell r="CC136"/>
          <cell r="CD136">
            <v>10559</v>
          </cell>
          <cell r="CE136"/>
          <cell r="CF136"/>
          <cell r="CG136"/>
          <cell r="CH136"/>
          <cell r="CI136"/>
          <cell r="CJ136"/>
          <cell r="CK136"/>
          <cell r="CL136"/>
          <cell r="CM136"/>
          <cell r="CN136"/>
          <cell r="CO136"/>
          <cell r="CP136"/>
          <cell r="CQ136"/>
          <cell r="CR136"/>
          <cell r="CS136"/>
          <cell r="CT136"/>
          <cell r="CU136"/>
          <cell r="CV136"/>
          <cell r="CW136"/>
          <cell r="CX136"/>
          <cell r="CY136"/>
          <cell r="CZ136"/>
          <cell r="DA136"/>
        </row>
        <row r="137">
          <cell r="F137"/>
          <cell r="G137"/>
          <cell r="H137"/>
          <cell r="I137"/>
          <cell r="J137"/>
          <cell r="K137"/>
          <cell r="L137"/>
          <cell r="M137"/>
          <cell r="N137" t="str">
            <v>14203691Diagnostic Review 20-21</v>
          </cell>
          <cell r="P137" t="str">
            <v>5010</v>
          </cell>
          <cell r="Q137"/>
          <cell r="R137"/>
          <cell r="S137"/>
          <cell r="T137"/>
          <cell r="U137"/>
          <cell r="V137"/>
          <cell r="W137"/>
          <cell r="X137"/>
          <cell r="Y137"/>
          <cell r="Z137"/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  <cell r="AN137"/>
          <cell r="AO137"/>
          <cell r="AP137"/>
          <cell r="AQ137"/>
          <cell r="AR137"/>
          <cell r="AS137"/>
          <cell r="AT137"/>
          <cell r="AU137"/>
          <cell r="AV137"/>
          <cell r="AW137"/>
          <cell r="AX137"/>
          <cell r="AY137"/>
          <cell r="AZ137"/>
          <cell r="BA137"/>
          <cell r="BB137"/>
          <cell r="BC137"/>
          <cell r="BD137"/>
          <cell r="BE137"/>
          <cell r="BF137"/>
          <cell r="BG137"/>
          <cell r="BH137"/>
          <cell r="BI137"/>
          <cell r="BJ137"/>
          <cell r="BK137"/>
          <cell r="BL137"/>
          <cell r="BM137"/>
          <cell r="BN137"/>
          <cell r="BO137"/>
          <cell r="BP137"/>
          <cell r="BQ137"/>
          <cell r="BR137"/>
          <cell r="BS137"/>
          <cell r="BT137"/>
          <cell r="BU137"/>
          <cell r="BV137"/>
          <cell r="BW137"/>
          <cell r="BX137"/>
          <cell r="BY137"/>
          <cell r="BZ137"/>
          <cell r="CA137"/>
          <cell r="CB137"/>
          <cell r="CC137"/>
          <cell r="CD137"/>
          <cell r="CE137"/>
          <cell r="CF137"/>
          <cell r="CG137"/>
          <cell r="CH137"/>
          <cell r="CI137"/>
          <cell r="CJ137"/>
          <cell r="CK137"/>
          <cell r="CL137"/>
          <cell r="CM137"/>
          <cell r="CN137"/>
          <cell r="CO137"/>
          <cell r="CP137"/>
          <cell r="CQ137"/>
          <cell r="CR137"/>
          <cell r="CS137"/>
          <cell r="CT137"/>
          <cell r="CU137"/>
          <cell r="CV137"/>
          <cell r="CW137"/>
          <cell r="CX137"/>
          <cell r="CY137"/>
          <cell r="CZ137"/>
          <cell r="DA137"/>
        </row>
        <row r="138">
          <cell r="F138" t="str">
            <v>05</v>
          </cell>
          <cell r="G138" t="str">
            <v>1</v>
          </cell>
          <cell r="H138" t="str">
            <v>0</v>
          </cell>
          <cell r="I138" t="str">
            <v>0</v>
          </cell>
          <cell r="J138" t="str">
            <v>0</v>
          </cell>
          <cell r="K138"/>
          <cell r="L138" t="str">
            <v>1000</v>
          </cell>
          <cell r="M138" t="str">
            <v>01</v>
          </cell>
          <cell r="N138" t="str">
            <v>15203571Diagnostic Review 17-18</v>
          </cell>
          <cell r="O138" t="str">
            <v>S010A170006</v>
          </cell>
          <cell r="P138" t="str">
            <v>5010</v>
          </cell>
          <cell r="Q138" t="str">
            <v>70*C</v>
          </cell>
          <cell r="R138">
            <v>43168</v>
          </cell>
          <cell r="S138">
            <v>43168</v>
          </cell>
          <cell r="T138">
            <v>29926</v>
          </cell>
          <cell r="AQ138">
            <v>-16039</v>
          </cell>
          <cell r="AS138">
            <v>-16039</v>
          </cell>
          <cell r="AT138">
            <v>0</v>
          </cell>
          <cell r="AU138">
            <v>13887</v>
          </cell>
          <cell r="AW138"/>
          <cell r="BO138">
            <v>-13750</v>
          </cell>
          <cell r="BW138">
            <v>-13750</v>
          </cell>
          <cell r="BX138">
            <v>0</v>
          </cell>
          <cell r="BY138">
            <v>137</v>
          </cell>
        </row>
        <row r="139">
          <cell r="F139" t="str">
            <v>05</v>
          </cell>
          <cell r="G139" t="str">
            <v>0</v>
          </cell>
          <cell r="H139" t="str">
            <v>0</v>
          </cell>
          <cell r="I139" t="str">
            <v>1</v>
          </cell>
          <cell r="J139" t="str">
            <v>0</v>
          </cell>
          <cell r="K139"/>
          <cell r="L139" t="str">
            <v>0010</v>
          </cell>
          <cell r="M139" t="str">
            <v>03</v>
          </cell>
          <cell r="N139" t="str">
            <v>15609260Diagnostic Review 19-20</v>
          </cell>
          <cell r="O139"/>
          <cell r="P139" t="str">
            <v>5010</v>
          </cell>
          <cell r="Q139" t="str">
            <v>70*C</v>
          </cell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  <cell r="AN139"/>
          <cell r="AO139"/>
          <cell r="AP139"/>
          <cell r="AQ139"/>
          <cell r="AR139"/>
          <cell r="AS139"/>
          <cell r="AT139"/>
          <cell r="AU139"/>
          <cell r="AV139"/>
          <cell r="AW139"/>
          <cell r="AX139"/>
          <cell r="AY139"/>
          <cell r="AZ139"/>
          <cell r="BA139"/>
          <cell r="BB139"/>
          <cell r="BC139"/>
          <cell r="BD139"/>
          <cell r="BE139"/>
          <cell r="BF139"/>
          <cell r="BG139"/>
          <cell r="BH139"/>
          <cell r="BI139"/>
          <cell r="BJ139"/>
          <cell r="BK139"/>
          <cell r="BL139"/>
          <cell r="BM139"/>
          <cell r="BN139"/>
          <cell r="BO139"/>
          <cell r="BP139"/>
          <cell r="BQ139"/>
          <cell r="BR139"/>
          <cell r="BS139"/>
          <cell r="BT139"/>
          <cell r="BU139"/>
          <cell r="BV139"/>
          <cell r="BW139">
            <v>0</v>
          </cell>
          <cell r="BX139">
            <v>0</v>
          </cell>
          <cell r="BY139">
            <v>0</v>
          </cell>
          <cell r="BZ139"/>
          <cell r="CA139"/>
          <cell r="CB139"/>
          <cell r="CC139"/>
          <cell r="CD139">
            <v>19454.781599999998</v>
          </cell>
          <cell r="CE139"/>
          <cell r="CF139"/>
          <cell r="CG139"/>
          <cell r="CH139"/>
          <cell r="CI139"/>
          <cell r="CJ139"/>
          <cell r="CK139"/>
          <cell r="CL139"/>
          <cell r="CM139"/>
          <cell r="CN139"/>
          <cell r="CO139"/>
          <cell r="CP139"/>
          <cell r="CQ139"/>
          <cell r="CR139"/>
          <cell r="CS139"/>
          <cell r="CT139"/>
          <cell r="CU139"/>
          <cell r="CV139"/>
          <cell r="CW139"/>
          <cell r="CX139"/>
          <cell r="CY139"/>
          <cell r="CZ139"/>
          <cell r="DA139"/>
        </row>
        <row r="140">
          <cell r="F140" t="str">
            <v>05</v>
          </cell>
          <cell r="G140" t="str">
            <v>0</v>
          </cell>
          <cell r="H140" t="str">
            <v>1</v>
          </cell>
          <cell r="I140" t="str">
            <v>0</v>
          </cell>
          <cell r="J140" t="str">
            <v>0</v>
          </cell>
          <cell r="K140"/>
          <cell r="L140" t="str">
            <v>0100</v>
          </cell>
          <cell r="M140" t="str">
            <v>02</v>
          </cell>
          <cell r="N140" t="str">
            <v>15702792Diagnostic Review 18-19</v>
          </cell>
          <cell r="P140" t="str">
            <v>5010</v>
          </cell>
          <cell r="Q140" t="str">
            <v>70*C</v>
          </cell>
          <cell r="R140"/>
          <cell r="S140"/>
          <cell r="AV140" t="str">
            <v>S010A180006</v>
          </cell>
          <cell r="AW140"/>
          <cell r="AX140">
            <v>10000</v>
          </cell>
          <cell r="BW140">
            <v>0</v>
          </cell>
          <cell r="BX140">
            <v>0</v>
          </cell>
          <cell r="BY140">
            <v>10000</v>
          </cell>
        </row>
        <row r="141">
          <cell r="F141" t="str">
            <v>05</v>
          </cell>
          <cell r="G141" t="str">
            <v>0</v>
          </cell>
          <cell r="H141" t="str">
            <v>1</v>
          </cell>
          <cell r="I141" t="str">
            <v>0</v>
          </cell>
          <cell r="J141" t="str">
            <v>0</v>
          </cell>
          <cell r="K141"/>
          <cell r="L141" t="str">
            <v>0100</v>
          </cell>
          <cell r="M141" t="str">
            <v>02</v>
          </cell>
          <cell r="N141" t="str">
            <v>15702794Diagnostic Review 18-19</v>
          </cell>
          <cell r="P141" t="str">
            <v>5010</v>
          </cell>
          <cell r="Q141" t="str">
            <v>70*C</v>
          </cell>
          <cell r="R141"/>
          <cell r="S141"/>
          <cell r="AV141" t="str">
            <v>S010A180006</v>
          </cell>
          <cell r="AW141"/>
          <cell r="AX141">
            <v>10000</v>
          </cell>
          <cell r="BW141">
            <v>0</v>
          </cell>
          <cell r="BX141">
            <v>0</v>
          </cell>
          <cell r="BY141">
            <v>10000</v>
          </cell>
        </row>
        <row r="142">
          <cell r="F142" t="str">
            <v>05</v>
          </cell>
          <cell r="G142" t="str">
            <v>0</v>
          </cell>
          <cell r="H142" t="str">
            <v>0</v>
          </cell>
          <cell r="I142" t="str">
            <v>1</v>
          </cell>
          <cell r="J142" t="str">
            <v>0</v>
          </cell>
          <cell r="K142"/>
          <cell r="L142" t="str">
            <v>0010</v>
          </cell>
          <cell r="M142" t="str">
            <v>03</v>
          </cell>
          <cell r="N142" t="str">
            <v>20007236Diagnostic Review 19-20</v>
          </cell>
          <cell r="O142"/>
          <cell r="P142" t="str">
            <v>5010</v>
          </cell>
          <cell r="Q142" t="str">
            <v>70*C</v>
          </cell>
          <cell r="R142"/>
          <cell r="S142"/>
          <cell r="T142"/>
          <cell r="U142"/>
          <cell r="V142"/>
          <cell r="W142"/>
          <cell r="X142"/>
          <cell r="Y142"/>
          <cell r="Z142"/>
          <cell r="AA142"/>
          <cell r="AB142"/>
          <cell r="AC142"/>
          <cell r="AD142"/>
          <cell r="AE142"/>
          <cell r="AF142"/>
          <cell r="AG142"/>
          <cell r="AH142"/>
          <cell r="AI142"/>
          <cell r="AJ142"/>
          <cell r="AK142"/>
          <cell r="AL142"/>
          <cell r="AM142"/>
          <cell r="AN142"/>
          <cell r="AO142"/>
          <cell r="AP142"/>
          <cell r="AQ142"/>
          <cell r="AR142"/>
          <cell r="AS142"/>
          <cell r="AT142"/>
          <cell r="AU142"/>
          <cell r="AV142"/>
          <cell r="AW142"/>
          <cell r="AX142"/>
          <cell r="AY142"/>
          <cell r="AZ142"/>
          <cell r="BA142"/>
          <cell r="BB142"/>
          <cell r="BC142"/>
          <cell r="BD142"/>
          <cell r="BE142"/>
          <cell r="BF142"/>
          <cell r="BG142"/>
          <cell r="BH142"/>
          <cell r="BI142"/>
          <cell r="BJ142"/>
          <cell r="BK142"/>
          <cell r="BL142"/>
          <cell r="BM142"/>
          <cell r="BN142"/>
          <cell r="BO142"/>
          <cell r="BP142"/>
          <cell r="BQ142"/>
          <cell r="BR142"/>
          <cell r="BS142"/>
          <cell r="BT142"/>
          <cell r="BU142"/>
          <cell r="BV142"/>
          <cell r="BW142">
            <v>0</v>
          </cell>
          <cell r="BX142">
            <v>0</v>
          </cell>
          <cell r="BY142">
            <v>0</v>
          </cell>
          <cell r="BZ142"/>
          <cell r="CA142"/>
          <cell r="CB142"/>
          <cell r="CC142"/>
          <cell r="CD142">
            <v>10492</v>
          </cell>
          <cell r="CE142"/>
          <cell r="CF142"/>
          <cell r="CG142"/>
          <cell r="CH142"/>
          <cell r="CI142"/>
          <cell r="CJ142"/>
          <cell r="CK142"/>
          <cell r="CL142"/>
          <cell r="CM142"/>
          <cell r="CN142"/>
          <cell r="CO142"/>
          <cell r="CP142"/>
          <cell r="CQ142"/>
          <cell r="CR142"/>
          <cell r="CS142"/>
          <cell r="CT142"/>
          <cell r="CU142"/>
          <cell r="CV142"/>
          <cell r="CW142"/>
          <cell r="CX142"/>
          <cell r="CY142"/>
          <cell r="CZ142"/>
          <cell r="DA142"/>
        </row>
        <row r="143">
          <cell r="F143" t="str">
            <v>05</v>
          </cell>
          <cell r="G143" t="str">
            <v>0</v>
          </cell>
          <cell r="H143" t="str">
            <v>1</v>
          </cell>
          <cell r="I143" t="str">
            <v>0</v>
          </cell>
          <cell r="J143" t="str">
            <v>0</v>
          </cell>
          <cell r="K143"/>
          <cell r="L143" t="str">
            <v>0100</v>
          </cell>
          <cell r="M143" t="str">
            <v>02</v>
          </cell>
          <cell r="N143" t="str">
            <v>2000N/ADiagnostic Review 18-19</v>
          </cell>
          <cell r="P143" t="str">
            <v>5010</v>
          </cell>
          <cell r="Q143" t="str">
            <v>70*C</v>
          </cell>
          <cell r="R143"/>
          <cell r="S143"/>
          <cell r="AV143" t="str">
            <v>S010A180006</v>
          </cell>
          <cell r="AW143"/>
          <cell r="AX143">
            <v>14858</v>
          </cell>
          <cell r="BW143">
            <v>0</v>
          </cell>
          <cell r="BX143">
            <v>0</v>
          </cell>
          <cell r="BY143">
            <v>14858</v>
          </cell>
        </row>
        <row r="144">
          <cell r="F144" t="str">
            <v>05</v>
          </cell>
          <cell r="G144" t="str">
            <v>1</v>
          </cell>
          <cell r="H144" t="str">
            <v>0</v>
          </cell>
          <cell r="I144" t="str">
            <v>0</v>
          </cell>
          <cell r="J144" t="str">
            <v>0</v>
          </cell>
          <cell r="K144"/>
          <cell r="L144" t="str">
            <v>1000</v>
          </cell>
          <cell r="M144" t="str">
            <v>01</v>
          </cell>
          <cell r="N144" t="str">
            <v>20350609Diagnostic Review 17-18</v>
          </cell>
          <cell r="O144" t="str">
            <v>S010A170006</v>
          </cell>
          <cell r="P144" t="str">
            <v>5010</v>
          </cell>
          <cell r="Q144" t="str">
            <v>70*C</v>
          </cell>
          <cell r="R144">
            <v>43173</v>
          </cell>
          <cell r="S144">
            <v>43173</v>
          </cell>
          <cell r="T144">
            <v>31233</v>
          </cell>
          <cell r="AS144">
            <v>0</v>
          </cell>
          <cell r="AT144">
            <v>0</v>
          </cell>
          <cell r="AU144">
            <v>31233</v>
          </cell>
          <cell r="AW144"/>
          <cell r="BC144">
            <v>-14100</v>
          </cell>
          <cell r="BW144">
            <v>-14100</v>
          </cell>
          <cell r="BX144">
            <v>0</v>
          </cell>
          <cell r="BY144">
            <v>17133</v>
          </cell>
          <cell r="BZ144" t="str">
            <v>S010A170006</v>
          </cell>
          <cell r="CA144">
            <v>-1233</v>
          </cell>
        </row>
        <row r="145">
          <cell r="F145"/>
          <cell r="G145"/>
          <cell r="H145"/>
          <cell r="I145"/>
          <cell r="J145"/>
          <cell r="K145"/>
          <cell r="L145"/>
          <cell r="M145"/>
          <cell r="N145" t="str">
            <v>20358133Diagnostic Review 20-21</v>
          </cell>
          <cell r="P145" t="str">
            <v>5010</v>
          </cell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  <cell r="AN145"/>
          <cell r="AO145"/>
          <cell r="AP145"/>
          <cell r="AQ145"/>
          <cell r="AR145"/>
          <cell r="AS145"/>
          <cell r="AT145"/>
          <cell r="AU145"/>
          <cell r="AV145"/>
          <cell r="AW145"/>
          <cell r="AX145"/>
          <cell r="AY145"/>
          <cell r="AZ145"/>
          <cell r="BA145"/>
          <cell r="BB145"/>
          <cell r="BC145"/>
          <cell r="BD145"/>
          <cell r="BE145"/>
          <cell r="BF145"/>
          <cell r="BG145"/>
          <cell r="BH145"/>
          <cell r="BI145"/>
          <cell r="BJ145"/>
          <cell r="BK145"/>
          <cell r="BL145"/>
          <cell r="BM145"/>
          <cell r="BN145"/>
          <cell r="BO145"/>
          <cell r="BP145"/>
          <cell r="BQ145"/>
          <cell r="BR145"/>
          <cell r="BS145"/>
          <cell r="BT145"/>
          <cell r="BU145"/>
          <cell r="BV145"/>
          <cell r="BW145"/>
          <cell r="BX145"/>
          <cell r="BY145"/>
          <cell r="BZ145"/>
          <cell r="CA145"/>
          <cell r="CB145"/>
          <cell r="CC145"/>
          <cell r="CD145"/>
          <cell r="CE145"/>
          <cell r="CF145"/>
          <cell r="CG145"/>
          <cell r="CH145"/>
          <cell r="CI145"/>
          <cell r="CJ145"/>
          <cell r="CK145"/>
          <cell r="CL145"/>
          <cell r="CM145"/>
          <cell r="CN145"/>
          <cell r="CO145"/>
          <cell r="CP145"/>
          <cell r="CQ145"/>
          <cell r="CR145"/>
          <cell r="CS145"/>
          <cell r="CT145"/>
          <cell r="CU145"/>
          <cell r="CV145"/>
          <cell r="CW145"/>
          <cell r="CX145"/>
          <cell r="CY145"/>
          <cell r="CZ145"/>
          <cell r="DA145"/>
        </row>
        <row r="146">
          <cell r="F146" t="str">
            <v>05</v>
          </cell>
          <cell r="G146" t="str">
            <v>1</v>
          </cell>
          <cell r="H146" t="str">
            <v>0</v>
          </cell>
          <cell r="I146" t="str">
            <v>0</v>
          </cell>
          <cell r="J146" t="str">
            <v>0</v>
          </cell>
          <cell r="K146"/>
          <cell r="L146" t="str">
            <v>1000</v>
          </cell>
          <cell r="M146" t="str">
            <v>01</v>
          </cell>
          <cell r="N146" t="str">
            <v>21809149Diagnostic Review 17-18</v>
          </cell>
          <cell r="O146" t="str">
            <v>S010A170006</v>
          </cell>
          <cell r="P146" t="str">
            <v>5010</v>
          </cell>
          <cell r="Q146" t="str">
            <v>70*C</v>
          </cell>
          <cell r="R146">
            <v>43173</v>
          </cell>
          <cell r="S146">
            <v>43173</v>
          </cell>
          <cell r="T146">
            <v>52545</v>
          </cell>
          <cell r="AS146">
            <v>0</v>
          </cell>
          <cell r="AT146">
            <v>0</v>
          </cell>
          <cell r="AU146">
            <v>52545</v>
          </cell>
          <cell r="AW146"/>
          <cell r="BE146">
            <v>-52545</v>
          </cell>
          <cell r="BW146">
            <v>-52545</v>
          </cell>
          <cell r="BX146">
            <v>0</v>
          </cell>
          <cell r="BY146">
            <v>0</v>
          </cell>
        </row>
        <row r="147">
          <cell r="F147" t="str">
            <v>05</v>
          </cell>
          <cell r="G147" t="str">
            <v>1</v>
          </cell>
          <cell r="H147" t="str">
            <v>0</v>
          </cell>
          <cell r="I147" t="str">
            <v>0</v>
          </cell>
          <cell r="J147" t="str">
            <v>0</v>
          </cell>
          <cell r="K147"/>
          <cell r="L147" t="str">
            <v>1000</v>
          </cell>
          <cell r="M147" t="str">
            <v>01</v>
          </cell>
          <cell r="N147" t="str">
            <v>23951094Diagnostic Review 17-18</v>
          </cell>
          <cell r="O147" t="str">
            <v>S010A170006</v>
          </cell>
          <cell r="P147" t="str">
            <v>5010</v>
          </cell>
          <cell r="Q147" t="str">
            <v>70*C</v>
          </cell>
          <cell r="R147">
            <v>43168</v>
          </cell>
          <cell r="S147">
            <v>43168</v>
          </cell>
          <cell r="T147">
            <v>50000</v>
          </cell>
          <cell r="AM147">
            <v>-12842</v>
          </cell>
          <cell r="AO147">
            <v>-6667</v>
          </cell>
          <cell r="AQ147">
            <v>-5000</v>
          </cell>
          <cell r="AS147">
            <v>-24509</v>
          </cell>
          <cell r="AT147">
            <v>0</v>
          </cell>
          <cell r="AU147">
            <v>25491</v>
          </cell>
          <cell r="AW147"/>
          <cell r="BA147">
            <v>-7563</v>
          </cell>
          <cell r="BC147">
            <v>-12500</v>
          </cell>
          <cell r="BW147">
            <v>-20063</v>
          </cell>
          <cell r="BX147">
            <v>0</v>
          </cell>
          <cell r="BY147">
            <v>5428</v>
          </cell>
        </row>
        <row r="148">
          <cell r="F148" t="str">
            <v>05</v>
          </cell>
          <cell r="G148" t="str">
            <v>1</v>
          </cell>
          <cell r="H148" t="str">
            <v>0</v>
          </cell>
          <cell r="I148" t="str">
            <v>0</v>
          </cell>
          <cell r="J148" t="str">
            <v>0</v>
          </cell>
          <cell r="K148"/>
          <cell r="L148" t="str">
            <v>1000</v>
          </cell>
          <cell r="M148" t="str">
            <v>01</v>
          </cell>
          <cell r="N148" t="str">
            <v>23951096Diagnostic Review 17-18</v>
          </cell>
          <cell r="O148" t="str">
            <v>S010A170006</v>
          </cell>
          <cell r="P148" t="str">
            <v>5010</v>
          </cell>
          <cell r="Q148" t="str">
            <v>70*C</v>
          </cell>
          <cell r="R148">
            <v>43168</v>
          </cell>
          <cell r="S148">
            <v>43168</v>
          </cell>
          <cell r="T148">
            <v>50000</v>
          </cell>
          <cell r="AM148">
            <v>-16447</v>
          </cell>
          <cell r="AO148">
            <v>-9167</v>
          </cell>
          <cell r="AQ148">
            <v>-5000</v>
          </cell>
          <cell r="AS148">
            <v>-30614</v>
          </cell>
          <cell r="AT148">
            <v>0</v>
          </cell>
          <cell r="AU148">
            <v>19386</v>
          </cell>
          <cell r="AW148"/>
          <cell r="BA148">
            <v>-3841</v>
          </cell>
          <cell r="BC148">
            <v>-13750</v>
          </cell>
          <cell r="BW148">
            <v>-17591</v>
          </cell>
          <cell r="BX148">
            <v>0</v>
          </cell>
          <cell r="BY148">
            <v>1795</v>
          </cell>
        </row>
        <row r="149">
          <cell r="F149" t="str">
            <v>05</v>
          </cell>
          <cell r="G149" t="str">
            <v>1</v>
          </cell>
          <cell r="H149" t="str">
            <v>0</v>
          </cell>
          <cell r="I149" t="str">
            <v>0</v>
          </cell>
          <cell r="J149" t="str">
            <v>0</v>
          </cell>
          <cell r="K149"/>
          <cell r="L149" t="str">
            <v>1000</v>
          </cell>
          <cell r="M149" t="str">
            <v>01</v>
          </cell>
          <cell r="N149" t="str">
            <v>23951438Diagnostic Review 17-18</v>
          </cell>
          <cell r="O149" t="str">
            <v>S010A170006</v>
          </cell>
          <cell r="P149" t="str">
            <v>5010</v>
          </cell>
          <cell r="Q149" t="str">
            <v>70*C</v>
          </cell>
          <cell r="R149">
            <v>43168</v>
          </cell>
          <cell r="S149">
            <v>43168</v>
          </cell>
          <cell r="T149">
            <v>50000</v>
          </cell>
          <cell r="AM149">
            <v>-15771</v>
          </cell>
          <cell r="AO149">
            <v>-11666</v>
          </cell>
          <cell r="AQ149">
            <v>-2500</v>
          </cell>
          <cell r="AS149">
            <v>-29937</v>
          </cell>
          <cell r="AT149">
            <v>0</v>
          </cell>
          <cell r="AU149">
            <v>20063</v>
          </cell>
          <cell r="AW149"/>
          <cell r="BA149">
            <v>-12048</v>
          </cell>
          <cell r="BC149">
            <v>-8000</v>
          </cell>
          <cell r="BW149">
            <v>-20048</v>
          </cell>
          <cell r="BX149">
            <v>0</v>
          </cell>
          <cell r="BY149">
            <v>15</v>
          </cell>
        </row>
        <row r="150">
          <cell r="F150" t="str">
            <v>05</v>
          </cell>
          <cell r="G150" t="str">
            <v>1</v>
          </cell>
          <cell r="H150" t="str">
            <v>0</v>
          </cell>
          <cell r="I150" t="str">
            <v>0</v>
          </cell>
          <cell r="J150" t="str">
            <v>0</v>
          </cell>
          <cell r="K150"/>
          <cell r="L150" t="str">
            <v>1000</v>
          </cell>
          <cell r="M150" t="str">
            <v>01</v>
          </cell>
          <cell r="N150" t="str">
            <v>26007046Diagnostic Review 17-18</v>
          </cell>
          <cell r="O150" t="str">
            <v>S010A170006</v>
          </cell>
          <cell r="P150" t="str">
            <v>5010</v>
          </cell>
          <cell r="Q150" t="str">
            <v>70*C</v>
          </cell>
          <cell r="R150">
            <v>43173</v>
          </cell>
          <cell r="S150">
            <v>43173</v>
          </cell>
          <cell r="T150">
            <v>19500</v>
          </cell>
          <cell r="AM150">
            <v>-12700</v>
          </cell>
          <cell r="AS150">
            <v>-12700</v>
          </cell>
          <cell r="AT150">
            <v>0</v>
          </cell>
          <cell r="AU150">
            <v>6800</v>
          </cell>
          <cell r="AW150"/>
          <cell r="BA150">
            <v>-4225</v>
          </cell>
          <cell r="BW150">
            <v>-4225</v>
          </cell>
          <cell r="BX150">
            <v>0</v>
          </cell>
          <cell r="BY150">
            <v>2575</v>
          </cell>
        </row>
        <row r="151">
          <cell r="F151" t="str">
            <v>05</v>
          </cell>
          <cell r="G151" t="str">
            <v>0</v>
          </cell>
          <cell r="H151" t="str">
            <v>1</v>
          </cell>
          <cell r="I151" t="str">
            <v>0</v>
          </cell>
          <cell r="J151" t="str">
            <v>0</v>
          </cell>
          <cell r="K151"/>
          <cell r="L151" t="str">
            <v>0100</v>
          </cell>
          <cell r="M151" t="str">
            <v>02</v>
          </cell>
          <cell r="N151" t="str">
            <v>26400430Diagnostic Review 18-19</v>
          </cell>
          <cell r="P151" t="str">
            <v>5010</v>
          </cell>
          <cell r="Q151" t="str">
            <v>70*C</v>
          </cell>
          <cell r="R151"/>
          <cell r="S151"/>
          <cell r="AV151" t="str">
            <v>S010A180006</v>
          </cell>
          <cell r="AW151"/>
          <cell r="AX151">
            <v>63562</v>
          </cell>
          <cell r="BW151">
            <v>0</v>
          </cell>
          <cell r="BX151">
            <v>0</v>
          </cell>
          <cell r="BY151">
            <v>63562</v>
          </cell>
        </row>
        <row r="152">
          <cell r="F152" t="str">
            <v>05</v>
          </cell>
          <cell r="G152" t="str">
            <v>0</v>
          </cell>
          <cell r="H152" t="str">
            <v>1</v>
          </cell>
          <cell r="I152" t="str">
            <v>0</v>
          </cell>
          <cell r="J152" t="str">
            <v>0</v>
          </cell>
          <cell r="K152"/>
          <cell r="L152" t="str">
            <v>0100</v>
          </cell>
          <cell r="M152" t="str">
            <v>02</v>
          </cell>
          <cell r="N152" t="str">
            <v>26901488Diagnostic Review 18-19</v>
          </cell>
          <cell r="O152"/>
          <cell r="P152" t="str">
            <v>5010</v>
          </cell>
          <cell r="Q152" t="str">
            <v>70*C</v>
          </cell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  <cell r="AN152"/>
          <cell r="AO152"/>
          <cell r="AP152"/>
          <cell r="AQ152"/>
          <cell r="AR152"/>
          <cell r="AS152"/>
          <cell r="AT152"/>
          <cell r="AU152"/>
          <cell r="AV152" t="str">
            <v>S010A180006</v>
          </cell>
          <cell r="AW152"/>
          <cell r="AX152">
            <v>49939</v>
          </cell>
          <cell r="AY152"/>
          <cell r="AZ152"/>
          <cell r="BA152"/>
          <cell r="BB152"/>
          <cell r="BC152"/>
          <cell r="BD152"/>
          <cell r="BE152"/>
          <cell r="BF152"/>
          <cell r="BG152"/>
          <cell r="BH152"/>
          <cell r="BI152"/>
          <cell r="BJ152"/>
          <cell r="BK152"/>
          <cell r="BL152"/>
          <cell r="BM152"/>
          <cell r="BN152"/>
          <cell r="BO152"/>
          <cell r="BP152"/>
          <cell r="BQ152"/>
          <cell r="BR152"/>
          <cell r="BS152"/>
          <cell r="BT152"/>
          <cell r="BU152"/>
          <cell r="BV152"/>
          <cell r="BW152">
            <v>0</v>
          </cell>
          <cell r="BX152">
            <v>0</v>
          </cell>
          <cell r="BY152">
            <v>49939</v>
          </cell>
          <cell r="BZ152"/>
          <cell r="CA152"/>
          <cell r="CB152"/>
          <cell r="CC152"/>
          <cell r="CD152"/>
          <cell r="CE152"/>
          <cell r="CF152"/>
          <cell r="CG152"/>
          <cell r="CH152"/>
          <cell r="CI152"/>
          <cell r="CJ152"/>
          <cell r="CK152"/>
          <cell r="CL152"/>
          <cell r="CM152">
            <v>-20650</v>
          </cell>
          <cell r="CN152"/>
          <cell r="CO152"/>
          <cell r="CP152"/>
          <cell r="CQ152"/>
          <cell r="CR152"/>
          <cell r="CS152"/>
          <cell r="CT152"/>
          <cell r="CU152"/>
          <cell r="CV152"/>
          <cell r="CW152"/>
          <cell r="CX152"/>
          <cell r="CY152"/>
          <cell r="CZ152"/>
          <cell r="DA152"/>
        </row>
        <row r="153">
          <cell r="F153"/>
          <cell r="G153"/>
          <cell r="H153"/>
          <cell r="I153"/>
          <cell r="J153"/>
          <cell r="K153"/>
          <cell r="L153"/>
          <cell r="M153"/>
          <cell r="N153" t="str">
            <v>27406030Diagnostic Review 20-21</v>
          </cell>
          <cell r="P153" t="str">
            <v>5010</v>
          </cell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  <cell r="AN153"/>
          <cell r="AO153"/>
          <cell r="AP153"/>
          <cell r="AQ153"/>
          <cell r="AR153"/>
          <cell r="AS153"/>
          <cell r="AT153"/>
          <cell r="AU153"/>
          <cell r="AV153"/>
          <cell r="AW153"/>
          <cell r="AX153"/>
          <cell r="AY153"/>
          <cell r="AZ153"/>
          <cell r="BA153"/>
          <cell r="BB153"/>
          <cell r="BC153"/>
          <cell r="BD153"/>
          <cell r="BE153"/>
          <cell r="BF153"/>
          <cell r="BG153"/>
          <cell r="BH153"/>
          <cell r="BI153"/>
          <cell r="BJ153"/>
          <cell r="BK153"/>
          <cell r="BL153"/>
          <cell r="BM153"/>
          <cell r="BN153"/>
          <cell r="BO153"/>
          <cell r="BP153"/>
          <cell r="BQ153"/>
          <cell r="BR153"/>
          <cell r="BS153"/>
          <cell r="BT153"/>
          <cell r="BU153"/>
          <cell r="BV153"/>
          <cell r="BW153"/>
          <cell r="BX153"/>
          <cell r="BY153"/>
          <cell r="BZ153"/>
          <cell r="CA153"/>
          <cell r="CB153"/>
          <cell r="CC153"/>
          <cell r="CD153"/>
          <cell r="CE153"/>
          <cell r="CF153"/>
          <cell r="CG153"/>
          <cell r="CH153"/>
          <cell r="CI153"/>
          <cell r="CJ153"/>
          <cell r="CK153"/>
          <cell r="CL153"/>
          <cell r="CM153"/>
          <cell r="CN153"/>
          <cell r="CO153"/>
          <cell r="CP153"/>
          <cell r="CQ153"/>
          <cell r="CR153"/>
          <cell r="CS153"/>
          <cell r="CT153"/>
          <cell r="CU153"/>
          <cell r="CV153"/>
          <cell r="CW153"/>
          <cell r="CX153"/>
          <cell r="CY153"/>
          <cell r="CZ153"/>
          <cell r="DA153"/>
        </row>
        <row r="154">
          <cell r="F154" t="str">
            <v>05</v>
          </cell>
          <cell r="G154" t="str">
            <v>1</v>
          </cell>
          <cell r="H154" t="str">
            <v>0</v>
          </cell>
          <cell r="I154" t="str">
            <v>0</v>
          </cell>
          <cell r="J154" t="str">
            <v>0</v>
          </cell>
          <cell r="K154"/>
          <cell r="L154" t="str">
            <v>1000</v>
          </cell>
          <cell r="M154" t="str">
            <v>01</v>
          </cell>
          <cell r="N154" t="str">
            <v>27602522Diagnostic Review 17-18</v>
          </cell>
          <cell r="O154" t="str">
            <v>S010A170006</v>
          </cell>
          <cell r="P154" t="str">
            <v>5010</v>
          </cell>
          <cell r="Q154" t="str">
            <v>70*C</v>
          </cell>
          <cell r="R154">
            <v>43168</v>
          </cell>
          <cell r="S154">
            <v>43168</v>
          </cell>
          <cell r="T154">
            <v>50000</v>
          </cell>
          <cell r="AS154">
            <v>0</v>
          </cell>
          <cell r="AT154">
            <v>0</v>
          </cell>
          <cell r="AU154">
            <v>50000</v>
          </cell>
          <cell r="AW154"/>
          <cell r="AY154">
            <v>-18000</v>
          </cell>
          <cell r="BE154">
            <v>-25910</v>
          </cell>
          <cell r="BW154">
            <v>-43910</v>
          </cell>
          <cell r="BX154">
            <v>0</v>
          </cell>
          <cell r="BY154">
            <v>6090</v>
          </cell>
          <cell r="DA154">
            <v>-6090</v>
          </cell>
        </row>
        <row r="155">
          <cell r="F155"/>
          <cell r="G155"/>
          <cell r="H155"/>
          <cell r="I155"/>
          <cell r="J155"/>
          <cell r="K155"/>
          <cell r="L155"/>
          <cell r="M155"/>
          <cell r="N155" t="str">
            <v>27709757Diagnostic Review 20-21</v>
          </cell>
          <cell r="P155" t="str">
            <v>5010</v>
          </cell>
          <cell r="Q155"/>
          <cell r="R155"/>
          <cell r="S155"/>
          <cell r="T155"/>
          <cell r="U155"/>
          <cell r="V155"/>
          <cell r="W155"/>
          <cell r="X155"/>
          <cell r="Y155"/>
          <cell r="Z155"/>
          <cell r="AA155"/>
          <cell r="AB155"/>
          <cell r="AC155"/>
          <cell r="AD155"/>
          <cell r="AE155"/>
          <cell r="AF155"/>
          <cell r="AG155"/>
          <cell r="AH155"/>
          <cell r="AI155"/>
          <cell r="AJ155"/>
          <cell r="AK155"/>
          <cell r="AL155"/>
          <cell r="AM155"/>
          <cell r="AN155"/>
          <cell r="AO155"/>
          <cell r="AP155"/>
          <cell r="AQ155"/>
          <cell r="AR155"/>
          <cell r="AS155"/>
          <cell r="AT155"/>
          <cell r="AU155"/>
          <cell r="AV155"/>
          <cell r="AW155"/>
          <cell r="AX155"/>
          <cell r="AY155"/>
          <cell r="AZ155"/>
          <cell r="BA155"/>
          <cell r="BB155"/>
          <cell r="BC155"/>
          <cell r="BD155"/>
          <cell r="BE155"/>
          <cell r="BF155"/>
          <cell r="BG155"/>
          <cell r="BH155"/>
          <cell r="BI155"/>
          <cell r="BJ155"/>
          <cell r="BK155"/>
          <cell r="BL155"/>
          <cell r="BM155"/>
          <cell r="BN155"/>
          <cell r="BO155"/>
          <cell r="BP155"/>
          <cell r="BQ155"/>
          <cell r="BR155"/>
          <cell r="BS155"/>
          <cell r="BT155"/>
          <cell r="BU155"/>
          <cell r="BV155"/>
          <cell r="BW155"/>
          <cell r="BX155"/>
          <cell r="BY155"/>
          <cell r="BZ155"/>
          <cell r="CA155"/>
          <cell r="CB155"/>
          <cell r="CC155"/>
          <cell r="CD155"/>
          <cell r="CE155"/>
          <cell r="CF155"/>
          <cell r="CG155"/>
          <cell r="CH155"/>
          <cell r="CI155"/>
          <cell r="CJ155"/>
          <cell r="CK155"/>
          <cell r="CL155"/>
          <cell r="CM155"/>
          <cell r="CN155"/>
          <cell r="CO155"/>
          <cell r="CP155"/>
          <cell r="CQ155"/>
          <cell r="CR155"/>
          <cell r="CS155"/>
          <cell r="CT155"/>
          <cell r="CU155"/>
          <cell r="CV155"/>
          <cell r="CW155"/>
          <cell r="CX155"/>
          <cell r="CY155"/>
          <cell r="CZ155"/>
          <cell r="DA155"/>
        </row>
        <row r="156">
          <cell r="F156" t="str">
            <v>05</v>
          </cell>
          <cell r="G156" t="str">
            <v>0</v>
          </cell>
          <cell r="H156" t="str">
            <v>1</v>
          </cell>
          <cell r="I156" t="str">
            <v>0</v>
          </cell>
          <cell r="J156" t="str">
            <v>0</v>
          </cell>
          <cell r="K156"/>
          <cell r="L156" t="str">
            <v>0100</v>
          </cell>
          <cell r="M156" t="str">
            <v>02</v>
          </cell>
          <cell r="N156" t="str">
            <v>30008372Diagnostic Review 18-19</v>
          </cell>
          <cell r="P156" t="str">
            <v>5010</v>
          </cell>
          <cell r="Q156" t="str">
            <v>70*C</v>
          </cell>
          <cell r="R156"/>
          <cell r="S156"/>
          <cell r="AV156" t="str">
            <v>S010A180006</v>
          </cell>
          <cell r="AW156"/>
          <cell r="AX156">
            <v>55050</v>
          </cell>
          <cell r="BU156">
            <v>-20973</v>
          </cell>
          <cell r="BW156">
            <v>-20973</v>
          </cell>
          <cell r="BX156">
            <v>0</v>
          </cell>
          <cell r="BY156">
            <v>34077</v>
          </cell>
          <cell r="CQ156">
            <v>-19500</v>
          </cell>
          <cell r="CU156">
            <v>-5125</v>
          </cell>
        </row>
        <row r="157">
          <cell r="F157" t="str">
            <v>05</v>
          </cell>
          <cell r="G157" t="str">
            <v>0</v>
          </cell>
          <cell r="H157" t="str">
            <v>1</v>
          </cell>
          <cell r="I157" t="str">
            <v>0</v>
          </cell>
          <cell r="J157" t="str">
            <v>0</v>
          </cell>
          <cell r="K157"/>
          <cell r="L157" t="str">
            <v>0100</v>
          </cell>
          <cell r="M157" t="str">
            <v>02</v>
          </cell>
          <cell r="N157" t="str">
            <v>30008376Diagnostic Review 18-19</v>
          </cell>
          <cell r="P157" t="str">
            <v>5010</v>
          </cell>
          <cell r="Q157" t="str">
            <v>70*C</v>
          </cell>
          <cell r="R157"/>
          <cell r="S157"/>
          <cell r="AV157" t="str">
            <v>S010A180006</v>
          </cell>
          <cell r="AW157"/>
          <cell r="AX157">
            <v>56750</v>
          </cell>
          <cell r="BU157">
            <v>-22220</v>
          </cell>
          <cell r="BW157">
            <v>-22220</v>
          </cell>
          <cell r="BX157">
            <v>0</v>
          </cell>
          <cell r="BY157">
            <v>34530</v>
          </cell>
          <cell r="CQ157">
            <v>-19500</v>
          </cell>
          <cell r="CU157">
            <v>-5125</v>
          </cell>
          <cell r="DA157">
            <v>-577.65</v>
          </cell>
        </row>
        <row r="158">
          <cell r="F158" t="str">
            <v>05</v>
          </cell>
          <cell r="G158" t="str">
            <v>0</v>
          </cell>
          <cell r="H158" t="str">
            <v>1</v>
          </cell>
          <cell r="I158" t="str">
            <v>0</v>
          </cell>
          <cell r="J158" t="str">
            <v>0</v>
          </cell>
          <cell r="K158"/>
          <cell r="L158" t="str">
            <v>0100</v>
          </cell>
          <cell r="M158" t="str">
            <v>02</v>
          </cell>
          <cell r="N158" t="str">
            <v>31106963Diagnostic Review 18-19</v>
          </cell>
          <cell r="P158" t="str">
            <v>5010</v>
          </cell>
          <cell r="Q158" t="str">
            <v>70*C</v>
          </cell>
          <cell r="R158"/>
          <cell r="S158"/>
          <cell r="AV158" t="str">
            <v>S010A180006</v>
          </cell>
          <cell r="AW158"/>
          <cell r="AX158">
            <v>49968</v>
          </cell>
          <cell r="BQ158">
            <v>-20100</v>
          </cell>
          <cell r="BW158">
            <v>-20100</v>
          </cell>
          <cell r="BX158">
            <v>0</v>
          </cell>
          <cell r="BY158">
            <v>29868</v>
          </cell>
          <cell r="CE158">
            <v>-20405</v>
          </cell>
          <cell r="CI158">
            <v>-6349</v>
          </cell>
          <cell r="CM158">
            <v>-911</v>
          </cell>
        </row>
        <row r="159">
          <cell r="F159" t="str">
            <v>05</v>
          </cell>
          <cell r="G159" t="str">
            <v>1</v>
          </cell>
          <cell r="H159" t="str">
            <v>0</v>
          </cell>
          <cell r="I159" t="str">
            <v>0</v>
          </cell>
          <cell r="J159" t="str">
            <v>0</v>
          </cell>
          <cell r="K159"/>
          <cell r="L159" t="str">
            <v>1000</v>
          </cell>
          <cell r="M159" t="str">
            <v>01</v>
          </cell>
          <cell r="N159" t="str">
            <v>31200052Diagnostic Review 17-18</v>
          </cell>
          <cell r="O159" t="str">
            <v>S010A170006</v>
          </cell>
          <cell r="P159" t="str">
            <v>5010</v>
          </cell>
          <cell r="Q159" t="str">
            <v>70*C</v>
          </cell>
          <cell r="R159">
            <v>43168</v>
          </cell>
          <cell r="S159">
            <v>43168</v>
          </cell>
          <cell r="T159">
            <v>38104</v>
          </cell>
          <cell r="AM159">
            <v>-28534</v>
          </cell>
          <cell r="AO159">
            <v>-1347</v>
          </cell>
          <cell r="AS159">
            <v>-29881</v>
          </cell>
          <cell r="AT159">
            <v>0</v>
          </cell>
          <cell r="AU159">
            <v>8223</v>
          </cell>
          <cell r="AW159"/>
          <cell r="BC159">
            <v>-8223</v>
          </cell>
          <cell r="BW159">
            <v>-8223</v>
          </cell>
          <cell r="BX159">
            <v>0</v>
          </cell>
          <cell r="BY159">
            <v>0</v>
          </cell>
        </row>
        <row r="160">
          <cell r="F160" t="str">
            <v>05</v>
          </cell>
          <cell r="G160" t="str">
            <v>1</v>
          </cell>
          <cell r="H160" t="str">
            <v>0</v>
          </cell>
          <cell r="I160" t="str">
            <v>0</v>
          </cell>
          <cell r="J160" t="str">
            <v>0</v>
          </cell>
          <cell r="K160"/>
          <cell r="L160" t="str">
            <v>1000</v>
          </cell>
          <cell r="M160" t="str">
            <v>01</v>
          </cell>
          <cell r="N160" t="str">
            <v>31207700Diagnostic Review 17-18</v>
          </cell>
          <cell r="O160" t="str">
            <v>S010A170006</v>
          </cell>
          <cell r="P160" t="str">
            <v>5010</v>
          </cell>
          <cell r="Q160" t="str">
            <v>70*C</v>
          </cell>
          <cell r="R160">
            <v>43168</v>
          </cell>
          <cell r="S160">
            <v>43168</v>
          </cell>
          <cell r="T160">
            <v>50000</v>
          </cell>
          <cell r="AM160">
            <v>-28534</v>
          </cell>
          <cell r="AO160">
            <v>-686</v>
          </cell>
          <cell r="AS160">
            <v>-29220</v>
          </cell>
          <cell r="AT160">
            <v>0</v>
          </cell>
          <cell r="AU160">
            <v>20780</v>
          </cell>
          <cell r="AW160"/>
          <cell r="BC160">
            <v>-6968</v>
          </cell>
          <cell r="BE160">
            <v>-13812</v>
          </cell>
          <cell r="BW160">
            <v>-20780</v>
          </cell>
          <cell r="BX160">
            <v>0</v>
          </cell>
          <cell r="BY160">
            <v>0</v>
          </cell>
        </row>
        <row r="161">
          <cell r="F161" t="str">
            <v>05</v>
          </cell>
          <cell r="G161" t="str">
            <v>0</v>
          </cell>
          <cell r="H161" t="str">
            <v>1</v>
          </cell>
          <cell r="I161" t="str">
            <v>0</v>
          </cell>
          <cell r="J161" t="str">
            <v>0</v>
          </cell>
          <cell r="K161"/>
          <cell r="L161" t="str">
            <v>0100</v>
          </cell>
          <cell r="M161" t="str">
            <v>02</v>
          </cell>
          <cell r="N161" t="str">
            <v>31208965Diagnostic Review 18-19</v>
          </cell>
          <cell r="P161" t="str">
            <v>5010</v>
          </cell>
          <cell r="Q161" t="str">
            <v>70*C</v>
          </cell>
          <cell r="R161"/>
          <cell r="S161"/>
          <cell r="AV161" t="str">
            <v>S010A180006</v>
          </cell>
          <cell r="AW161"/>
          <cell r="AX161">
            <v>26745</v>
          </cell>
          <cell r="BW161">
            <v>0</v>
          </cell>
          <cell r="BX161">
            <v>0</v>
          </cell>
          <cell r="BY161">
            <v>26745</v>
          </cell>
          <cell r="CI161">
            <v>-21747.599999999999</v>
          </cell>
          <cell r="CW161">
            <v>-4910</v>
          </cell>
        </row>
        <row r="162">
          <cell r="F162" t="str">
            <v>05</v>
          </cell>
          <cell r="G162" t="str">
            <v>0</v>
          </cell>
          <cell r="H162" t="str">
            <v>1</v>
          </cell>
          <cell r="I162" t="str">
            <v>0</v>
          </cell>
          <cell r="J162" t="str">
            <v>0</v>
          </cell>
          <cell r="K162"/>
          <cell r="L162" t="str">
            <v>0100</v>
          </cell>
          <cell r="M162" t="str">
            <v>02</v>
          </cell>
          <cell r="N162" t="str">
            <v>31403066Diagnostic Review 18-19</v>
          </cell>
          <cell r="P162" t="str">
            <v>5010</v>
          </cell>
          <cell r="Q162" t="str">
            <v>70*C</v>
          </cell>
          <cell r="R162"/>
          <cell r="S162"/>
          <cell r="AV162" t="str">
            <v>S010A180006</v>
          </cell>
          <cell r="AW162"/>
          <cell r="AX162">
            <v>60197</v>
          </cell>
          <cell r="BW162">
            <v>0</v>
          </cell>
          <cell r="BX162">
            <v>0</v>
          </cell>
          <cell r="BY162">
            <v>60197</v>
          </cell>
          <cell r="CK162">
            <v>-44221.46</v>
          </cell>
          <cell r="CU162">
            <v>-15975.54</v>
          </cell>
        </row>
        <row r="163">
          <cell r="F163" t="str">
            <v>05</v>
          </cell>
          <cell r="G163" t="str">
            <v>0</v>
          </cell>
          <cell r="H163" t="str">
            <v>0</v>
          </cell>
          <cell r="I163" t="str">
            <v>1</v>
          </cell>
          <cell r="J163" t="str">
            <v>0</v>
          </cell>
          <cell r="K163"/>
          <cell r="L163" t="str">
            <v>0010</v>
          </cell>
          <cell r="M163" t="str">
            <v>03</v>
          </cell>
          <cell r="N163" t="str">
            <v>80014699Diagnostic Review 19-20</v>
          </cell>
          <cell r="O163"/>
          <cell r="P163" t="str">
            <v>5010</v>
          </cell>
          <cell r="Q163" t="str">
            <v>70*C</v>
          </cell>
          <cell r="R163"/>
          <cell r="S163"/>
          <cell r="T163"/>
          <cell r="U163"/>
          <cell r="V163"/>
          <cell r="W163"/>
          <cell r="X163"/>
          <cell r="Y163"/>
          <cell r="Z163"/>
          <cell r="AA163"/>
          <cell r="AB163"/>
          <cell r="AC163"/>
          <cell r="AD163"/>
          <cell r="AE163"/>
          <cell r="AF163"/>
          <cell r="AG163"/>
          <cell r="AH163"/>
          <cell r="AI163"/>
          <cell r="AJ163"/>
          <cell r="AK163"/>
          <cell r="AL163"/>
          <cell r="AM163"/>
          <cell r="AN163"/>
          <cell r="AO163"/>
          <cell r="AP163"/>
          <cell r="AQ163"/>
          <cell r="AR163"/>
          <cell r="AS163"/>
          <cell r="AT163"/>
          <cell r="AU163"/>
          <cell r="AV163"/>
          <cell r="AW163"/>
          <cell r="AX163"/>
          <cell r="AY163"/>
          <cell r="AZ163"/>
          <cell r="BA163"/>
          <cell r="BB163"/>
          <cell r="BC163"/>
          <cell r="BD163"/>
          <cell r="BE163"/>
          <cell r="BF163"/>
          <cell r="BG163"/>
          <cell r="BH163"/>
          <cell r="BI163"/>
          <cell r="BJ163"/>
          <cell r="BK163"/>
          <cell r="BL163"/>
          <cell r="BM163"/>
          <cell r="BN163"/>
          <cell r="BO163"/>
          <cell r="BP163"/>
          <cell r="BQ163"/>
          <cell r="BR163"/>
          <cell r="BS163"/>
          <cell r="BT163"/>
          <cell r="BU163"/>
          <cell r="BV163"/>
          <cell r="BW163">
            <v>0</v>
          </cell>
          <cell r="BX163">
            <v>0</v>
          </cell>
          <cell r="BY163">
            <v>0</v>
          </cell>
          <cell r="BZ163"/>
          <cell r="CA163"/>
          <cell r="CB163"/>
          <cell r="CC163"/>
          <cell r="CD163">
            <v>58144</v>
          </cell>
          <cell r="CE163"/>
          <cell r="CF163"/>
          <cell r="CG163"/>
          <cell r="CH163"/>
          <cell r="CI163"/>
          <cell r="CJ163"/>
          <cell r="CK163"/>
          <cell r="CL163"/>
          <cell r="CM163"/>
          <cell r="CN163"/>
          <cell r="CO163"/>
          <cell r="CP163"/>
          <cell r="CQ163"/>
          <cell r="CR163"/>
          <cell r="CS163"/>
          <cell r="CT163"/>
          <cell r="CU163"/>
          <cell r="CV163"/>
          <cell r="CW163"/>
          <cell r="CX163"/>
          <cell r="CY163"/>
          <cell r="CZ163"/>
          <cell r="DA163"/>
        </row>
        <row r="164">
          <cell r="F164" t="str">
            <v>05</v>
          </cell>
          <cell r="G164" t="str">
            <v>0</v>
          </cell>
          <cell r="H164" t="str">
            <v>0</v>
          </cell>
          <cell r="I164" t="str">
            <v>1</v>
          </cell>
          <cell r="J164" t="str">
            <v>0</v>
          </cell>
          <cell r="K164"/>
          <cell r="L164" t="str">
            <v>0010</v>
          </cell>
          <cell r="M164" t="str">
            <v>03</v>
          </cell>
          <cell r="N164" t="str">
            <v>80016219Diagnostic Review 19-20</v>
          </cell>
          <cell r="O164"/>
          <cell r="P164" t="str">
            <v>5010</v>
          </cell>
          <cell r="Q164" t="str">
            <v>70*C</v>
          </cell>
          <cell r="R164"/>
          <cell r="S164"/>
          <cell r="T164"/>
          <cell r="U164"/>
          <cell r="V164"/>
          <cell r="W164"/>
          <cell r="X164"/>
          <cell r="Y164"/>
          <cell r="Z164"/>
          <cell r="AA164"/>
          <cell r="AB164"/>
          <cell r="AC164"/>
          <cell r="AD164"/>
          <cell r="AE164"/>
          <cell r="AF164"/>
          <cell r="AG164"/>
          <cell r="AH164"/>
          <cell r="AI164"/>
          <cell r="AJ164"/>
          <cell r="AK164"/>
          <cell r="AL164"/>
          <cell r="AM164"/>
          <cell r="AN164"/>
          <cell r="AO164"/>
          <cell r="AP164"/>
          <cell r="AQ164"/>
          <cell r="AR164"/>
          <cell r="AS164"/>
          <cell r="AT164"/>
          <cell r="AU164"/>
          <cell r="AV164"/>
          <cell r="AW164"/>
          <cell r="AX164"/>
          <cell r="AY164"/>
          <cell r="AZ164"/>
          <cell r="BA164"/>
          <cell r="BB164"/>
          <cell r="BC164"/>
          <cell r="BD164"/>
          <cell r="BE164"/>
          <cell r="BF164"/>
          <cell r="BG164"/>
          <cell r="BH164"/>
          <cell r="BI164"/>
          <cell r="BJ164"/>
          <cell r="BK164"/>
          <cell r="BL164"/>
          <cell r="BM164"/>
          <cell r="BN164"/>
          <cell r="BO164"/>
          <cell r="BP164"/>
          <cell r="BQ164"/>
          <cell r="BR164"/>
          <cell r="BS164"/>
          <cell r="BT164"/>
          <cell r="BU164"/>
          <cell r="BV164"/>
          <cell r="BW164">
            <v>0</v>
          </cell>
          <cell r="BX164">
            <v>0</v>
          </cell>
          <cell r="BY164">
            <v>0</v>
          </cell>
          <cell r="BZ164"/>
          <cell r="CA164"/>
          <cell r="CB164"/>
          <cell r="CC164"/>
          <cell r="CD164">
            <v>58144</v>
          </cell>
          <cell r="CE164"/>
          <cell r="CF164"/>
          <cell r="CG164"/>
          <cell r="CH164"/>
          <cell r="CI164"/>
          <cell r="CJ164"/>
          <cell r="CK164"/>
          <cell r="CL164"/>
          <cell r="CM164"/>
          <cell r="CN164"/>
          <cell r="CO164"/>
          <cell r="CP164"/>
          <cell r="CQ164"/>
          <cell r="CR164"/>
          <cell r="CS164"/>
          <cell r="CT164"/>
          <cell r="CU164"/>
          <cell r="CV164"/>
          <cell r="CW164"/>
          <cell r="CX164"/>
          <cell r="CY164"/>
          <cell r="CZ164"/>
          <cell r="DA164"/>
        </row>
        <row r="165">
          <cell r="F165" t="str">
            <v>05</v>
          </cell>
          <cell r="G165" t="str">
            <v>0</v>
          </cell>
          <cell r="H165" t="str">
            <v>0</v>
          </cell>
          <cell r="I165" t="str">
            <v>1</v>
          </cell>
          <cell r="J165" t="str">
            <v>0</v>
          </cell>
          <cell r="K165"/>
          <cell r="L165" t="str">
            <v>0010</v>
          </cell>
          <cell r="M165" t="str">
            <v>03</v>
          </cell>
          <cell r="N165" t="str">
            <v>80016237Diagnostic Review 19-20</v>
          </cell>
          <cell r="O165"/>
          <cell r="P165" t="str">
            <v>5010</v>
          </cell>
          <cell r="Q165" t="str">
            <v>70*C</v>
          </cell>
          <cell r="R165"/>
          <cell r="S165"/>
          <cell r="T165"/>
          <cell r="U165"/>
          <cell r="V165"/>
          <cell r="W165"/>
          <cell r="X165"/>
          <cell r="Y165"/>
          <cell r="Z165"/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  <cell r="AN165"/>
          <cell r="AO165"/>
          <cell r="AP165"/>
          <cell r="AQ165"/>
          <cell r="AR165"/>
          <cell r="AS165"/>
          <cell r="AT165"/>
          <cell r="AU165"/>
          <cell r="AV165"/>
          <cell r="AW165"/>
          <cell r="AX165"/>
          <cell r="AY165"/>
          <cell r="AZ165"/>
          <cell r="BA165"/>
          <cell r="BB165"/>
          <cell r="BC165"/>
          <cell r="BD165"/>
          <cell r="BE165"/>
          <cell r="BF165"/>
          <cell r="BG165"/>
          <cell r="BH165"/>
          <cell r="BI165"/>
          <cell r="BJ165"/>
          <cell r="BK165"/>
          <cell r="BL165"/>
          <cell r="BM165"/>
          <cell r="BN165"/>
          <cell r="BO165"/>
          <cell r="BP165"/>
          <cell r="BQ165"/>
          <cell r="BR165"/>
          <cell r="BS165"/>
          <cell r="BT165"/>
          <cell r="BU165"/>
          <cell r="BV165"/>
          <cell r="BW165">
            <v>0</v>
          </cell>
          <cell r="BX165">
            <v>0</v>
          </cell>
          <cell r="BY165">
            <v>0</v>
          </cell>
          <cell r="BZ165"/>
          <cell r="CA165"/>
          <cell r="CB165"/>
          <cell r="CC165"/>
          <cell r="CD165">
            <v>58144</v>
          </cell>
          <cell r="CE165"/>
          <cell r="CF165"/>
          <cell r="CG165"/>
          <cell r="CH165"/>
          <cell r="CI165"/>
          <cell r="CJ165"/>
          <cell r="CK165"/>
          <cell r="CL165"/>
          <cell r="CM165"/>
          <cell r="CN165"/>
          <cell r="CO165"/>
          <cell r="CP165"/>
          <cell r="CQ165"/>
          <cell r="CR165"/>
          <cell r="CS165"/>
          <cell r="CT165"/>
          <cell r="CU165"/>
          <cell r="CV165"/>
          <cell r="CW165"/>
          <cell r="CX165"/>
          <cell r="CY165"/>
          <cell r="CZ165"/>
          <cell r="DA165"/>
        </row>
        <row r="166">
          <cell r="F166" t="str">
            <v>03</v>
          </cell>
          <cell r="G166" t="str">
            <v>0</v>
          </cell>
          <cell r="H166" t="str">
            <v>0</v>
          </cell>
          <cell r="I166" t="str">
            <v>0</v>
          </cell>
          <cell r="J166" t="str">
            <v>0</v>
          </cell>
          <cell r="K166"/>
          <cell r="L166" t="str">
            <v>0000</v>
          </cell>
          <cell r="M166" t="str">
            <v>X</v>
          </cell>
          <cell r="N166" t="str">
            <v>91701501Diagnostic Review 21-22</v>
          </cell>
          <cell r="R166"/>
          <cell r="S166"/>
          <cell r="AW166"/>
        </row>
        <row r="167">
          <cell r="F167" t="str">
            <v>04</v>
          </cell>
          <cell r="G167" t="str">
            <v>0</v>
          </cell>
          <cell r="H167" t="str">
            <v>0</v>
          </cell>
          <cell r="I167" t="str">
            <v>0</v>
          </cell>
          <cell r="J167" t="str">
            <v>0</v>
          </cell>
          <cell r="K167"/>
          <cell r="L167" t="str">
            <v>0000</v>
          </cell>
          <cell r="M167" t="str">
            <v>X</v>
          </cell>
          <cell r="N167" t="str">
            <v>91701550Diagnostic Review 21-22</v>
          </cell>
          <cell r="R167"/>
          <cell r="S167"/>
          <cell r="AW167"/>
        </row>
        <row r="168">
          <cell r="F168"/>
          <cell r="G168"/>
          <cell r="H168"/>
          <cell r="I168"/>
          <cell r="J168"/>
          <cell r="K168"/>
          <cell r="L168"/>
          <cell r="M168"/>
          <cell r="N168"/>
          <cell r="R168"/>
          <cell r="S168"/>
          <cell r="AW168"/>
        </row>
        <row r="169">
          <cell r="F169"/>
          <cell r="G169"/>
          <cell r="H169"/>
          <cell r="I169"/>
          <cell r="J169"/>
          <cell r="K169"/>
          <cell r="L169"/>
          <cell r="M169"/>
          <cell r="N169"/>
          <cell r="R169"/>
          <cell r="S169"/>
          <cell r="AW169"/>
        </row>
        <row r="170">
          <cell r="F170"/>
          <cell r="G170"/>
          <cell r="H170"/>
          <cell r="I170"/>
          <cell r="J170"/>
          <cell r="K170"/>
          <cell r="L170"/>
          <cell r="M170"/>
          <cell r="N170"/>
          <cell r="R170"/>
          <cell r="S170"/>
          <cell r="AW170"/>
        </row>
        <row r="171">
          <cell r="F171" t="str">
            <v>05</v>
          </cell>
          <cell r="G171" t="str">
            <v>0</v>
          </cell>
          <cell r="H171" t="str">
            <v>1</v>
          </cell>
          <cell r="I171" t="str">
            <v>0</v>
          </cell>
          <cell r="J171" t="str">
            <v>0</v>
          </cell>
          <cell r="K171"/>
          <cell r="L171" t="str">
            <v>0100</v>
          </cell>
          <cell r="M171" t="str">
            <v>02</v>
          </cell>
          <cell r="N171" t="str">
            <v>80016266Diagnostic Review 18-19</v>
          </cell>
          <cell r="P171" t="str">
            <v>5010</v>
          </cell>
          <cell r="Q171" t="str">
            <v>70*C</v>
          </cell>
          <cell r="R171"/>
          <cell r="S171"/>
          <cell r="AV171" t="str">
            <v>S010A180006</v>
          </cell>
          <cell r="AW171"/>
          <cell r="AX171">
            <v>55700</v>
          </cell>
          <cell r="BW171">
            <v>0</v>
          </cell>
          <cell r="BX171">
            <v>0</v>
          </cell>
          <cell r="BY171">
            <v>55700</v>
          </cell>
          <cell r="BZ171" t="str">
            <v>S010A180006</v>
          </cell>
          <cell r="CB171">
            <v>55000</v>
          </cell>
          <cell r="CQ171">
            <v>-52200</v>
          </cell>
        </row>
        <row r="172">
          <cell r="F172"/>
          <cell r="G172"/>
          <cell r="H172"/>
          <cell r="I172"/>
          <cell r="J172"/>
          <cell r="K172"/>
          <cell r="L172"/>
          <cell r="M172"/>
          <cell r="N172"/>
          <cell r="R172"/>
          <cell r="S172"/>
          <cell r="AW172"/>
          <cell r="AX172"/>
        </row>
        <row r="173">
          <cell r="F173"/>
          <cell r="G173"/>
          <cell r="H173"/>
          <cell r="I173"/>
          <cell r="J173"/>
          <cell r="K173"/>
          <cell r="L173"/>
          <cell r="M173"/>
          <cell r="N173"/>
          <cell r="R173"/>
          <cell r="S173"/>
          <cell r="AW173"/>
          <cell r="AX173"/>
        </row>
        <row r="174">
          <cell r="F174"/>
          <cell r="G174"/>
          <cell r="H174"/>
          <cell r="I174"/>
          <cell r="J174"/>
          <cell r="K174"/>
          <cell r="L174"/>
          <cell r="M174"/>
          <cell r="N174"/>
          <cell r="R174"/>
          <cell r="S174"/>
          <cell r="AW174"/>
          <cell r="AX174"/>
        </row>
        <row r="175">
          <cell r="F175"/>
          <cell r="G175"/>
          <cell r="H175"/>
          <cell r="I175"/>
          <cell r="J175"/>
          <cell r="K175"/>
          <cell r="L175"/>
          <cell r="M175"/>
          <cell r="N175"/>
          <cell r="R175"/>
          <cell r="S175"/>
          <cell r="T175"/>
          <cell r="U175"/>
          <cell r="V175"/>
          <cell r="W175"/>
          <cell r="X175"/>
          <cell r="Y175"/>
          <cell r="Z175"/>
          <cell r="AA175"/>
          <cell r="AB175"/>
          <cell r="AC175"/>
          <cell r="AD175"/>
          <cell r="AE175"/>
          <cell r="AF175"/>
          <cell r="AG175"/>
          <cell r="AH175"/>
          <cell r="AI175"/>
          <cell r="AJ175"/>
          <cell r="AK175"/>
          <cell r="AL175"/>
          <cell r="AM175"/>
          <cell r="AN175"/>
          <cell r="AO175"/>
          <cell r="AP175"/>
          <cell r="AQ175"/>
          <cell r="AR175"/>
          <cell r="AS175"/>
          <cell r="AT175"/>
          <cell r="AU175"/>
          <cell r="AV175"/>
          <cell r="AW175"/>
          <cell r="AX175"/>
          <cell r="AY175"/>
          <cell r="AZ175"/>
          <cell r="BA175"/>
          <cell r="BB175"/>
          <cell r="BC175"/>
          <cell r="BD175"/>
          <cell r="BE175"/>
          <cell r="BF175"/>
          <cell r="BG175"/>
          <cell r="BH175"/>
          <cell r="BI175"/>
          <cell r="BJ175"/>
          <cell r="BK175"/>
          <cell r="BL175"/>
          <cell r="BM175"/>
          <cell r="BN175"/>
          <cell r="BO175"/>
          <cell r="BP175"/>
          <cell r="BQ175"/>
          <cell r="BR175"/>
          <cell r="BS175"/>
          <cell r="BT175"/>
          <cell r="BU175"/>
          <cell r="BV175"/>
          <cell r="BW175"/>
          <cell r="BX175"/>
          <cell r="BY175"/>
          <cell r="BZ175"/>
          <cell r="CA175"/>
          <cell r="CB175"/>
          <cell r="CC175"/>
          <cell r="CD175"/>
          <cell r="CE175"/>
          <cell r="CF175"/>
          <cell r="CG175"/>
          <cell r="CH175"/>
          <cell r="CI175"/>
          <cell r="CJ175"/>
          <cell r="CK175"/>
          <cell r="CL175"/>
          <cell r="CM175"/>
          <cell r="CN175"/>
          <cell r="CO175"/>
          <cell r="CP175"/>
          <cell r="CQ175"/>
          <cell r="CR175"/>
          <cell r="CS175"/>
          <cell r="CT175"/>
          <cell r="CU175"/>
          <cell r="CV175"/>
          <cell r="CW175"/>
          <cell r="CX175"/>
          <cell r="CY175"/>
          <cell r="CZ175"/>
          <cell r="DA175"/>
        </row>
        <row r="176">
          <cell r="G176"/>
          <cell r="H176"/>
          <cell r="I176"/>
          <cell r="J176"/>
          <cell r="K176"/>
          <cell r="L176"/>
          <cell r="M176" t="str">
            <v xml:space="preserve"> </v>
          </cell>
          <cell r="N176" t="str">
            <v/>
          </cell>
          <cell r="Q176" t="str">
            <v>Diagnostic Total</v>
          </cell>
          <cell r="R176"/>
          <cell r="S176"/>
          <cell r="T176">
            <v>599478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-114828</v>
          </cell>
          <cell r="AN176">
            <v>0</v>
          </cell>
          <cell r="AO176">
            <v>-29533</v>
          </cell>
          <cell r="AP176">
            <v>0</v>
          </cell>
          <cell r="AQ176">
            <v>-28539</v>
          </cell>
          <cell r="AR176">
            <v>0</v>
          </cell>
          <cell r="AS176">
            <v>-172900</v>
          </cell>
          <cell r="AT176">
            <v>0</v>
          </cell>
          <cell r="AU176">
            <v>426578</v>
          </cell>
          <cell r="AV176"/>
          <cell r="AW176">
            <v>0</v>
          </cell>
          <cell r="AX176">
            <v>1734166</v>
          </cell>
          <cell r="AY176">
            <v>-18000</v>
          </cell>
          <cell r="AZ176">
            <v>0</v>
          </cell>
          <cell r="BA176">
            <v>-77267</v>
          </cell>
          <cell r="BB176">
            <v>0</v>
          </cell>
          <cell r="BC176">
            <v>-114371</v>
          </cell>
          <cell r="BD176">
            <v>0</v>
          </cell>
          <cell r="BE176">
            <v>-134871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-15430</v>
          </cell>
          <cell r="BP176">
            <v>0</v>
          </cell>
          <cell r="BQ176">
            <v>-20100</v>
          </cell>
          <cell r="BR176">
            <v>0</v>
          </cell>
          <cell r="BS176">
            <v>-35379</v>
          </cell>
          <cell r="BT176">
            <v>0</v>
          </cell>
          <cell r="BU176">
            <v>-97965</v>
          </cell>
          <cell r="BV176">
            <v>0</v>
          </cell>
          <cell r="BW176">
            <v>-513383</v>
          </cell>
          <cell r="BX176">
            <v>0</v>
          </cell>
          <cell r="BY176">
            <v>1647361</v>
          </cell>
          <cell r="BZ176"/>
          <cell r="CA176">
            <v>-1233</v>
          </cell>
          <cell r="CB176">
            <v>186396</v>
          </cell>
          <cell r="CC176"/>
          <cell r="CD176">
            <v>451881.41674800002</v>
          </cell>
          <cell r="CE176">
            <v>-49251</v>
          </cell>
          <cell r="CF176">
            <v>0</v>
          </cell>
          <cell r="CG176">
            <v>0</v>
          </cell>
          <cell r="CH176">
            <v>-85070.97</v>
          </cell>
          <cell r="CI176">
            <v>-90748.5</v>
          </cell>
          <cell r="CJ176">
            <v>0</v>
          </cell>
          <cell r="CK176">
            <v>-72554.429999999993</v>
          </cell>
          <cell r="CL176">
            <v>0</v>
          </cell>
          <cell r="CM176">
            <v>-40593.229999999996</v>
          </cell>
          <cell r="CN176">
            <v>0</v>
          </cell>
          <cell r="CO176">
            <v>-31223.18</v>
          </cell>
          <cell r="CP176">
            <v>0</v>
          </cell>
          <cell r="CQ176">
            <v>-162737.45000000001</v>
          </cell>
          <cell r="CR176">
            <v>0</v>
          </cell>
          <cell r="CS176">
            <v>-35249.999999999993</v>
          </cell>
          <cell r="CT176">
            <v>0</v>
          </cell>
          <cell r="CU176">
            <v>-57378.030000000006</v>
          </cell>
          <cell r="CV176">
            <v>0</v>
          </cell>
          <cell r="CW176">
            <v>-5648.8</v>
          </cell>
          <cell r="CX176">
            <v>0</v>
          </cell>
          <cell r="CY176">
            <v>-5050</v>
          </cell>
          <cell r="CZ176">
            <v>0</v>
          </cell>
          <cell r="DA176">
            <v>-6667.65</v>
          </cell>
        </row>
        <row r="177">
          <cell r="F177"/>
          <cell r="G177"/>
          <cell r="H177"/>
          <cell r="I177"/>
          <cell r="J177"/>
          <cell r="K177"/>
          <cell r="L177"/>
          <cell r="M177" t="str">
            <v xml:space="preserve"> </v>
          </cell>
          <cell r="N177" t="str">
            <v/>
          </cell>
          <cell r="R177"/>
          <cell r="S177"/>
          <cell r="AW177"/>
        </row>
        <row r="178">
          <cell r="F178" t="str">
            <v>06</v>
          </cell>
          <cell r="G178" t="str">
            <v>1</v>
          </cell>
          <cell r="H178" t="str">
            <v>0</v>
          </cell>
          <cell r="I178" t="str">
            <v>0</v>
          </cell>
          <cell r="J178" t="str">
            <v>0</v>
          </cell>
          <cell r="K178"/>
          <cell r="L178" t="str">
            <v>1000</v>
          </cell>
          <cell r="M178" t="str">
            <v>01</v>
          </cell>
          <cell r="N178" t="str">
            <v>0010N/ADistrict Design and Led 17-20</v>
          </cell>
          <cell r="O178" t="str">
            <v>S010A170006</v>
          </cell>
          <cell r="P178" t="str">
            <v>5010</v>
          </cell>
          <cell r="Q178" t="str">
            <v>70*C</v>
          </cell>
          <cell r="R178">
            <v>43168</v>
          </cell>
          <cell r="S178">
            <v>43168</v>
          </cell>
          <cell r="T178">
            <v>18704</v>
          </cell>
          <cell r="AS178">
            <v>0</v>
          </cell>
          <cell r="AT178">
            <v>0</v>
          </cell>
          <cell r="AU178">
            <v>18704</v>
          </cell>
          <cell r="AV178" t="str">
            <v>S010A170006</v>
          </cell>
          <cell r="AW178">
            <v>82968</v>
          </cell>
          <cell r="BC178">
            <v>-5774</v>
          </cell>
          <cell r="BG178">
            <v>-2902</v>
          </cell>
          <cell r="BI178">
            <v>-9780</v>
          </cell>
          <cell r="BM178">
            <v>-12698</v>
          </cell>
          <cell r="BQ178">
            <v>-18558</v>
          </cell>
          <cell r="BW178">
            <v>-49712</v>
          </cell>
          <cell r="BX178">
            <v>0</v>
          </cell>
          <cell r="BY178">
            <v>51960</v>
          </cell>
          <cell r="BZ178" t="str">
            <v>S010A190006</v>
          </cell>
          <cell r="CA178">
            <v>63579</v>
          </cell>
          <cell r="CK178">
            <v>-2400</v>
          </cell>
          <cell r="CO178">
            <v>-9339.4</v>
          </cell>
          <cell r="CS178">
            <v>-13622.83</v>
          </cell>
          <cell r="CW178">
            <v>-10392.529999999999</v>
          </cell>
          <cell r="CY178">
            <v>-5381.12</v>
          </cell>
        </row>
        <row r="179">
          <cell r="F179" t="str">
            <v>06</v>
          </cell>
          <cell r="G179" t="str">
            <v>0</v>
          </cell>
          <cell r="H179" t="str">
            <v>0</v>
          </cell>
          <cell r="I179" t="str">
            <v>1</v>
          </cell>
          <cell r="J179" t="str">
            <v>0</v>
          </cell>
          <cell r="K179"/>
          <cell r="L179" t="str">
            <v>0010</v>
          </cell>
          <cell r="M179" t="str">
            <v>03</v>
          </cell>
          <cell r="N179" t="str">
            <v>0030N/ADistrict Design and Led 19-22</v>
          </cell>
          <cell r="O179"/>
          <cell r="P179" t="str">
            <v>5010</v>
          </cell>
          <cell r="Q179" t="str">
            <v>70*C</v>
          </cell>
          <cell r="R179"/>
          <cell r="S179"/>
          <cell r="T179"/>
          <cell r="U179"/>
          <cell r="V179"/>
          <cell r="W179"/>
          <cell r="X179"/>
          <cell r="Y179"/>
          <cell r="Z179"/>
          <cell r="AA179"/>
          <cell r="AB179"/>
          <cell r="AC179"/>
          <cell r="AD179"/>
          <cell r="AE179"/>
          <cell r="AF179"/>
          <cell r="AG179"/>
          <cell r="AH179"/>
          <cell r="AI179"/>
          <cell r="AJ179"/>
          <cell r="AK179"/>
          <cell r="AL179"/>
          <cell r="AM179"/>
          <cell r="AN179"/>
          <cell r="AO179"/>
          <cell r="AP179"/>
          <cell r="AQ179"/>
          <cell r="AR179"/>
          <cell r="AS179">
            <v>0</v>
          </cell>
          <cell r="AT179">
            <v>0</v>
          </cell>
          <cell r="AU179">
            <v>0</v>
          </cell>
          <cell r="AV179"/>
          <cell r="AW179"/>
          <cell r="AX179"/>
          <cell r="AY179"/>
          <cell r="AZ179"/>
          <cell r="BA179"/>
          <cell r="BB179"/>
          <cell r="BC179"/>
          <cell r="BD179"/>
          <cell r="BE179"/>
          <cell r="BF179"/>
          <cell r="BG179"/>
          <cell r="BH179"/>
          <cell r="BI179"/>
          <cell r="BJ179"/>
          <cell r="BK179"/>
          <cell r="BL179"/>
          <cell r="BM179"/>
          <cell r="BN179"/>
          <cell r="BO179"/>
          <cell r="BP179"/>
          <cell r="BQ179"/>
          <cell r="BR179"/>
          <cell r="BS179"/>
          <cell r="BT179"/>
          <cell r="BU179"/>
          <cell r="BV179"/>
          <cell r="BW179">
            <v>0</v>
          </cell>
          <cell r="BX179">
            <v>0</v>
          </cell>
          <cell r="BY179">
            <v>0</v>
          </cell>
          <cell r="BZ179"/>
          <cell r="CA179"/>
          <cell r="CB179"/>
          <cell r="CC179"/>
          <cell r="CD179">
            <v>27625</v>
          </cell>
          <cell r="CE179"/>
          <cell r="CF179"/>
          <cell r="CG179"/>
          <cell r="CH179"/>
          <cell r="CI179"/>
          <cell r="CJ179"/>
          <cell r="CK179"/>
          <cell r="CL179"/>
          <cell r="CM179"/>
          <cell r="CN179"/>
          <cell r="CO179"/>
          <cell r="CP179"/>
          <cell r="CQ179"/>
          <cell r="CR179"/>
          <cell r="CS179"/>
          <cell r="CT179"/>
          <cell r="CU179"/>
          <cell r="CV179"/>
          <cell r="CW179"/>
          <cell r="CX179"/>
          <cell r="CY179"/>
          <cell r="CZ179"/>
          <cell r="DA179"/>
        </row>
        <row r="180">
          <cell r="F180" t="str">
            <v>06</v>
          </cell>
          <cell r="G180" t="str">
            <v>1</v>
          </cell>
          <cell r="H180" t="str">
            <v>0</v>
          </cell>
          <cell r="I180" t="str">
            <v>0</v>
          </cell>
          <cell r="J180" t="str">
            <v>0</v>
          </cell>
          <cell r="K180"/>
          <cell r="L180" t="str">
            <v>1000</v>
          </cell>
          <cell r="M180" t="str">
            <v>01</v>
          </cell>
          <cell r="N180" t="str">
            <v>0030N/ADistrict Design and Led 17-20</v>
          </cell>
          <cell r="O180" t="str">
            <v>S010A170006</v>
          </cell>
          <cell r="P180" t="str">
            <v>5010</v>
          </cell>
          <cell r="Q180" t="str">
            <v>70*C</v>
          </cell>
          <cell r="R180">
            <v>43168</v>
          </cell>
          <cell r="S180">
            <v>43168</v>
          </cell>
          <cell r="T180">
            <v>25000</v>
          </cell>
          <cell r="AS180">
            <v>0</v>
          </cell>
          <cell r="AT180">
            <v>0</v>
          </cell>
          <cell r="AU180">
            <v>25000</v>
          </cell>
          <cell r="AW180"/>
          <cell r="BW180">
            <v>0</v>
          </cell>
          <cell r="BX180">
            <v>0</v>
          </cell>
          <cell r="BY180">
            <v>25000</v>
          </cell>
        </row>
        <row r="181">
          <cell r="F181"/>
          <cell r="G181"/>
          <cell r="H181"/>
          <cell r="I181"/>
          <cell r="J181"/>
          <cell r="K181"/>
          <cell r="L181"/>
          <cell r="M181"/>
          <cell r="N181" t="str">
            <v>00309999District Design and Led 20-23</v>
          </cell>
          <cell r="P181" t="str">
            <v>5010</v>
          </cell>
          <cell r="Q181"/>
          <cell r="R181"/>
          <cell r="S181"/>
          <cell r="T181"/>
          <cell r="U181"/>
          <cell r="V181"/>
          <cell r="W181"/>
          <cell r="X181"/>
          <cell r="Y181"/>
          <cell r="Z181"/>
          <cell r="AA181"/>
          <cell r="AB181"/>
          <cell r="AC181"/>
          <cell r="AD181"/>
          <cell r="AE181"/>
          <cell r="AF181"/>
          <cell r="AG181"/>
          <cell r="AH181"/>
          <cell r="AI181"/>
          <cell r="AJ181"/>
          <cell r="AK181"/>
          <cell r="AL181"/>
          <cell r="AM181"/>
          <cell r="AN181"/>
          <cell r="AO181"/>
          <cell r="AP181"/>
          <cell r="AQ181"/>
          <cell r="AR181"/>
          <cell r="AS181"/>
          <cell r="AT181"/>
          <cell r="AU181"/>
          <cell r="AV181"/>
          <cell r="AW181"/>
          <cell r="AX181"/>
          <cell r="AY181"/>
          <cell r="AZ181"/>
          <cell r="BA181"/>
          <cell r="BB181"/>
          <cell r="BC181"/>
          <cell r="BD181"/>
          <cell r="BE181"/>
          <cell r="BF181"/>
          <cell r="BG181"/>
          <cell r="BH181"/>
          <cell r="BI181"/>
          <cell r="BJ181"/>
          <cell r="BK181"/>
          <cell r="BL181"/>
          <cell r="BM181"/>
          <cell r="BN181"/>
          <cell r="BO181"/>
          <cell r="BP181"/>
          <cell r="BQ181"/>
          <cell r="BR181"/>
          <cell r="BS181"/>
          <cell r="BT181"/>
          <cell r="BU181"/>
          <cell r="BV181"/>
          <cell r="BW181"/>
          <cell r="BX181"/>
          <cell r="BY181"/>
          <cell r="BZ181"/>
          <cell r="CA181"/>
          <cell r="CB181"/>
          <cell r="CC181"/>
          <cell r="CD181"/>
          <cell r="CE181"/>
          <cell r="CF181"/>
          <cell r="CG181"/>
          <cell r="CH181"/>
          <cell r="CI181"/>
          <cell r="CJ181"/>
          <cell r="CK181"/>
          <cell r="CL181"/>
          <cell r="CM181"/>
          <cell r="CN181"/>
          <cell r="CO181"/>
          <cell r="CP181"/>
          <cell r="CQ181"/>
          <cell r="CR181"/>
          <cell r="CS181"/>
          <cell r="CT181"/>
          <cell r="CU181"/>
          <cell r="CV181"/>
          <cell r="CW181"/>
          <cell r="CX181"/>
          <cell r="CY181"/>
          <cell r="CZ181"/>
          <cell r="DA181"/>
        </row>
        <row r="182">
          <cell r="F182" t="str">
            <v>06</v>
          </cell>
          <cell r="G182" t="str">
            <v>1</v>
          </cell>
          <cell r="H182" t="str">
            <v>0</v>
          </cell>
          <cell r="I182" t="str">
            <v>0</v>
          </cell>
          <cell r="J182" t="str">
            <v>0</v>
          </cell>
          <cell r="K182"/>
          <cell r="L182" t="str">
            <v>1000</v>
          </cell>
          <cell r="M182" t="str">
            <v>01</v>
          </cell>
          <cell r="N182" t="str">
            <v>0050N/ADistrict Design and Led 17-20</v>
          </cell>
          <cell r="O182" t="str">
            <v>S010A170006</v>
          </cell>
          <cell r="P182" t="str">
            <v>5010</v>
          </cell>
          <cell r="Q182" t="str">
            <v>70*C</v>
          </cell>
          <cell r="R182">
            <v>43168</v>
          </cell>
          <cell r="S182">
            <v>43168</v>
          </cell>
          <cell r="T182">
            <v>49872</v>
          </cell>
          <cell r="AO182">
            <v>-49872</v>
          </cell>
          <cell r="AS182">
            <v>-49872</v>
          </cell>
          <cell r="AT182">
            <v>0</v>
          </cell>
          <cell r="AU182">
            <v>0</v>
          </cell>
          <cell r="AV182"/>
          <cell r="AW182"/>
          <cell r="BW182">
            <v>0</v>
          </cell>
          <cell r="BX182">
            <v>0</v>
          </cell>
          <cell r="BY182">
            <v>0</v>
          </cell>
          <cell r="BZ182"/>
        </row>
        <row r="183">
          <cell r="F183" t="str">
            <v>06</v>
          </cell>
          <cell r="G183" t="str">
            <v>1</v>
          </cell>
          <cell r="H183" t="str">
            <v>0</v>
          </cell>
          <cell r="I183" t="str">
            <v>0</v>
          </cell>
          <cell r="J183" t="str">
            <v>0</v>
          </cell>
          <cell r="K183"/>
          <cell r="L183" t="str">
            <v>1000</v>
          </cell>
          <cell r="M183" t="str">
            <v>01</v>
          </cell>
          <cell r="N183" t="str">
            <v>0070N/ADistrict Design and Led 17-20</v>
          </cell>
          <cell r="O183" t="str">
            <v>S010A170006</v>
          </cell>
          <cell r="P183" t="str">
            <v>5010</v>
          </cell>
          <cell r="Q183" t="str">
            <v>70*C</v>
          </cell>
          <cell r="R183">
            <v>43168</v>
          </cell>
          <cell r="S183">
            <v>43168</v>
          </cell>
          <cell r="T183">
            <v>358789</v>
          </cell>
          <cell r="AS183">
            <v>0</v>
          </cell>
          <cell r="AT183">
            <v>0</v>
          </cell>
          <cell r="AU183">
            <v>358789</v>
          </cell>
          <cell r="AV183"/>
          <cell r="AW183"/>
          <cell r="BC183">
            <v>-1746</v>
          </cell>
          <cell r="BE183">
            <v>-9359</v>
          </cell>
          <cell r="BG183">
            <v>-5636</v>
          </cell>
          <cell r="BI183">
            <v>-30766</v>
          </cell>
          <cell r="BK183">
            <v>-12952</v>
          </cell>
          <cell r="BM183">
            <v>-37200</v>
          </cell>
          <cell r="BO183">
            <v>-24226</v>
          </cell>
          <cell r="BQ183">
            <v>-10500</v>
          </cell>
          <cell r="BW183">
            <v>-132385</v>
          </cell>
          <cell r="BX183">
            <v>0</v>
          </cell>
          <cell r="BY183">
            <v>226404</v>
          </cell>
          <cell r="BZ183"/>
          <cell r="CE183">
            <v>-154595.37</v>
          </cell>
          <cell r="CU183">
            <v>-33500</v>
          </cell>
          <cell r="CW183">
            <v>-32744.7</v>
          </cell>
          <cell r="CY183">
            <v>-3400</v>
          </cell>
        </row>
        <row r="184">
          <cell r="F184" t="str">
            <v>06</v>
          </cell>
          <cell r="G184" t="str">
            <v>0</v>
          </cell>
          <cell r="H184" t="str">
            <v>1</v>
          </cell>
          <cell r="I184" t="str">
            <v>0</v>
          </cell>
          <cell r="J184" t="str">
            <v>0</v>
          </cell>
          <cell r="K184"/>
          <cell r="L184" t="str">
            <v>0100</v>
          </cell>
          <cell r="M184" t="str">
            <v>02</v>
          </cell>
          <cell r="N184" t="str">
            <v>0070N/ADistrict Design and Led 18-21</v>
          </cell>
          <cell r="P184" t="str">
            <v>5010</v>
          </cell>
          <cell r="Q184" t="str">
            <v>70*C</v>
          </cell>
          <cell r="R184"/>
          <cell r="S184"/>
          <cell r="AS184">
            <v>0</v>
          </cell>
          <cell r="AT184">
            <v>0</v>
          </cell>
          <cell r="AU184">
            <v>0</v>
          </cell>
          <cell r="AV184" t="str">
            <v>S010A180006</v>
          </cell>
          <cell r="AW184"/>
          <cell r="AX184">
            <v>135500</v>
          </cell>
          <cell r="BS184">
            <v>-5869</v>
          </cell>
          <cell r="BU184">
            <v>-25200</v>
          </cell>
          <cell r="BW184">
            <v>-31069</v>
          </cell>
          <cell r="BX184">
            <v>0</v>
          </cell>
          <cell r="BY184">
            <v>104431</v>
          </cell>
          <cell r="BZ184"/>
          <cell r="CG184">
            <v>-40679.279999999999</v>
          </cell>
          <cell r="CQ184">
            <v>-10500</v>
          </cell>
          <cell r="CS184">
            <v>-1050</v>
          </cell>
        </row>
        <row r="185">
          <cell r="F185"/>
          <cell r="G185"/>
          <cell r="H185"/>
          <cell r="I185"/>
          <cell r="J185"/>
          <cell r="K185"/>
          <cell r="L185"/>
          <cell r="M185"/>
          <cell r="N185" t="str">
            <v>00703931District Design and Led 20-23</v>
          </cell>
          <cell r="P185" t="str">
            <v>5010</v>
          </cell>
          <cell r="Q185"/>
          <cell r="R185"/>
          <cell r="S185"/>
          <cell r="T185"/>
          <cell r="U185"/>
          <cell r="V185"/>
          <cell r="W185"/>
          <cell r="X185"/>
          <cell r="Y185"/>
          <cell r="Z185"/>
          <cell r="AA185"/>
          <cell r="AB185"/>
          <cell r="AC185"/>
          <cell r="AD185"/>
          <cell r="AE185"/>
          <cell r="AF185"/>
          <cell r="AG185"/>
          <cell r="AH185"/>
          <cell r="AI185"/>
          <cell r="AJ185"/>
          <cell r="AK185"/>
          <cell r="AL185"/>
          <cell r="AM185"/>
          <cell r="AN185"/>
          <cell r="AO185"/>
          <cell r="AP185"/>
          <cell r="AQ185"/>
          <cell r="AR185"/>
          <cell r="AS185"/>
          <cell r="AT185"/>
          <cell r="AU185"/>
          <cell r="AV185"/>
          <cell r="AW185"/>
          <cell r="AX185"/>
          <cell r="AY185"/>
          <cell r="AZ185"/>
          <cell r="BA185"/>
          <cell r="BB185"/>
          <cell r="BC185"/>
          <cell r="BD185"/>
          <cell r="BE185"/>
          <cell r="BF185"/>
          <cell r="BG185"/>
          <cell r="BH185"/>
          <cell r="BI185"/>
          <cell r="BJ185"/>
          <cell r="BK185"/>
          <cell r="BL185"/>
          <cell r="BM185"/>
          <cell r="BN185"/>
          <cell r="BO185"/>
          <cell r="BP185"/>
          <cell r="BQ185"/>
          <cell r="BR185"/>
          <cell r="BS185"/>
          <cell r="BT185"/>
          <cell r="BU185"/>
          <cell r="BV185"/>
          <cell r="BW185"/>
          <cell r="BX185"/>
          <cell r="BY185"/>
          <cell r="BZ185"/>
          <cell r="CA185"/>
          <cell r="CB185"/>
          <cell r="CC185"/>
          <cell r="CD185"/>
          <cell r="CE185"/>
          <cell r="CF185"/>
          <cell r="CG185"/>
          <cell r="CH185"/>
          <cell r="CI185"/>
          <cell r="CJ185"/>
          <cell r="CK185"/>
          <cell r="CL185"/>
          <cell r="CM185"/>
          <cell r="CN185"/>
          <cell r="CO185"/>
          <cell r="CP185"/>
          <cell r="CQ185"/>
          <cell r="CR185"/>
          <cell r="CS185"/>
          <cell r="CT185"/>
          <cell r="CU185"/>
          <cell r="CV185"/>
          <cell r="CW185"/>
          <cell r="CX185"/>
          <cell r="CY185"/>
          <cell r="CZ185"/>
          <cell r="DA185"/>
        </row>
        <row r="186">
          <cell r="F186" t="str">
            <v>06</v>
          </cell>
          <cell r="G186" t="str">
            <v>0</v>
          </cell>
          <cell r="H186" t="str">
            <v>1</v>
          </cell>
          <cell r="I186" t="str">
            <v>0</v>
          </cell>
          <cell r="J186" t="str">
            <v>0</v>
          </cell>
          <cell r="K186"/>
          <cell r="L186" t="str">
            <v>0100</v>
          </cell>
          <cell r="M186" t="str">
            <v>02</v>
          </cell>
          <cell r="N186" t="str">
            <v>0120N/ADistrict Design and Led 18-21</v>
          </cell>
          <cell r="P186" t="str">
            <v>5010</v>
          </cell>
          <cell r="Q186" t="str">
            <v>70*C</v>
          </cell>
          <cell r="R186"/>
          <cell r="S186"/>
          <cell r="AS186">
            <v>0</v>
          </cell>
          <cell r="AT186">
            <v>0</v>
          </cell>
          <cell r="AU186">
            <v>0</v>
          </cell>
          <cell r="AV186" t="str">
            <v>S010A180006</v>
          </cell>
          <cell r="AW186"/>
          <cell r="AX186">
            <v>10525</v>
          </cell>
          <cell r="BW186">
            <v>0</v>
          </cell>
          <cell r="BX186">
            <v>0</v>
          </cell>
          <cell r="BY186">
            <v>10525</v>
          </cell>
          <cell r="BZ186" t="str">
            <v>S010A190006</v>
          </cell>
          <cell r="CB186">
            <v>74124</v>
          </cell>
          <cell r="CE186">
            <v>-9163</v>
          </cell>
          <cell r="CU186">
            <v>-11126</v>
          </cell>
          <cell r="CW186">
            <v>-270</v>
          </cell>
        </row>
        <row r="187">
          <cell r="F187" t="str">
            <v>06</v>
          </cell>
          <cell r="G187" t="str">
            <v>0</v>
          </cell>
          <cell r="H187" t="str">
            <v>0</v>
          </cell>
          <cell r="I187" t="str">
            <v>1</v>
          </cell>
          <cell r="J187" t="str">
            <v>0</v>
          </cell>
          <cell r="K187"/>
          <cell r="L187" t="str">
            <v>0010</v>
          </cell>
          <cell r="M187" t="str">
            <v>03</v>
          </cell>
          <cell r="N187" t="str">
            <v>01233054District Design and Led 19-22</v>
          </cell>
          <cell r="O187"/>
          <cell r="P187" t="str">
            <v>5010</v>
          </cell>
          <cell r="Q187" t="str">
            <v>70*C</v>
          </cell>
          <cell r="R187"/>
          <cell r="S187"/>
          <cell r="T187"/>
          <cell r="U187"/>
          <cell r="V187"/>
          <cell r="W187"/>
          <cell r="X187"/>
          <cell r="Y187"/>
          <cell r="Z187"/>
          <cell r="AA187"/>
          <cell r="AB187"/>
          <cell r="AC187"/>
          <cell r="AD187"/>
          <cell r="AE187"/>
          <cell r="AF187"/>
          <cell r="AG187"/>
          <cell r="AH187"/>
          <cell r="AI187"/>
          <cell r="AJ187"/>
          <cell r="AK187"/>
          <cell r="AL187"/>
          <cell r="AM187"/>
          <cell r="AN187"/>
          <cell r="AO187"/>
          <cell r="AP187"/>
          <cell r="AQ187"/>
          <cell r="AR187"/>
          <cell r="AS187">
            <v>0</v>
          </cell>
          <cell r="AT187">
            <v>0</v>
          </cell>
          <cell r="AU187">
            <v>0</v>
          </cell>
          <cell r="AV187"/>
          <cell r="AW187"/>
          <cell r="AX187"/>
          <cell r="AY187"/>
          <cell r="AZ187"/>
          <cell r="BA187"/>
          <cell r="BB187"/>
          <cell r="BC187"/>
          <cell r="BD187"/>
          <cell r="BE187"/>
          <cell r="BF187"/>
          <cell r="BG187"/>
          <cell r="BH187"/>
          <cell r="BI187"/>
          <cell r="BJ187"/>
          <cell r="BK187"/>
          <cell r="BL187"/>
          <cell r="BM187"/>
          <cell r="BN187"/>
          <cell r="BO187"/>
          <cell r="BP187"/>
          <cell r="BQ187"/>
          <cell r="BR187"/>
          <cell r="BS187"/>
          <cell r="BT187"/>
          <cell r="BU187"/>
          <cell r="BV187"/>
          <cell r="BW187">
            <v>0</v>
          </cell>
          <cell r="BX187">
            <v>0</v>
          </cell>
          <cell r="BY187">
            <v>0</v>
          </cell>
          <cell r="BZ187"/>
          <cell r="CA187"/>
          <cell r="CB187"/>
          <cell r="CC187"/>
          <cell r="CD187">
            <v>37150.1</v>
          </cell>
          <cell r="CE187"/>
          <cell r="CF187"/>
          <cell r="CG187"/>
          <cell r="CH187"/>
          <cell r="CI187"/>
          <cell r="CJ187"/>
          <cell r="CK187"/>
          <cell r="CL187"/>
          <cell r="CM187"/>
          <cell r="CN187"/>
          <cell r="CO187"/>
          <cell r="CP187"/>
          <cell r="CQ187"/>
          <cell r="CR187"/>
          <cell r="CS187"/>
          <cell r="CT187"/>
          <cell r="CU187"/>
          <cell r="CV187"/>
          <cell r="CW187"/>
          <cell r="CX187"/>
          <cell r="CY187">
            <v>-826.03</v>
          </cell>
          <cell r="CZ187"/>
          <cell r="DA187"/>
        </row>
        <row r="188">
          <cell r="F188" t="str">
            <v>06</v>
          </cell>
          <cell r="G188" t="str">
            <v>1</v>
          </cell>
          <cell r="H188" t="str">
            <v>0</v>
          </cell>
          <cell r="I188" t="str">
            <v>0</v>
          </cell>
          <cell r="J188" t="str">
            <v>0</v>
          </cell>
          <cell r="K188"/>
          <cell r="L188" t="str">
            <v>1000</v>
          </cell>
          <cell r="M188" t="str">
            <v>01</v>
          </cell>
          <cell r="N188" t="str">
            <v>01238123District Design and Led 17-20</v>
          </cell>
          <cell r="O188" t="str">
            <v>S010A170006</v>
          </cell>
          <cell r="P188" t="str">
            <v>5010</v>
          </cell>
          <cell r="Q188" t="str">
            <v>70*C</v>
          </cell>
          <cell r="R188">
            <v>43168</v>
          </cell>
          <cell r="S188">
            <v>43168</v>
          </cell>
          <cell r="T188">
            <v>86765</v>
          </cell>
          <cell r="AQ188">
            <v>-25257</v>
          </cell>
          <cell r="AS188">
            <v>-25257</v>
          </cell>
          <cell r="AT188">
            <v>0</v>
          </cell>
          <cell r="AU188">
            <v>61508</v>
          </cell>
          <cell r="AV188" t="str">
            <v>S010A170006</v>
          </cell>
          <cell r="AW188">
            <v>224141</v>
          </cell>
          <cell r="BA188">
            <v>-26648</v>
          </cell>
          <cell r="BG188">
            <v>-70161</v>
          </cell>
          <cell r="BI188">
            <v>-4037</v>
          </cell>
          <cell r="BO188">
            <v>-36149</v>
          </cell>
          <cell r="BS188">
            <v>-30074</v>
          </cell>
          <cell r="BW188">
            <v>-167069</v>
          </cell>
          <cell r="BX188">
            <v>0</v>
          </cell>
          <cell r="BY188">
            <v>118580</v>
          </cell>
          <cell r="BZ188" t="str">
            <v>S010A190006</v>
          </cell>
          <cell r="CA188">
            <v>129184</v>
          </cell>
          <cell r="CK188">
            <v>-21863.1</v>
          </cell>
          <cell r="CO188">
            <v>-46769.73</v>
          </cell>
          <cell r="CU188">
            <v>-38333.26</v>
          </cell>
          <cell r="CY188">
            <v>-56505.490000000005</v>
          </cell>
          <cell r="DA188">
            <v>-18074.099999999999</v>
          </cell>
        </row>
        <row r="189">
          <cell r="F189" t="str">
            <v>06</v>
          </cell>
          <cell r="G189" t="str">
            <v>0</v>
          </cell>
          <cell r="H189" t="str">
            <v>0</v>
          </cell>
          <cell r="I189" t="str">
            <v>1</v>
          </cell>
          <cell r="J189" t="str">
            <v>0</v>
          </cell>
          <cell r="K189"/>
          <cell r="L189" t="str">
            <v>0010</v>
          </cell>
          <cell r="M189" t="str">
            <v>03</v>
          </cell>
          <cell r="N189" t="str">
            <v>01303988District Design and Led 19-22</v>
          </cell>
          <cell r="O189"/>
          <cell r="P189" t="str">
            <v>5010</v>
          </cell>
          <cell r="Q189" t="str">
            <v>70*C</v>
          </cell>
          <cell r="R189"/>
          <cell r="S189"/>
          <cell r="T189"/>
          <cell r="U189"/>
          <cell r="V189"/>
          <cell r="W189"/>
          <cell r="X189"/>
          <cell r="Y189"/>
          <cell r="Z189"/>
          <cell r="AA189"/>
          <cell r="AB189"/>
          <cell r="AC189"/>
          <cell r="AD189"/>
          <cell r="AE189"/>
          <cell r="AF189"/>
          <cell r="AG189"/>
          <cell r="AH189"/>
          <cell r="AI189"/>
          <cell r="AJ189"/>
          <cell r="AK189"/>
          <cell r="AL189"/>
          <cell r="AM189"/>
          <cell r="AN189"/>
          <cell r="AO189"/>
          <cell r="AP189"/>
          <cell r="AQ189"/>
          <cell r="AR189"/>
          <cell r="AS189">
            <v>0</v>
          </cell>
          <cell r="AT189">
            <v>0</v>
          </cell>
          <cell r="AU189">
            <v>0</v>
          </cell>
          <cell r="AV189"/>
          <cell r="AW189"/>
          <cell r="AX189"/>
          <cell r="AY189"/>
          <cell r="AZ189"/>
          <cell r="BA189"/>
          <cell r="BB189"/>
          <cell r="BC189"/>
          <cell r="BD189"/>
          <cell r="BE189"/>
          <cell r="BF189"/>
          <cell r="BG189"/>
          <cell r="BH189"/>
          <cell r="BI189"/>
          <cell r="BJ189"/>
          <cell r="BK189"/>
          <cell r="BL189"/>
          <cell r="BM189"/>
          <cell r="BN189"/>
          <cell r="BO189"/>
          <cell r="BP189"/>
          <cell r="BQ189"/>
          <cell r="BR189"/>
          <cell r="BS189"/>
          <cell r="BT189"/>
          <cell r="BU189"/>
          <cell r="BV189"/>
          <cell r="BW189">
            <v>0</v>
          </cell>
          <cell r="BX189">
            <v>0</v>
          </cell>
          <cell r="BY189">
            <v>0</v>
          </cell>
          <cell r="BZ189"/>
          <cell r="CA189"/>
          <cell r="CB189"/>
          <cell r="CC189"/>
          <cell r="CD189">
            <v>54337.013632429997</v>
          </cell>
          <cell r="CE189"/>
          <cell r="CF189"/>
          <cell r="CG189"/>
          <cell r="CH189"/>
          <cell r="CI189"/>
          <cell r="CJ189"/>
          <cell r="CK189"/>
          <cell r="CL189"/>
          <cell r="CM189"/>
          <cell r="CN189"/>
          <cell r="CO189"/>
          <cell r="CP189"/>
          <cell r="CQ189"/>
          <cell r="CR189"/>
          <cell r="CS189"/>
          <cell r="CT189"/>
          <cell r="CU189"/>
          <cell r="CV189"/>
          <cell r="CW189"/>
          <cell r="CX189"/>
          <cell r="CY189"/>
          <cell r="CZ189"/>
          <cell r="DA189"/>
        </row>
        <row r="190">
          <cell r="F190"/>
          <cell r="G190"/>
          <cell r="H190"/>
          <cell r="I190"/>
          <cell r="J190"/>
          <cell r="K190"/>
          <cell r="L190"/>
          <cell r="M190"/>
          <cell r="N190" t="str">
            <v>01702136District Design and Led 20-23</v>
          </cell>
          <cell r="P190" t="str">
            <v>5010</v>
          </cell>
          <cell r="Q190"/>
          <cell r="R190"/>
          <cell r="S190"/>
          <cell r="T190"/>
          <cell r="U190"/>
          <cell r="V190"/>
          <cell r="W190"/>
          <cell r="X190"/>
          <cell r="Y190"/>
          <cell r="Z190"/>
          <cell r="AA190"/>
          <cell r="AB190"/>
          <cell r="AC190"/>
          <cell r="AD190"/>
          <cell r="AE190"/>
          <cell r="AF190"/>
          <cell r="AG190"/>
          <cell r="AH190"/>
          <cell r="AI190"/>
          <cell r="AJ190"/>
          <cell r="AK190"/>
          <cell r="AL190"/>
          <cell r="AM190"/>
          <cell r="AN190"/>
          <cell r="AO190"/>
          <cell r="AP190"/>
          <cell r="AQ190"/>
          <cell r="AR190"/>
          <cell r="AS190"/>
          <cell r="AT190"/>
          <cell r="AU190"/>
          <cell r="AV190"/>
          <cell r="AW190"/>
          <cell r="AX190"/>
          <cell r="AY190"/>
          <cell r="AZ190"/>
          <cell r="BA190"/>
          <cell r="BB190"/>
          <cell r="BC190"/>
          <cell r="BD190"/>
          <cell r="BE190"/>
          <cell r="BF190"/>
          <cell r="BG190"/>
          <cell r="BH190"/>
          <cell r="BI190"/>
          <cell r="BJ190"/>
          <cell r="BK190"/>
          <cell r="BL190"/>
          <cell r="BM190"/>
          <cell r="BN190"/>
          <cell r="BO190"/>
          <cell r="BP190"/>
          <cell r="BQ190"/>
          <cell r="BR190"/>
          <cell r="BS190"/>
          <cell r="BT190"/>
          <cell r="BU190"/>
          <cell r="BV190"/>
          <cell r="BW190"/>
          <cell r="BX190"/>
          <cell r="BY190"/>
          <cell r="BZ190"/>
          <cell r="CA190"/>
          <cell r="CB190"/>
          <cell r="CC190"/>
          <cell r="CD190"/>
          <cell r="CE190"/>
          <cell r="CF190"/>
          <cell r="CG190"/>
          <cell r="CH190"/>
          <cell r="CI190"/>
          <cell r="CJ190"/>
          <cell r="CK190"/>
          <cell r="CL190"/>
          <cell r="CM190"/>
          <cell r="CN190"/>
          <cell r="CO190"/>
          <cell r="CP190"/>
          <cell r="CQ190"/>
          <cell r="CR190"/>
          <cell r="CS190"/>
          <cell r="CT190"/>
          <cell r="CU190"/>
          <cell r="CV190"/>
          <cell r="CW190"/>
          <cell r="CX190"/>
          <cell r="CY190"/>
          <cell r="CZ190"/>
          <cell r="DA190"/>
        </row>
        <row r="191">
          <cell r="F191" t="str">
            <v>06</v>
          </cell>
          <cell r="G191" t="str">
            <v>0</v>
          </cell>
          <cell r="H191" t="str">
            <v>0</v>
          </cell>
          <cell r="I191" t="str">
            <v>0</v>
          </cell>
          <cell r="J191" t="str">
            <v>1</v>
          </cell>
          <cell r="K191"/>
          <cell r="L191" t="str">
            <v>0001</v>
          </cell>
          <cell r="M191" t="str">
            <v>04</v>
          </cell>
          <cell r="N191" t="str">
            <v>01809060District Design and Led 20-23</v>
          </cell>
          <cell r="P191" t="str">
            <v>5010</v>
          </cell>
          <cell r="Q191"/>
          <cell r="R191"/>
          <cell r="S191"/>
          <cell r="T191"/>
          <cell r="U191"/>
          <cell r="V191"/>
          <cell r="W191"/>
          <cell r="X191"/>
          <cell r="Y191"/>
          <cell r="Z191"/>
          <cell r="AA191"/>
          <cell r="AB191"/>
          <cell r="AC191"/>
          <cell r="AD191"/>
          <cell r="AE191"/>
          <cell r="AF191"/>
          <cell r="AG191"/>
          <cell r="AH191"/>
          <cell r="AI191"/>
          <cell r="AJ191"/>
          <cell r="AK191"/>
          <cell r="AL191"/>
          <cell r="AM191"/>
          <cell r="AN191"/>
          <cell r="AO191"/>
          <cell r="AP191"/>
          <cell r="AQ191"/>
          <cell r="AR191"/>
          <cell r="AS191"/>
          <cell r="AT191"/>
          <cell r="AU191"/>
          <cell r="AV191"/>
          <cell r="AW191"/>
          <cell r="AX191"/>
          <cell r="AY191"/>
          <cell r="AZ191"/>
          <cell r="BA191"/>
          <cell r="BB191"/>
          <cell r="BC191"/>
          <cell r="BD191"/>
          <cell r="BE191"/>
          <cell r="BF191"/>
          <cell r="BG191"/>
          <cell r="BH191"/>
          <cell r="BI191"/>
          <cell r="BJ191"/>
          <cell r="BK191"/>
          <cell r="BL191"/>
          <cell r="BM191"/>
          <cell r="BN191"/>
          <cell r="BO191"/>
          <cell r="BP191"/>
          <cell r="BQ191"/>
          <cell r="BR191"/>
          <cell r="BS191"/>
          <cell r="BT191"/>
          <cell r="BU191"/>
          <cell r="BV191"/>
          <cell r="BW191"/>
          <cell r="BX191"/>
          <cell r="BY191"/>
          <cell r="BZ191"/>
          <cell r="CA191"/>
          <cell r="CB191"/>
          <cell r="CC191"/>
          <cell r="CD191"/>
          <cell r="CE191"/>
          <cell r="CF191"/>
          <cell r="CG191"/>
          <cell r="CH191"/>
          <cell r="CI191"/>
          <cell r="CJ191"/>
          <cell r="CK191"/>
          <cell r="CL191"/>
          <cell r="CM191"/>
          <cell r="CN191"/>
          <cell r="CO191"/>
          <cell r="CP191"/>
          <cell r="CQ191"/>
          <cell r="CR191"/>
          <cell r="CS191"/>
          <cell r="CT191"/>
          <cell r="CU191"/>
          <cell r="CV191"/>
          <cell r="CW191"/>
          <cell r="CX191"/>
          <cell r="CY191"/>
          <cell r="CZ191"/>
          <cell r="DA191"/>
        </row>
        <row r="192">
          <cell r="F192" t="str">
            <v>06</v>
          </cell>
          <cell r="G192" t="str">
            <v>0</v>
          </cell>
          <cell r="H192" t="str">
            <v>1</v>
          </cell>
          <cell r="I192" t="str">
            <v>0</v>
          </cell>
          <cell r="J192" t="str">
            <v>0</v>
          </cell>
          <cell r="K192"/>
          <cell r="L192" t="str">
            <v>0100</v>
          </cell>
          <cell r="M192" t="str">
            <v>02</v>
          </cell>
          <cell r="N192" t="str">
            <v>0180N/ADistrict Design and Led 18-21</v>
          </cell>
          <cell r="P192" t="str">
            <v>5010</v>
          </cell>
          <cell r="Q192" t="str">
            <v>70*C</v>
          </cell>
          <cell r="R192"/>
          <cell r="S192"/>
          <cell r="AS192">
            <v>0</v>
          </cell>
          <cell r="AT192">
            <v>0</v>
          </cell>
          <cell r="AU192">
            <v>0</v>
          </cell>
          <cell r="AV192" t="str">
            <v>S010A180006</v>
          </cell>
          <cell r="AW192"/>
          <cell r="AX192">
            <v>155183</v>
          </cell>
          <cell r="BW192">
            <v>0</v>
          </cell>
          <cell r="BX192">
            <v>0</v>
          </cell>
          <cell r="BY192">
            <v>155183</v>
          </cell>
          <cell r="BZ192" t="str">
            <v>S010A190006</v>
          </cell>
          <cell r="CB192">
            <v>451500</v>
          </cell>
          <cell r="CI192">
            <v>-12260.58</v>
          </cell>
          <cell r="CM192">
            <v>-46772.86</v>
          </cell>
        </row>
        <row r="193">
          <cell r="F193" t="str">
            <v>06</v>
          </cell>
          <cell r="G193" t="str">
            <v>0</v>
          </cell>
          <cell r="H193" t="str">
            <v>0</v>
          </cell>
          <cell r="I193" t="str">
            <v>1</v>
          </cell>
          <cell r="J193" t="str">
            <v>0</v>
          </cell>
          <cell r="K193"/>
          <cell r="L193" t="str">
            <v>0010</v>
          </cell>
          <cell r="M193" t="str">
            <v>03</v>
          </cell>
          <cell r="N193" t="str">
            <v>05004085District Design and Led 19-22</v>
          </cell>
          <cell r="O193"/>
          <cell r="P193" t="str">
            <v>5010</v>
          </cell>
          <cell r="Q193" t="str">
            <v>70*C</v>
          </cell>
          <cell r="R193"/>
          <cell r="S193"/>
          <cell r="T193"/>
          <cell r="U193"/>
          <cell r="V193"/>
          <cell r="W193"/>
          <cell r="X193"/>
          <cell r="Y193"/>
          <cell r="Z193"/>
          <cell r="AA193"/>
          <cell r="AB193"/>
          <cell r="AC193"/>
          <cell r="AD193"/>
          <cell r="AE193"/>
          <cell r="AF193"/>
          <cell r="AG193"/>
          <cell r="AH193"/>
          <cell r="AI193"/>
          <cell r="AJ193"/>
          <cell r="AK193"/>
          <cell r="AL193"/>
          <cell r="AM193"/>
          <cell r="AN193"/>
          <cell r="AO193"/>
          <cell r="AP193"/>
          <cell r="AQ193"/>
          <cell r="AR193"/>
          <cell r="AS193">
            <v>0</v>
          </cell>
          <cell r="AT193">
            <v>0</v>
          </cell>
          <cell r="AU193">
            <v>0</v>
          </cell>
          <cell r="AV193"/>
          <cell r="AW193"/>
          <cell r="AX193"/>
          <cell r="AY193"/>
          <cell r="AZ193"/>
          <cell r="BA193"/>
          <cell r="BB193"/>
          <cell r="BC193"/>
          <cell r="BD193"/>
          <cell r="BE193"/>
          <cell r="BF193"/>
          <cell r="BG193"/>
          <cell r="BH193"/>
          <cell r="BI193"/>
          <cell r="BJ193"/>
          <cell r="BK193"/>
          <cell r="BL193"/>
          <cell r="BM193"/>
          <cell r="BN193"/>
          <cell r="BO193"/>
          <cell r="BP193"/>
          <cell r="BQ193"/>
          <cell r="BR193"/>
          <cell r="BS193"/>
          <cell r="BT193"/>
          <cell r="BU193"/>
          <cell r="BV193"/>
          <cell r="BW193">
            <v>0</v>
          </cell>
          <cell r="BX193">
            <v>0</v>
          </cell>
          <cell r="BY193">
            <v>0</v>
          </cell>
          <cell r="BZ193"/>
          <cell r="CA193"/>
          <cell r="CB193"/>
          <cell r="CC193"/>
          <cell r="CD193">
            <v>55106.35</v>
          </cell>
          <cell r="CE193"/>
          <cell r="CF193"/>
          <cell r="CG193"/>
          <cell r="CH193"/>
          <cell r="CI193"/>
          <cell r="CJ193"/>
          <cell r="CK193"/>
          <cell r="CL193"/>
          <cell r="CM193"/>
          <cell r="CN193"/>
          <cell r="CO193"/>
          <cell r="CP193"/>
          <cell r="CQ193"/>
          <cell r="CR193"/>
          <cell r="CS193"/>
          <cell r="CT193"/>
          <cell r="CU193">
            <v>-4800.53</v>
          </cell>
          <cell r="CV193"/>
          <cell r="CW193"/>
          <cell r="CX193"/>
          <cell r="CY193">
            <v>-825</v>
          </cell>
          <cell r="CZ193"/>
          <cell r="DA193">
            <v>-12928.95</v>
          </cell>
        </row>
        <row r="194">
          <cell r="F194" t="str">
            <v>06</v>
          </cell>
          <cell r="G194" t="str">
            <v>0</v>
          </cell>
          <cell r="H194" t="str">
            <v>0</v>
          </cell>
          <cell r="I194" t="str">
            <v>1</v>
          </cell>
          <cell r="J194" t="str">
            <v>0</v>
          </cell>
          <cell r="K194"/>
          <cell r="L194" t="str">
            <v>0010</v>
          </cell>
          <cell r="M194" t="str">
            <v>03</v>
          </cell>
          <cell r="N194" t="str">
            <v>05800248District Design and Led 19-22</v>
          </cell>
          <cell r="O194"/>
          <cell r="P194" t="str">
            <v>5010</v>
          </cell>
          <cell r="Q194" t="str">
            <v>70*C</v>
          </cell>
          <cell r="R194"/>
          <cell r="S194"/>
          <cell r="T194"/>
          <cell r="U194"/>
          <cell r="V194"/>
          <cell r="W194"/>
          <cell r="X194"/>
          <cell r="Y194"/>
          <cell r="Z194"/>
          <cell r="AA194"/>
          <cell r="AB194"/>
          <cell r="AC194"/>
          <cell r="AD194"/>
          <cell r="AE194"/>
          <cell r="AF194"/>
          <cell r="AG194"/>
          <cell r="AH194"/>
          <cell r="AI194"/>
          <cell r="AJ194"/>
          <cell r="AK194"/>
          <cell r="AL194"/>
          <cell r="AM194"/>
          <cell r="AN194"/>
          <cell r="AO194"/>
          <cell r="AP194"/>
          <cell r="AQ194"/>
          <cell r="AR194"/>
          <cell r="AS194">
            <v>0</v>
          </cell>
          <cell r="AT194">
            <v>0</v>
          </cell>
          <cell r="AU194">
            <v>0</v>
          </cell>
          <cell r="AV194"/>
          <cell r="AW194"/>
          <cell r="AX194"/>
          <cell r="AY194"/>
          <cell r="AZ194"/>
          <cell r="BA194"/>
          <cell r="BB194"/>
          <cell r="BC194"/>
          <cell r="BD194"/>
          <cell r="BE194"/>
          <cell r="BF194"/>
          <cell r="BG194"/>
          <cell r="BH194"/>
          <cell r="BI194"/>
          <cell r="BJ194"/>
          <cell r="BK194"/>
          <cell r="BL194"/>
          <cell r="BM194"/>
          <cell r="BN194"/>
          <cell r="BO194"/>
          <cell r="BP194"/>
          <cell r="BQ194"/>
          <cell r="BR194"/>
          <cell r="BS194"/>
          <cell r="BT194"/>
          <cell r="BU194"/>
          <cell r="BV194"/>
          <cell r="BW194">
            <v>0</v>
          </cell>
          <cell r="BX194">
            <v>0</v>
          </cell>
          <cell r="BY194">
            <v>0</v>
          </cell>
          <cell r="BZ194"/>
          <cell r="CA194"/>
          <cell r="CB194"/>
          <cell r="CC194"/>
          <cell r="CD194">
            <v>5000</v>
          </cell>
          <cell r="CE194"/>
          <cell r="CF194"/>
          <cell r="CG194"/>
          <cell r="CH194"/>
          <cell r="CI194"/>
          <cell r="CJ194"/>
          <cell r="CK194"/>
          <cell r="CL194"/>
          <cell r="CM194"/>
          <cell r="CN194"/>
          <cell r="CO194"/>
          <cell r="CP194"/>
          <cell r="CQ194"/>
          <cell r="CR194"/>
          <cell r="CS194"/>
          <cell r="CT194"/>
          <cell r="CU194"/>
          <cell r="CV194"/>
          <cell r="CW194">
            <v>-5000</v>
          </cell>
          <cell r="CX194"/>
          <cell r="CY194"/>
          <cell r="CZ194"/>
          <cell r="DA194"/>
        </row>
        <row r="195">
          <cell r="F195" t="str">
            <v>06</v>
          </cell>
          <cell r="G195" t="str">
            <v>0</v>
          </cell>
          <cell r="H195" t="str">
            <v>0</v>
          </cell>
          <cell r="I195" t="str">
            <v>1</v>
          </cell>
          <cell r="J195" t="str">
            <v>0</v>
          </cell>
          <cell r="K195"/>
          <cell r="L195" t="str">
            <v>0010</v>
          </cell>
          <cell r="M195" t="str">
            <v>03</v>
          </cell>
          <cell r="N195" t="str">
            <v>05800252District Design and Led 19-22</v>
          </cell>
          <cell r="O195"/>
          <cell r="P195" t="str">
            <v>5010</v>
          </cell>
          <cell r="Q195" t="str">
            <v>70*C</v>
          </cell>
          <cell r="R195"/>
          <cell r="S195"/>
          <cell r="T195"/>
          <cell r="U195"/>
          <cell r="V195"/>
          <cell r="W195"/>
          <cell r="X195"/>
          <cell r="Y195"/>
          <cell r="Z195"/>
          <cell r="AA195"/>
          <cell r="AB195"/>
          <cell r="AC195"/>
          <cell r="AD195"/>
          <cell r="AE195"/>
          <cell r="AF195"/>
          <cell r="AG195"/>
          <cell r="AH195"/>
          <cell r="AI195"/>
          <cell r="AJ195"/>
          <cell r="AK195"/>
          <cell r="AL195"/>
          <cell r="AM195"/>
          <cell r="AN195"/>
          <cell r="AO195"/>
          <cell r="AP195"/>
          <cell r="AQ195"/>
          <cell r="AR195"/>
          <cell r="AS195">
            <v>0</v>
          </cell>
          <cell r="AT195">
            <v>0</v>
          </cell>
          <cell r="AU195">
            <v>0</v>
          </cell>
          <cell r="AV195"/>
          <cell r="AW195"/>
          <cell r="AX195"/>
          <cell r="AY195"/>
          <cell r="AZ195"/>
          <cell r="BA195"/>
          <cell r="BB195"/>
          <cell r="BC195"/>
          <cell r="BD195"/>
          <cell r="BE195"/>
          <cell r="BF195"/>
          <cell r="BG195"/>
          <cell r="BH195"/>
          <cell r="BI195"/>
          <cell r="BJ195"/>
          <cell r="BK195"/>
          <cell r="BL195"/>
          <cell r="BM195"/>
          <cell r="BN195"/>
          <cell r="BO195"/>
          <cell r="BP195"/>
          <cell r="BQ195"/>
          <cell r="BR195"/>
          <cell r="BS195"/>
          <cell r="BT195"/>
          <cell r="BU195"/>
          <cell r="BV195"/>
          <cell r="BW195">
            <v>0</v>
          </cell>
          <cell r="BX195">
            <v>0</v>
          </cell>
          <cell r="BY195">
            <v>0</v>
          </cell>
          <cell r="BZ195"/>
          <cell r="CA195"/>
          <cell r="CB195"/>
          <cell r="CC195"/>
          <cell r="CD195">
            <v>5000</v>
          </cell>
          <cell r="CE195"/>
          <cell r="CF195"/>
          <cell r="CG195"/>
          <cell r="CH195"/>
          <cell r="CI195"/>
          <cell r="CJ195"/>
          <cell r="CK195"/>
          <cell r="CL195"/>
          <cell r="CM195"/>
          <cell r="CN195"/>
          <cell r="CO195"/>
          <cell r="CP195"/>
          <cell r="CQ195"/>
          <cell r="CR195"/>
          <cell r="CS195"/>
          <cell r="CT195"/>
          <cell r="CU195"/>
          <cell r="CV195"/>
          <cell r="CW195">
            <v>-5000</v>
          </cell>
          <cell r="CX195"/>
          <cell r="CY195"/>
          <cell r="CZ195"/>
          <cell r="DA195"/>
        </row>
        <row r="196">
          <cell r="F196" t="str">
            <v>06</v>
          </cell>
          <cell r="G196" t="str">
            <v>0</v>
          </cell>
          <cell r="H196" t="str">
            <v>1</v>
          </cell>
          <cell r="I196" t="str">
            <v>0</v>
          </cell>
          <cell r="J196" t="str">
            <v>0</v>
          </cell>
          <cell r="K196"/>
          <cell r="L196" t="str">
            <v>0100</v>
          </cell>
          <cell r="M196" t="str">
            <v>02</v>
          </cell>
          <cell r="N196" t="str">
            <v>08800010District Design and Led 18-21</v>
          </cell>
          <cell r="P196" t="str">
            <v>5010</v>
          </cell>
          <cell r="Q196" t="str">
            <v>70*C</v>
          </cell>
          <cell r="R196"/>
          <cell r="S196"/>
          <cell r="AS196">
            <v>0</v>
          </cell>
          <cell r="AT196">
            <v>0</v>
          </cell>
          <cell r="AU196">
            <v>0</v>
          </cell>
          <cell r="AV196" t="str">
            <v>S010A180006</v>
          </cell>
          <cell r="AW196"/>
          <cell r="AX196">
            <v>7837</v>
          </cell>
          <cell r="BW196">
            <v>0</v>
          </cell>
          <cell r="BX196">
            <v>0</v>
          </cell>
          <cell r="BY196">
            <v>7837</v>
          </cell>
          <cell r="BZ196"/>
        </row>
        <row r="197">
          <cell r="F197" t="str">
            <v>06</v>
          </cell>
          <cell r="G197" t="str">
            <v>0</v>
          </cell>
          <cell r="H197" t="str">
            <v>1</v>
          </cell>
          <cell r="I197" t="str">
            <v>1</v>
          </cell>
          <cell r="J197" t="str">
            <v>0</v>
          </cell>
          <cell r="K197"/>
          <cell r="L197" t="str">
            <v>0110</v>
          </cell>
          <cell r="M197" t="str">
            <v>X</v>
          </cell>
          <cell r="N197" t="str">
            <v>08800040District Design and Led 18-21</v>
          </cell>
          <cell r="P197" t="str">
            <v>5010</v>
          </cell>
          <cell r="Q197" t="str">
            <v>70*C</v>
          </cell>
          <cell r="R197"/>
          <cell r="S197"/>
          <cell r="AS197">
            <v>0</v>
          </cell>
          <cell r="AT197">
            <v>0</v>
          </cell>
          <cell r="AU197">
            <v>0</v>
          </cell>
          <cell r="AV197" t="str">
            <v>S010A180006</v>
          </cell>
          <cell r="AW197"/>
          <cell r="AX197">
            <v>42469</v>
          </cell>
          <cell r="BW197">
            <v>0</v>
          </cell>
          <cell r="BX197">
            <v>0</v>
          </cell>
          <cell r="BY197">
            <v>42469</v>
          </cell>
          <cell r="BZ197"/>
          <cell r="CD197">
            <v>810.48</v>
          </cell>
          <cell r="CI197">
            <v>-548.12</v>
          </cell>
        </row>
        <row r="198">
          <cell r="F198" t="str">
            <v>06</v>
          </cell>
          <cell r="G198" t="str">
            <v>1</v>
          </cell>
          <cell r="H198" t="str">
            <v>0</v>
          </cell>
          <cell r="I198" t="str">
            <v>0</v>
          </cell>
          <cell r="J198" t="str">
            <v>0</v>
          </cell>
          <cell r="K198"/>
          <cell r="L198" t="str">
            <v>1000</v>
          </cell>
          <cell r="M198" t="str">
            <v>01</v>
          </cell>
          <cell r="N198" t="str">
            <v>08800220District Design and Led 17-20</v>
          </cell>
          <cell r="O198" t="str">
            <v>S010A170006</v>
          </cell>
          <cell r="P198" t="str">
            <v>5010</v>
          </cell>
          <cell r="Q198" t="str">
            <v>70*C</v>
          </cell>
          <cell r="R198">
            <v>43173</v>
          </cell>
          <cell r="S198">
            <v>43173</v>
          </cell>
          <cell r="T198">
            <v>8046</v>
          </cell>
          <cell r="AS198">
            <v>0</v>
          </cell>
          <cell r="AT198">
            <v>0</v>
          </cell>
          <cell r="AU198">
            <v>8046</v>
          </cell>
          <cell r="AV198" t="str">
            <v>S010A170006</v>
          </cell>
          <cell r="AW198">
            <v>7631</v>
          </cell>
          <cell r="BK198">
            <v>-2167</v>
          </cell>
          <cell r="BW198">
            <v>-2167</v>
          </cell>
          <cell r="BX198">
            <v>0</v>
          </cell>
          <cell r="BY198">
            <v>13510</v>
          </cell>
        </row>
        <row r="199">
          <cell r="F199" t="str">
            <v>06</v>
          </cell>
          <cell r="G199" t="str">
            <v>0</v>
          </cell>
          <cell r="H199" t="str">
            <v>1</v>
          </cell>
          <cell r="I199" t="str">
            <v>0</v>
          </cell>
          <cell r="J199" t="str">
            <v>0</v>
          </cell>
          <cell r="K199"/>
          <cell r="L199" t="str">
            <v>0100</v>
          </cell>
          <cell r="M199" t="str">
            <v>02</v>
          </cell>
          <cell r="N199" t="str">
            <v>08800220District Design and Led 18-21</v>
          </cell>
          <cell r="P199" t="str">
            <v>5010</v>
          </cell>
          <cell r="Q199" t="str">
            <v>70*C</v>
          </cell>
          <cell r="R199"/>
          <cell r="S199"/>
          <cell r="AS199">
            <v>0</v>
          </cell>
          <cell r="AT199">
            <v>0</v>
          </cell>
          <cell r="AU199">
            <v>0</v>
          </cell>
          <cell r="AV199" t="str">
            <v>S010A180006</v>
          </cell>
          <cell r="AW199"/>
          <cell r="AX199">
            <v>14191</v>
          </cell>
          <cell r="BW199">
            <v>0</v>
          </cell>
          <cell r="BX199">
            <v>0</v>
          </cell>
          <cell r="BY199">
            <v>14191</v>
          </cell>
          <cell r="BZ199"/>
        </row>
        <row r="200">
          <cell r="F200" t="str">
            <v>06</v>
          </cell>
          <cell r="G200" t="str">
            <v>1</v>
          </cell>
          <cell r="H200" t="str">
            <v>0</v>
          </cell>
          <cell r="I200" t="str">
            <v>0</v>
          </cell>
          <cell r="J200" t="str">
            <v>0</v>
          </cell>
          <cell r="K200"/>
          <cell r="L200" t="str">
            <v>1000</v>
          </cell>
          <cell r="M200" t="str">
            <v>01</v>
          </cell>
          <cell r="N200" t="str">
            <v>08800388District Design and Led 17-20</v>
          </cell>
          <cell r="O200" t="str">
            <v>S010A170006</v>
          </cell>
          <cell r="P200" t="str">
            <v>5010</v>
          </cell>
          <cell r="Q200" t="str">
            <v>70*C</v>
          </cell>
          <cell r="R200">
            <v>43173</v>
          </cell>
          <cell r="S200">
            <v>43173</v>
          </cell>
          <cell r="T200">
            <v>13946</v>
          </cell>
          <cell r="AS200">
            <v>0</v>
          </cell>
          <cell r="AT200">
            <v>0</v>
          </cell>
          <cell r="AU200">
            <v>13946</v>
          </cell>
          <cell r="AV200" t="str">
            <v>S010A170006</v>
          </cell>
          <cell r="AW200">
            <v>9946</v>
          </cell>
          <cell r="BK200">
            <v>-3467</v>
          </cell>
          <cell r="BW200">
            <v>-3467</v>
          </cell>
          <cell r="BX200">
            <v>0</v>
          </cell>
          <cell r="BY200">
            <v>20425</v>
          </cell>
        </row>
        <row r="201">
          <cell r="F201" t="str">
            <v>06</v>
          </cell>
          <cell r="G201" t="str">
            <v>0</v>
          </cell>
          <cell r="H201" t="str">
            <v>1</v>
          </cell>
          <cell r="I201" t="str">
            <v>0</v>
          </cell>
          <cell r="J201" t="str">
            <v>0</v>
          </cell>
          <cell r="K201"/>
          <cell r="L201" t="str">
            <v>0100</v>
          </cell>
          <cell r="M201" t="str">
            <v>02</v>
          </cell>
          <cell r="N201" t="str">
            <v>08800388District Design and Led 18-21</v>
          </cell>
          <cell r="P201" t="str">
            <v>5010</v>
          </cell>
          <cell r="Q201" t="str">
            <v>70*C</v>
          </cell>
          <cell r="R201"/>
          <cell r="S201"/>
          <cell r="AS201">
            <v>0</v>
          </cell>
          <cell r="AT201">
            <v>0</v>
          </cell>
          <cell r="AU201">
            <v>0</v>
          </cell>
          <cell r="AV201" t="str">
            <v>S010A180006</v>
          </cell>
          <cell r="AW201"/>
          <cell r="AX201">
            <v>42469</v>
          </cell>
          <cell r="BW201">
            <v>0</v>
          </cell>
          <cell r="BX201">
            <v>0</v>
          </cell>
          <cell r="BY201">
            <v>42469</v>
          </cell>
          <cell r="BZ201"/>
        </row>
        <row r="202">
          <cell r="F202" t="str">
            <v>06</v>
          </cell>
          <cell r="G202" t="str">
            <v>1</v>
          </cell>
          <cell r="H202" t="str">
            <v>0</v>
          </cell>
          <cell r="I202" t="str">
            <v>0</v>
          </cell>
          <cell r="J202" t="str">
            <v>0</v>
          </cell>
          <cell r="K202"/>
          <cell r="L202" t="str">
            <v>1000</v>
          </cell>
          <cell r="M202" t="str">
            <v>01</v>
          </cell>
          <cell r="N202" t="str">
            <v>08800520District Design and Led 17-20</v>
          </cell>
          <cell r="O202" t="str">
            <v>S010A170006</v>
          </cell>
          <cell r="P202" t="str">
            <v>5010</v>
          </cell>
          <cell r="Q202" t="str">
            <v>70*C</v>
          </cell>
          <cell r="R202">
            <v>43173</v>
          </cell>
          <cell r="S202">
            <v>43173</v>
          </cell>
          <cell r="T202">
            <v>13946</v>
          </cell>
          <cell r="AS202">
            <v>0</v>
          </cell>
          <cell r="AT202">
            <v>0</v>
          </cell>
          <cell r="AU202">
            <v>13946</v>
          </cell>
          <cell r="AV202" t="str">
            <v>S010A170006</v>
          </cell>
          <cell r="AW202">
            <v>9946</v>
          </cell>
          <cell r="BK202">
            <v>-3467</v>
          </cell>
          <cell r="BW202">
            <v>-3467</v>
          </cell>
          <cell r="BX202">
            <v>0</v>
          </cell>
          <cell r="BY202">
            <v>20425</v>
          </cell>
        </row>
        <row r="203">
          <cell r="F203" t="str">
            <v>06</v>
          </cell>
          <cell r="G203" t="str">
            <v>0</v>
          </cell>
          <cell r="H203" t="str">
            <v>1</v>
          </cell>
          <cell r="I203" t="str">
            <v>0</v>
          </cell>
          <cell r="J203" t="str">
            <v>0</v>
          </cell>
          <cell r="K203"/>
          <cell r="L203" t="str">
            <v>0100</v>
          </cell>
          <cell r="M203" t="str">
            <v>02</v>
          </cell>
          <cell r="N203" t="str">
            <v>08800520District Design and Led 18-21</v>
          </cell>
          <cell r="P203" t="str">
            <v>5010</v>
          </cell>
          <cell r="Q203" t="str">
            <v>70*C</v>
          </cell>
          <cell r="R203"/>
          <cell r="S203"/>
          <cell r="AS203">
            <v>0</v>
          </cell>
          <cell r="AT203">
            <v>0</v>
          </cell>
          <cell r="AU203">
            <v>0</v>
          </cell>
          <cell r="AV203" t="str">
            <v>S010A180006</v>
          </cell>
          <cell r="AW203"/>
          <cell r="AX203">
            <v>28278</v>
          </cell>
          <cell r="BW203">
            <v>0</v>
          </cell>
          <cell r="BX203">
            <v>0</v>
          </cell>
          <cell r="BY203">
            <v>28278</v>
          </cell>
          <cell r="BZ203"/>
        </row>
        <row r="204">
          <cell r="F204" t="str">
            <v>06</v>
          </cell>
          <cell r="G204" t="str">
            <v>1</v>
          </cell>
          <cell r="H204" t="str">
            <v>0</v>
          </cell>
          <cell r="I204" t="str">
            <v>0</v>
          </cell>
          <cell r="J204" t="str">
            <v>0</v>
          </cell>
          <cell r="K204"/>
          <cell r="L204" t="str">
            <v>1000</v>
          </cell>
          <cell r="M204" t="str">
            <v>01</v>
          </cell>
          <cell r="N204" t="str">
            <v>08800650District Design and Led 17-20</v>
          </cell>
          <cell r="O204" t="str">
            <v>S010A170006</v>
          </cell>
          <cell r="P204" t="str">
            <v>5010</v>
          </cell>
          <cell r="Q204" t="str">
            <v>70*C</v>
          </cell>
          <cell r="R204">
            <v>43173</v>
          </cell>
          <cell r="S204">
            <v>43173</v>
          </cell>
          <cell r="T204">
            <v>13946</v>
          </cell>
          <cell r="AS204">
            <v>0</v>
          </cell>
          <cell r="AT204">
            <v>0</v>
          </cell>
          <cell r="AU204">
            <v>13946</v>
          </cell>
          <cell r="AV204" t="str">
            <v>S010A170006</v>
          </cell>
          <cell r="AW204">
            <v>9946</v>
          </cell>
          <cell r="BK204">
            <v>-3467</v>
          </cell>
          <cell r="BW204">
            <v>-3467</v>
          </cell>
          <cell r="BX204">
            <v>0</v>
          </cell>
          <cell r="BY204">
            <v>20425</v>
          </cell>
        </row>
        <row r="205">
          <cell r="F205" t="str">
            <v>06</v>
          </cell>
          <cell r="G205" t="str">
            <v>0</v>
          </cell>
          <cell r="H205" t="str">
            <v>1</v>
          </cell>
          <cell r="I205" t="str">
            <v>0</v>
          </cell>
          <cell r="J205" t="str">
            <v>0</v>
          </cell>
          <cell r="K205"/>
          <cell r="L205" t="str">
            <v>0100</v>
          </cell>
          <cell r="M205" t="str">
            <v>02</v>
          </cell>
          <cell r="N205" t="str">
            <v>08800650District Design and Led 18-21</v>
          </cell>
          <cell r="P205" t="str">
            <v>5010</v>
          </cell>
          <cell r="Q205" t="str">
            <v>70*C</v>
          </cell>
          <cell r="R205"/>
          <cell r="S205"/>
          <cell r="AS205">
            <v>0</v>
          </cell>
          <cell r="AT205">
            <v>0</v>
          </cell>
          <cell r="AU205">
            <v>0</v>
          </cell>
          <cell r="AV205" t="str">
            <v>S010A180006</v>
          </cell>
          <cell r="AW205"/>
          <cell r="AX205">
            <v>22028</v>
          </cell>
          <cell r="BW205">
            <v>0</v>
          </cell>
          <cell r="BX205">
            <v>0</v>
          </cell>
          <cell r="BY205">
            <v>22028</v>
          </cell>
          <cell r="BZ205"/>
        </row>
        <row r="206">
          <cell r="F206" t="str">
            <v>06</v>
          </cell>
          <cell r="G206" t="str">
            <v>0</v>
          </cell>
          <cell r="H206" t="str">
            <v>1</v>
          </cell>
          <cell r="I206" t="str">
            <v>0</v>
          </cell>
          <cell r="J206" t="str">
            <v>0</v>
          </cell>
          <cell r="K206"/>
          <cell r="L206" t="str">
            <v>0100</v>
          </cell>
          <cell r="M206" t="str">
            <v>02</v>
          </cell>
          <cell r="N206" t="str">
            <v>08801076District Design and Led 18-21</v>
          </cell>
          <cell r="P206" t="str">
            <v>5010</v>
          </cell>
          <cell r="Q206" t="str">
            <v>70*C</v>
          </cell>
          <cell r="R206"/>
          <cell r="S206"/>
          <cell r="AS206">
            <v>0</v>
          </cell>
          <cell r="AT206">
            <v>0</v>
          </cell>
          <cell r="AU206">
            <v>0</v>
          </cell>
          <cell r="AV206" t="str">
            <v>S010A180006</v>
          </cell>
          <cell r="AW206"/>
          <cell r="AX206">
            <v>7837</v>
          </cell>
          <cell r="BW206">
            <v>0</v>
          </cell>
          <cell r="BX206">
            <v>0</v>
          </cell>
          <cell r="BY206">
            <v>7837</v>
          </cell>
          <cell r="BZ206"/>
        </row>
        <row r="207">
          <cell r="F207" t="str">
            <v>06</v>
          </cell>
          <cell r="G207" t="str">
            <v>1</v>
          </cell>
          <cell r="H207" t="str">
            <v>0</v>
          </cell>
          <cell r="I207" t="str">
            <v>0</v>
          </cell>
          <cell r="J207" t="str">
            <v>0</v>
          </cell>
          <cell r="K207"/>
          <cell r="L207" t="str">
            <v>1000</v>
          </cell>
          <cell r="M207" t="str">
            <v>01</v>
          </cell>
          <cell r="N207" t="str">
            <v>08801295District Design and Led 17-20</v>
          </cell>
          <cell r="O207" t="str">
            <v>S010A170006</v>
          </cell>
          <cell r="P207" t="str">
            <v>5010</v>
          </cell>
          <cell r="Q207" t="str">
            <v>70*C</v>
          </cell>
          <cell r="R207">
            <v>43173</v>
          </cell>
          <cell r="S207">
            <v>43173</v>
          </cell>
          <cell r="T207">
            <v>18112</v>
          </cell>
          <cell r="AS207">
            <v>0</v>
          </cell>
          <cell r="AT207">
            <v>0</v>
          </cell>
          <cell r="AU207">
            <v>18112</v>
          </cell>
          <cell r="AV207" t="str">
            <v>S010A170006</v>
          </cell>
          <cell r="AW207">
            <v>14908</v>
          </cell>
          <cell r="BK207">
            <v>-5555</v>
          </cell>
          <cell r="BW207">
            <v>-5555</v>
          </cell>
          <cell r="BX207">
            <v>0</v>
          </cell>
          <cell r="BY207">
            <v>27465</v>
          </cell>
          <cell r="CK207">
            <v>-12330.7</v>
          </cell>
        </row>
        <row r="208">
          <cell r="F208" t="str">
            <v>06</v>
          </cell>
          <cell r="G208" t="str">
            <v>1</v>
          </cell>
          <cell r="H208" t="str">
            <v>0</v>
          </cell>
          <cell r="I208" t="str">
            <v>0</v>
          </cell>
          <cell r="J208" t="str">
            <v>0</v>
          </cell>
          <cell r="K208"/>
          <cell r="L208" t="str">
            <v>1000</v>
          </cell>
          <cell r="M208" t="str">
            <v>01</v>
          </cell>
          <cell r="N208" t="str">
            <v>08801489District Design and Led 17-20</v>
          </cell>
          <cell r="O208" t="str">
            <v>S010A170006</v>
          </cell>
          <cell r="P208" t="str">
            <v>5010</v>
          </cell>
          <cell r="Q208" t="str">
            <v>70*C</v>
          </cell>
          <cell r="R208">
            <v>43173</v>
          </cell>
          <cell r="S208">
            <v>43173</v>
          </cell>
          <cell r="T208">
            <v>8046</v>
          </cell>
          <cell r="AS208">
            <v>0</v>
          </cell>
          <cell r="AT208">
            <v>0</v>
          </cell>
          <cell r="AU208">
            <v>8046</v>
          </cell>
          <cell r="AV208" t="str">
            <v>S010A170006</v>
          </cell>
          <cell r="AW208">
            <v>130979</v>
          </cell>
          <cell r="BK208">
            <v>-30525</v>
          </cell>
          <cell r="BQ208">
            <v>-47781</v>
          </cell>
          <cell r="BW208">
            <v>-78306</v>
          </cell>
          <cell r="BX208">
            <v>0</v>
          </cell>
          <cell r="BY208">
            <v>60719</v>
          </cell>
        </row>
        <row r="209">
          <cell r="F209" t="str">
            <v>06</v>
          </cell>
          <cell r="G209" t="str">
            <v>0</v>
          </cell>
          <cell r="H209" t="str">
            <v>1</v>
          </cell>
          <cell r="I209" t="str">
            <v>0</v>
          </cell>
          <cell r="J209" t="str">
            <v>0</v>
          </cell>
          <cell r="K209"/>
          <cell r="L209" t="str">
            <v>0100</v>
          </cell>
          <cell r="M209" t="str">
            <v>02</v>
          </cell>
          <cell r="N209" t="str">
            <v>08801489District Design and Led 18-21</v>
          </cell>
          <cell r="P209" t="str">
            <v>5010</v>
          </cell>
          <cell r="Q209" t="str">
            <v>70*C</v>
          </cell>
          <cell r="R209"/>
          <cell r="S209"/>
          <cell r="AS209">
            <v>0</v>
          </cell>
          <cell r="AT209">
            <v>0</v>
          </cell>
          <cell r="AU209">
            <v>0</v>
          </cell>
          <cell r="AV209" t="str">
            <v>S010A180006</v>
          </cell>
          <cell r="AW209"/>
          <cell r="AX209">
            <v>7837</v>
          </cell>
          <cell r="BW209">
            <v>0</v>
          </cell>
          <cell r="BX209">
            <v>0</v>
          </cell>
          <cell r="BY209">
            <v>7837</v>
          </cell>
          <cell r="BZ209"/>
        </row>
        <row r="210">
          <cell r="F210" t="str">
            <v>06</v>
          </cell>
          <cell r="G210" t="str">
            <v>1</v>
          </cell>
          <cell r="H210" t="str">
            <v>0</v>
          </cell>
          <cell r="I210" t="str">
            <v>0</v>
          </cell>
          <cell r="J210" t="str">
            <v>0</v>
          </cell>
          <cell r="K210"/>
          <cell r="L210" t="str">
            <v>1000</v>
          </cell>
          <cell r="M210" t="str">
            <v>01</v>
          </cell>
          <cell r="N210" t="str">
            <v>08801816District Design and Led 17-20</v>
          </cell>
          <cell r="O210" t="str">
            <v>S010A170006</v>
          </cell>
          <cell r="P210" t="str">
            <v>5010</v>
          </cell>
          <cell r="Q210" t="str">
            <v>70*C</v>
          </cell>
          <cell r="R210">
            <v>43173</v>
          </cell>
          <cell r="S210">
            <v>43173</v>
          </cell>
          <cell r="T210">
            <v>18112</v>
          </cell>
          <cell r="AS210">
            <v>0</v>
          </cell>
          <cell r="AT210">
            <v>0</v>
          </cell>
          <cell r="AU210">
            <v>18112</v>
          </cell>
          <cell r="AV210" t="str">
            <v>S010A170006</v>
          </cell>
          <cell r="AW210">
            <v>14908</v>
          </cell>
          <cell r="BK210">
            <v>-5555</v>
          </cell>
          <cell r="BW210">
            <v>-5555</v>
          </cell>
          <cell r="BX210">
            <v>0</v>
          </cell>
          <cell r="BY210">
            <v>27465</v>
          </cell>
          <cell r="CK210">
            <v>-15688.48</v>
          </cell>
        </row>
        <row r="211">
          <cell r="F211" t="str">
            <v>06</v>
          </cell>
          <cell r="G211" t="str">
            <v>1</v>
          </cell>
          <cell r="H211" t="str">
            <v>0</v>
          </cell>
          <cell r="I211" t="str">
            <v>0</v>
          </cell>
          <cell r="J211" t="str">
            <v>0</v>
          </cell>
          <cell r="K211"/>
          <cell r="L211" t="str">
            <v>1000</v>
          </cell>
          <cell r="M211" t="str">
            <v>01</v>
          </cell>
          <cell r="N211" t="str">
            <v>08802129District Design and Led 17-20</v>
          </cell>
          <cell r="O211" t="str">
            <v>S010A170006</v>
          </cell>
          <cell r="P211" t="str">
            <v>5010</v>
          </cell>
          <cell r="Q211" t="str">
            <v>70*C</v>
          </cell>
          <cell r="R211">
            <v>43173</v>
          </cell>
          <cell r="S211">
            <v>43173</v>
          </cell>
          <cell r="T211">
            <v>8046</v>
          </cell>
          <cell r="AS211">
            <v>0</v>
          </cell>
          <cell r="AT211">
            <v>0</v>
          </cell>
          <cell r="AU211">
            <v>8046</v>
          </cell>
          <cell r="AV211" t="str">
            <v>S010A170006</v>
          </cell>
          <cell r="AW211">
            <v>7631</v>
          </cell>
          <cell r="BK211">
            <v>-2167</v>
          </cell>
          <cell r="BW211">
            <v>-2167</v>
          </cell>
          <cell r="BX211">
            <v>0</v>
          </cell>
          <cell r="BY211">
            <v>13510</v>
          </cell>
        </row>
        <row r="212">
          <cell r="F212" t="str">
            <v>06</v>
          </cell>
          <cell r="G212" t="str">
            <v>0</v>
          </cell>
          <cell r="H212" t="str">
            <v>1</v>
          </cell>
          <cell r="I212" t="str">
            <v>0</v>
          </cell>
          <cell r="J212" t="str">
            <v>0</v>
          </cell>
          <cell r="K212"/>
          <cell r="L212" t="str">
            <v>0100</v>
          </cell>
          <cell r="M212" t="str">
            <v>02</v>
          </cell>
          <cell r="N212" t="str">
            <v>08802129District Design and Led 18-21</v>
          </cell>
          <cell r="P212" t="str">
            <v>5010</v>
          </cell>
          <cell r="Q212" t="str">
            <v>70*C</v>
          </cell>
          <cell r="R212"/>
          <cell r="S212"/>
          <cell r="AS212">
            <v>0</v>
          </cell>
          <cell r="AT212">
            <v>0</v>
          </cell>
          <cell r="AU212">
            <v>0</v>
          </cell>
          <cell r="AV212" t="str">
            <v>S010A180006</v>
          </cell>
          <cell r="AW212"/>
          <cell r="AX212">
            <v>7837</v>
          </cell>
          <cell r="BW212">
            <v>0</v>
          </cell>
          <cell r="BX212">
            <v>0</v>
          </cell>
          <cell r="BY212">
            <v>7837</v>
          </cell>
          <cell r="BZ212"/>
        </row>
        <row r="213">
          <cell r="F213" t="str">
            <v>06</v>
          </cell>
          <cell r="G213" t="str">
            <v>1</v>
          </cell>
          <cell r="H213" t="str">
            <v>0</v>
          </cell>
          <cell r="I213" t="str">
            <v>0</v>
          </cell>
          <cell r="J213" t="str">
            <v>0</v>
          </cell>
          <cell r="K213"/>
          <cell r="L213" t="str">
            <v>1000</v>
          </cell>
          <cell r="M213" t="str">
            <v>01</v>
          </cell>
          <cell r="N213" t="str">
            <v>08802188District Design and Led 17-20</v>
          </cell>
          <cell r="O213" t="str">
            <v>S010A170006</v>
          </cell>
          <cell r="P213" t="str">
            <v>5010</v>
          </cell>
          <cell r="Q213" t="str">
            <v>70*C</v>
          </cell>
          <cell r="R213">
            <v>43173</v>
          </cell>
          <cell r="S213">
            <v>43173</v>
          </cell>
          <cell r="T213">
            <v>8046</v>
          </cell>
          <cell r="AS213">
            <v>0</v>
          </cell>
          <cell r="AT213">
            <v>0</v>
          </cell>
          <cell r="AU213">
            <v>8046</v>
          </cell>
          <cell r="AV213" t="str">
            <v>S010A170006</v>
          </cell>
          <cell r="AW213">
            <v>130979</v>
          </cell>
          <cell r="BK213">
            <v>-26727</v>
          </cell>
          <cell r="BQ213">
            <v>-52619</v>
          </cell>
          <cell r="BW213">
            <v>-79346</v>
          </cell>
          <cell r="BX213">
            <v>0</v>
          </cell>
          <cell r="BY213">
            <v>59679</v>
          </cell>
        </row>
        <row r="214">
          <cell r="F214" t="str">
            <v>06</v>
          </cell>
          <cell r="G214" t="str">
            <v>0</v>
          </cell>
          <cell r="H214" t="str">
            <v>1</v>
          </cell>
          <cell r="I214" t="str">
            <v>0</v>
          </cell>
          <cell r="J214" t="str">
            <v>0</v>
          </cell>
          <cell r="K214"/>
          <cell r="L214" t="str">
            <v>0100</v>
          </cell>
          <cell r="M214" t="str">
            <v>02</v>
          </cell>
          <cell r="N214" t="str">
            <v>08802188District Design and Led 18-21</v>
          </cell>
          <cell r="P214" t="str">
            <v>5010</v>
          </cell>
          <cell r="Q214" t="str">
            <v>70*C</v>
          </cell>
          <cell r="R214"/>
          <cell r="S214"/>
          <cell r="AS214">
            <v>0</v>
          </cell>
          <cell r="AT214">
            <v>0</v>
          </cell>
          <cell r="AU214">
            <v>0</v>
          </cell>
          <cell r="AV214" t="str">
            <v>S010A180006</v>
          </cell>
          <cell r="AW214"/>
          <cell r="AX214">
            <v>7837</v>
          </cell>
          <cell r="BW214">
            <v>0</v>
          </cell>
          <cell r="BX214">
            <v>0</v>
          </cell>
          <cell r="BY214">
            <v>7837</v>
          </cell>
          <cell r="BZ214"/>
        </row>
        <row r="215">
          <cell r="F215" t="str">
            <v>06</v>
          </cell>
          <cell r="G215" t="str">
            <v>1</v>
          </cell>
          <cell r="H215" t="str">
            <v>0</v>
          </cell>
          <cell r="I215" t="str">
            <v>0</v>
          </cell>
          <cell r="J215" t="str">
            <v>0</v>
          </cell>
          <cell r="K215"/>
          <cell r="L215" t="str">
            <v>1000</v>
          </cell>
          <cell r="M215" t="str">
            <v>01</v>
          </cell>
          <cell r="N215" t="str">
            <v>08802209District Design and Led 17-20</v>
          </cell>
          <cell r="O215" t="str">
            <v>S010A170006</v>
          </cell>
          <cell r="P215" t="str">
            <v>5010</v>
          </cell>
          <cell r="Q215" t="str">
            <v>70*C</v>
          </cell>
          <cell r="R215">
            <v>43173</v>
          </cell>
          <cell r="S215">
            <v>43173</v>
          </cell>
          <cell r="T215">
            <v>13946</v>
          </cell>
          <cell r="AS215">
            <v>0</v>
          </cell>
          <cell r="AT215">
            <v>0</v>
          </cell>
          <cell r="AU215">
            <v>13946</v>
          </cell>
          <cell r="AV215" t="str">
            <v>S010A170006</v>
          </cell>
          <cell r="AW215">
            <v>9946</v>
          </cell>
          <cell r="BK215">
            <v>-3467</v>
          </cell>
          <cell r="BW215">
            <v>-3467</v>
          </cell>
          <cell r="BX215">
            <v>0</v>
          </cell>
          <cell r="BY215">
            <v>20425</v>
          </cell>
        </row>
        <row r="216">
          <cell r="F216" t="str">
            <v>06</v>
          </cell>
          <cell r="G216" t="str">
            <v>0</v>
          </cell>
          <cell r="H216" t="str">
            <v>1</v>
          </cell>
          <cell r="I216" t="str">
            <v>0</v>
          </cell>
          <cell r="J216" t="str">
            <v>0</v>
          </cell>
          <cell r="K216"/>
          <cell r="L216" t="str">
            <v>0100</v>
          </cell>
          <cell r="M216" t="str">
            <v>02</v>
          </cell>
          <cell r="N216" t="str">
            <v>08802209District Design and Led 18-21</v>
          </cell>
          <cell r="P216" t="str">
            <v>5010</v>
          </cell>
          <cell r="Q216" t="str">
            <v>70*C</v>
          </cell>
          <cell r="R216"/>
          <cell r="S216"/>
          <cell r="AS216">
            <v>0</v>
          </cell>
          <cell r="AT216">
            <v>0</v>
          </cell>
          <cell r="AU216">
            <v>0</v>
          </cell>
          <cell r="AV216" t="str">
            <v>S010A180006</v>
          </cell>
          <cell r="AW216"/>
          <cell r="AX216">
            <v>14191</v>
          </cell>
          <cell r="BW216">
            <v>0</v>
          </cell>
          <cell r="BX216">
            <v>0</v>
          </cell>
          <cell r="BY216">
            <v>14191</v>
          </cell>
          <cell r="BZ216"/>
        </row>
        <row r="217">
          <cell r="F217" t="str">
            <v>06</v>
          </cell>
          <cell r="G217" t="str">
            <v>0</v>
          </cell>
          <cell r="H217" t="str">
            <v>0</v>
          </cell>
          <cell r="I217" t="str">
            <v>0</v>
          </cell>
          <cell r="J217" t="str">
            <v>0</v>
          </cell>
          <cell r="K217"/>
          <cell r="L217" t="str">
            <v>0000</v>
          </cell>
          <cell r="M217" t="str">
            <v>X</v>
          </cell>
          <cell r="N217" t="str">
            <v>08802223District Design and Led 19-22</v>
          </cell>
          <cell r="P217" t="str">
            <v>5010</v>
          </cell>
          <cell r="Q217" t="str">
            <v>70*C</v>
          </cell>
          <cell r="R217"/>
          <cell r="S217"/>
          <cell r="AS217">
            <v>0</v>
          </cell>
          <cell r="AT217">
            <v>0</v>
          </cell>
          <cell r="AU217">
            <v>0</v>
          </cell>
          <cell r="AW217"/>
          <cell r="BW217">
            <v>0</v>
          </cell>
          <cell r="BX217">
            <v>0</v>
          </cell>
          <cell r="BY217">
            <v>0</v>
          </cell>
          <cell r="BZ217"/>
        </row>
        <row r="218">
          <cell r="F218" t="str">
            <v>06</v>
          </cell>
          <cell r="G218" t="str">
            <v>0</v>
          </cell>
          <cell r="H218" t="str">
            <v>1</v>
          </cell>
          <cell r="I218" t="str">
            <v>0</v>
          </cell>
          <cell r="J218" t="str">
            <v>0</v>
          </cell>
          <cell r="K218"/>
          <cell r="L218" t="str">
            <v>0100</v>
          </cell>
          <cell r="M218" t="str">
            <v>02</v>
          </cell>
          <cell r="N218" t="str">
            <v>08802506District Design and Led 18-21</v>
          </cell>
          <cell r="P218" t="str">
            <v>5010</v>
          </cell>
          <cell r="Q218" t="str">
            <v>70*C</v>
          </cell>
          <cell r="R218"/>
          <cell r="S218"/>
          <cell r="AS218">
            <v>0</v>
          </cell>
          <cell r="AT218">
            <v>0</v>
          </cell>
          <cell r="AU218">
            <v>0</v>
          </cell>
          <cell r="AV218" t="str">
            <v>S010A180006</v>
          </cell>
          <cell r="AW218"/>
          <cell r="AX218">
            <v>7837</v>
          </cell>
          <cell r="BW218">
            <v>0</v>
          </cell>
          <cell r="BX218">
            <v>0</v>
          </cell>
          <cell r="BY218">
            <v>7837</v>
          </cell>
          <cell r="BZ218"/>
        </row>
        <row r="219">
          <cell r="F219" t="str">
            <v>06</v>
          </cell>
          <cell r="G219" t="str">
            <v>1</v>
          </cell>
          <cell r="H219" t="str">
            <v>0</v>
          </cell>
          <cell r="I219" t="str">
            <v>0</v>
          </cell>
          <cell r="J219" t="str">
            <v>0</v>
          </cell>
          <cell r="K219"/>
          <cell r="L219" t="str">
            <v>1000</v>
          </cell>
          <cell r="M219" t="str">
            <v>01</v>
          </cell>
          <cell r="N219" t="str">
            <v>08802652District Design and Led 17-20</v>
          </cell>
          <cell r="O219" t="str">
            <v>S010A170006</v>
          </cell>
          <cell r="P219" t="str">
            <v>5010</v>
          </cell>
          <cell r="Q219" t="str">
            <v>70*C</v>
          </cell>
          <cell r="R219">
            <v>43173</v>
          </cell>
          <cell r="S219">
            <v>43173</v>
          </cell>
          <cell r="T219">
            <v>8046</v>
          </cell>
          <cell r="AS219">
            <v>0</v>
          </cell>
          <cell r="AT219">
            <v>0</v>
          </cell>
          <cell r="AU219">
            <v>8046</v>
          </cell>
          <cell r="AV219" t="str">
            <v>S010A170006</v>
          </cell>
          <cell r="AW219">
            <v>7631</v>
          </cell>
          <cell r="BK219">
            <v>-2167</v>
          </cell>
          <cell r="BW219">
            <v>-2167</v>
          </cell>
          <cell r="BX219">
            <v>0</v>
          </cell>
          <cell r="BY219">
            <v>13510</v>
          </cell>
          <cell r="CK219">
            <v>-12390.16</v>
          </cell>
        </row>
        <row r="220">
          <cell r="F220" t="str">
            <v>06</v>
          </cell>
          <cell r="G220" t="str">
            <v>1</v>
          </cell>
          <cell r="H220" t="str">
            <v>0</v>
          </cell>
          <cell r="I220" t="str">
            <v>0</v>
          </cell>
          <cell r="J220" t="str">
            <v>0</v>
          </cell>
          <cell r="K220"/>
          <cell r="L220" t="str">
            <v>1000</v>
          </cell>
          <cell r="M220" t="str">
            <v>01</v>
          </cell>
          <cell r="N220" t="str">
            <v>08802726District Design and Led 17-20</v>
          </cell>
          <cell r="O220" t="str">
            <v>S010A170006</v>
          </cell>
          <cell r="P220" t="str">
            <v>5010</v>
          </cell>
          <cell r="Q220" t="str">
            <v>70*C</v>
          </cell>
          <cell r="R220">
            <v>43173</v>
          </cell>
          <cell r="S220">
            <v>43173</v>
          </cell>
          <cell r="T220">
            <v>8046</v>
          </cell>
          <cell r="AS220">
            <v>0</v>
          </cell>
          <cell r="AT220">
            <v>0</v>
          </cell>
          <cell r="AU220">
            <v>8046</v>
          </cell>
          <cell r="AV220" t="str">
            <v>S010A170006</v>
          </cell>
          <cell r="AW220">
            <v>130979</v>
          </cell>
          <cell r="BK220">
            <v>-28213</v>
          </cell>
          <cell r="BQ220">
            <v>-50021</v>
          </cell>
          <cell r="BW220">
            <v>-78234</v>
          </cell>
          <cell r="BX220">
            <v>0</v>
          </cell>
          <cell r="BY220">
            <v>60791</v>
          </cell>
        </row>
        <row r="221">
          <cell r="F221" t="str">
            <v>06</v>
          </cell>
          <cell r="G221" t="str">
            <v>0</v>
          </cell>
          <cell r="H221" t="str">
            <v>1</v>
          </cell>
          <cell r="I221" t="str">
            <v>0</v>
          </cell>
          <cell r="J221" t="str">
            <v>0</v>
          </cell>
          <cell r="K221"/>
          <cell r="L221" t="str">
            <v>0100</v>
          </cell>
          <cell r="M221" t="str">
            <v>02</v>
          </cell>
          <cell r="N221" t="str">
            <v>08802726District Design and Led 18-21</v>
          </cell>
          <cell r="P221" t="str">
            <v>5010</v>
          </cell>
          <cell r="Q221" t="str">
            <v>70*C</v>
          </cell>
          <cell r="R221"/>
          <cell r="S221"/>
          <cell r="AS221">
            <v>0</v>
          </cell>
          <cell r="AT221">
            <v>0</v>
          </cell>
          <cell r="AU221">
            <v>0</v>
          </cell>
          <cell r="AV221" t="str">
            <v>S010A180006</v>
          </cell>
          <cell r="AW221"/>
          <cell r="AX221">
            <v>7837</v>
          </cell>
          <cell r="BW221">
            <v>0</v>
          </cell>
          <cell r="BX221">
            <v>0</v>
          </cell>
          <cell r="BY221">
            <v>7837</v>
          </cell>
          <cell r="BZ221"/>
        </row>
        <row r="222">
          <cell r="F222" t="str">
            <v>06</v>
          </cell>
          <cell r="G222" t="str">
            <v>1</v>
          </cell>
          <cell r="H222" t="str">
            <v>0</v>
          </cell>
          <cell r="I222" t="str">
            <v>0</v>
          </cell>
          <cell r="J222" t="str">
            <v>0</v>
          </cell>
          <cell r="K222"/>
          <cell r="L222" t="str">
            <v>1000</v>
          </cell>
          <cell r="M222" t="str">
            <v>01</v>
          </cell>
          <cell r="N222" t="str">
            <v>08802757District Design and Led 17-20</v>
          </cell>
          <cell r="O222" t="str">
            <v>S010A170006</v>
          </cell>
          <cell r="P222" t="str">
            <v>5010</v>
          </cell>
          <cell r="Q222" t="str">
            <v>70*C</v>
          </cell>
          <cell r="R222">
            <v>43173</v>
          </cell>
          <cell r="S222">
            <v>43173</v>
          </cell>
          <cell r="T222">
            <v>8046</v>
          </cell>
          <cell r="AS222">
            <v>0</v>
          </cell>
          <cell r="AT222">
            <v>0</v>
          </cell>
          <cell r="AU222">
            <v>8046</v>
          </cell>
          <cell r="AV222" t="str">
            <v>S010A170006</v>
          </cell>
          <cell r="AW222">
            <v>7631</v>
          </cell>
          <cell r="BK222">
            <v>-2167</v>
          </cell>
          <cell r="BW222">
            <v>-2167</v>
          </cell>
          <cell r="BX222">
            <v>0</v>
          </cell>
          <cell r="BY222">
            <v>13510</v>
          </cell>
        </row>
        <row r="223">
          <cell r="F223" t="str">
            <v>06</v>
          </cell>
          <cell r="G223" t="str">
            <v>0</v>
          </cell>
          <cell r="H223" t="str">
            <v>1</v>
          </cell>
          <cell r="I223" t="str">
            <v>0</v>
          </cell>
          <cell r="J223" t="str">
            <v>0</v>
          </cell>
          <cell r="K223"/>
          <cell r="L223" t="str">
            <v>0100</v>
          </cell>
          <cell r="M223" t="str">
            <v>02</v>
          </cell>
          <cell r="N223" t="str">
            <v>08803340District Design and Led 18-21</v>
          </cell>
          <cell r="P223" t="str">
            <v>5010</v>
          </cell>
          <cell r="Q223" t="str">
            <v>70*C</v>
          </cell>
          <cell r="R223"/>
          <cell r="S223"/>
          <cell r="AS223">
            <v>0</v>
          </cell>
          <cell r="AT223">
            <v>0</v>
          </cell>
          <cell r="AU223">
            <v>0</v>
          </cell>
          <cell r="AV223" t="str">
            <v>S010A180006</v>
          </cell>
          <cell r="AW223"/>
          <cell r="AX223">
            <v>7837</v>
          </cell>
          <cell r="BW223">
            <v>0</v>
          </cell>
          <cell r="BX223">
            <v>0</v>
          </cell>
          <cell r="BY223">
            <v>7837</v>
          </cell>
          <cell r="BZ223"/>
        </row>
        <row r="224">
          <cell r="F224" t="str">
            <v>06</v>
          </cell>
          <cell r="G224" t="str">
            <v>1</v>
          </cell>
          <cell r="H224" t="str">
            <v>0</v>
          </cell>
          <cell r="I224" t="str">
            <v>0</v>
          </cell>
          <cell r="J224" t="str">
            <v>0</v>
          </cell>
          <cell r="K224"/>
          <cell r="L224" t="str">
            <v>1000</v>
          </cell>
          <cell r="M224" t="str">
            <v>01</v>
          </cell>
          <cell r="N224" t="str">
            <v>08803655District Design and Led 17-20</v>
          </cell>
          <cell r="O224" t="str">
            <v>S010A170006</v>
          </cell>
          <cell r="P224" t="str">
            <v>5010</v>
          </cell>
          <cell r="Q224" t="str">
            <v>70*C</v>
          </cell>
          <cell r="R224">
            <v>43173</v>
          </cell>
          <cell r="S224">
            <v>43173</v>
          </cell>
          <cell r="T224">
            <v>13946</v>
          </cell>
          <cell r="AS224">
            <v>0</v>
          </cell>
          <cell r="AT224">
            <v>0</v>
          </cell>
          <cell r="AU224">
            <v>13946</v>
          </cell>
          <cell r="AV224" t="str">
            <v>S010A170006</v>
          </cell>
          <cell r="AW224">
            <v>9946</v>
          </cell>
          <cell r="BK224">
            <v>-3467</v>
          </cell>
          <cell r="BW224">
            <v>-3467</v>
          </cell>
          <cell r="BX224">
            <v>0</v>
          </cell>
          <cell r="BY224">
            <v>20425</v>
          </cell>
        </row>
        <row r="225">
          <cell r="F225" t="str">
            <v>06</v>
          </cell>
          <cell r="G225" t="str">
            <v>0</v>
          </cell>
          <cell r="H225" t="str">
            <v>1</v>
          </cell>
          <cell r="I225" t="str">
            <v>0</v>
          </cell>
          <cell r="J225" t="str">
            <v>0</v>
          </cell>
          <cell r="K225"/>
          <cell r="L225" t="str">
            <v>0100</v>
          </cell>
          <cell r="M225" t="str">
            <v>02</v>
          </cell>
          <cell r="N225" t="str">
            <v>08804444District Design and Led 18-21</v>
          </cell>
          <cell r="P225" t="str">
            <v>5010</v>
          </cell>
          <cell r="Q225" t="str">
            <v>70*C</v>
          </cell>
          <cell r="R225"/>
          <cell r="S225"/>
          <cell r="AS225">
            <v>0</v>
          </cell>
          <cell r="AT225">
            <v>0</v>
          </cell>
          <cell r="AU225">
            <v>0</v>
          </cell>
          <cell r="AV225" t="str">
            <v>S010A180006</v>
          </cell>
          <cell r="AW225"/>
          <cell r="AX225">
            <v>28278</v>
          </cell>
          <cell r="BW225">
            <v>0</v>
          </cell>
          <cell r="BX225">
            <v>0</v>
          </cell>
          <cell r="BY225">
            <v>28278</v>
          </cell>
          <cell r="BZ225"/>
        </row>
        <row r="226">
          <cell r="F226" t="str">
            <v>06</v>
          </cell>
          <cell r="G226" t="str">
            <v>0</v>
          </cell>
          <cell r="H226" t="str">
            <v>1</v>
          </cell>
          <cell r="I226" t="str">
            <v>1</v>
          </cell>
          <cell r="J226" t="str">
            <v>0</v>
          </cell>
          <cell r="K226"/>
          <cell r="L226" t="str">
            <v>0110</v>
          </cell>
          <cell r="M226" t="str">
            <v>X</v>
          </cell>
          <cell r="N226" t="str">
            <v>08804494District Design and Led 18-21</v>
          </cell>
          <cell r="P226" t="str">
            <v>5010</v>
          </cell>
          <cell r="Q226" t="str">
            <v>70*C</v>
          </cell>
          <cell r="R226"/>
          <cell r="S226"/>
          <cell r="AS226">
            <v>0</v>
          </cell>
          <cell r="AT226">
            <v>0</v>
          </cell>
          <cell r="AU226">
            <v>0</v>
          </cell>
          <cell r="AV226" t="str">
            <v>S010A180006</v>
          </cell>
          <cell r="AW226"/>
          <cell r="AX226">
            <v>36115</v>
          </cell>
          <cell r="BW226">
            <v>0</v>
          </cell>
          <cell r="BX226">
            <v>0</v>
          </cell>
          <cell r="BY226">
            <v>36115</v>
          </cell>
          <cell r="BZ226"/>
          <cell r="CD226">
            <v>810.48</v>
          </cell>
          <cell r="CI226">
            <v>-548.12</v>
          </cell>
        </row>
        <row r="227">
          <cell r="F227" t="str">
            <v>06</v>
          </cell>
          <cell r="G227" t="str">
            <v>1</v>
          </cell>
          <cell r="H227" t="str">
            <v>0</v>
          </cell>
          <cell r="I227" t="str">
            <v>0</v>
          </cell>
          <cell r="J227" t="str">
            <v>0</v>
          </cell>
          <cell r="K227"/>
          <cell r="L227" t="str">
            <v>1000</v>
          </cell>
          <cell r="M227" t="str">
            <v>01</v>
          </cell>
          <cell r="N227" t="str">
            <v>08804782District Design and Led 17-20</v>
          </cell>
          <cell r="O227" t="str">
            <v>S010A170006</v>
          </cell>
          <cell r="P227" t="str">
            <v>5010</v>
          </cell>
          <cell r="Q227" t="str">
            <v>70*C</v>
          </cell>
          <cell r="R227">
            <v>43173</v>
          </cell>
          <cell r="S227">
            <v>43173</v>
          </cell>
          <cell r="T227">
            <v>8046</v>
          </cell>
          <cell r="AS227">
            <v>0</v>
          </cell>
          <cell r="AT227">
            <v>0</v>
          </cell>
          <cell r="AU227">
            <v>8046</v>
          </cell>
          <cell r="AV227" t="str">
            <v>S010A170006</v>
          </cell>
          <cell r="AW227">
            <v>7631</v>
          </cell>
          <cell r="BK227">
            <v>-2167</v>
          </cell>
          <cell r="BW227">
            <v>-2167</v>
          </cell>
          <cell r="BX227">
            <v>0</v>
          </cell>
          <cell r="BY227">
            <v>13510</v>
          </cell>
        </row>
        <row r="228">
          <cell r="F228" t="str">
            <v>06</v>
          </cell>
          <cell r="G228" t="str">
            <v>0</v>
          </cell>
          <cell r="H228" t="str">
            <v>1</v>
          </cell>
          <cell r="I228" t="str">
            <v>0</v>
          </cell>
          <cell r="J228" t="str">
            <v>0</v>
          </cell>
          <cell r="K228"/>
          <cell r="L228" t="str">
            <v>0100</v>
          </cell>
          <cell r="M228" t="str">
            <v>02</v>
          </cell>
          <cell r="N228" t="str">
            <v>08804782District Design and Led 18-21</v>
          </cell>
          <cell r="P228" t="str">
            <v>5010</v>
          </cell>
          <cell r="Q228" t="str">
            <v>70*C</v>
          </cell>
          <cell r="R228"/>
          <cell r="S228"/>
          <cell r="AS228">
            <v>0</v>
          </cell>
          <cell r="AT228">
            <v>0</v>
          </cell>
          <cell r="AU228">
            <v>0</v>
          </cell>
          <cell r="AV228" t="str">
            <v>S010A180006</v>
          </cell>
          <cell r="AW228"/>
          <cell r="AX228">
            <v>7837</v>
          </cell>
          <cell r="BW228">
            <v>0</v>
          </cell>
          <cell r="BX228">
            <v>0</v>
          </cell>
          <cell r="BY228">
            <v>7837</v>
          </cell>
          <cell r="BZ228"/>
        </row>
        <row r="229">
          <cell r="F229" t="str">
            <v>06</v>
          </cell>
          <cell r="G229" t="str">
            <v>0</v>
          </cell>
          <cell r="H229" t="str">
            <v>1</v>
          </cell>
          <cell r="I229" t="str">
            <v>0</v>
          </cell>
          <cell r="J229" t="str">
            <v>0</v>
          </cell>
          <cell r="K229"/>
          <cell r="L229" t="str">
            <v>0100</v>
          </cell>
          <cell r="M229" t="str">
            <v>02</v>
          </cell>
          <cell r="N229" t="str">
            <v>08804795District Design and Led 18-21</v>
          </cell>
          <cell r="P229" t="str">
            <v>5010</v>
          </cell>
          <cell r="Q229" t="str">
            <v>70*C</v>
          </cell>
          <cell r="R229"/>
          <cell r="S229"/>
          <cell r="AS229">
            <v>0</v>
          </cell>
          <cell r="AT229">
            <v>0</v>
          </cell>
          <cell r="AU229">
            <v>0</v>
          </cell>
          <cell r="AV229" t="str">
            <v>S010A180006</v>
          </cell>
          <cell r="AW229"/>
          <cell r="AX229">
            <v>14191</v>
          </cell>
          <cell r="BW229">
            <v>0</v>
          </cell>
          <cell r="BX229">
            <v>0</v>
          </cell>
          <cell r="BY229">
            <v>14191</v>
          </cell>
          <cell r="BZ229"/>
        </row>
        <row r="230">
          <cell r="F230" t="str">
            <v>06</v>
          </cell>
          <cell r="G230" t="str">
            <v>0</v>
          </cell>
          <cell r="H230" t="str">
            <v>1</v>
          </cell>
          <cell r="I230" t="str">
            <v>0</v>
          </cell>
          <cell r="J230" t="str">
            <v>0</v>
          </cell>
          <cell r="K230"/>
          <cell r="L230" t="str">
            <v>0100</v>
          </cell>
          <cell r="M230" t="str">
            <v>02</v>
          </cell>
          <cell r="N230" t="str">
            <v>08805044District Design and Led 18-21</v>
          </cell>
          <cell r="P230" t="str">
            <v>5010</v>
          </cell>
          <cell r="Q230" t="str">
            <v>70*C</v>
          </cell>
          <cell r="R230"/>
          <cell r="S230"/>
          <cell r="AS230">
            <v>0</v>
          </cell>
          <cell r="AT230">
            <v>0</v>
          </cell>
          <cell r="AU230">
            <v>0</v>
          </cell>
          <cell r="AV230" t="str">
            <v>S010A180006</v>
          </cell>
          <cell r="AW230"/>
          <cell r="AX230">
            <v>7837</v>
          </cell>
          <cell r="BW230">
            <v>0</v>
          </cell>
          <cell r="BX230">
            <v>0</v>
          </cell>
          <cell r="BY230">
            <v>7837</v>
          </cell>
          <cell r="BZ230"/>
        </row>
        <row r="231">
          <cell r="F231" t="str">
            <v>06</v>
          </cell>
          <cell r="G231" t="str">
            <v>0</v>
          </cell>
          <cell r="H231" t="str">
            <v>1</v>
          </cell>
          <cell r="I231" t="str">
            <v>0</v>
          </cell>
          <cell r="J231" t="str">
            <v>0</v>
          </cell>
          <cell r="K231"/>
          <cell r="L231" t="str">
            <v>0100</v>
          </cell>
          <cell r="M231" t="str">
            <v>02</v>
          </cell>
          <cell r="N231" t="str">
            <v>08805255District Design and Led 18-21</v>
          </cell>
          <cell r="P231" t="str">
            <v>5010</v>
          </cell>
          <cell r="Q231" t="str">
            <v>70*C</v>
          </cell>
          <cell r="R231"/>
          <cell r="S231"/>
          <cell r="AS231">
            <v>0</v>
          </cell>
          <cell r="AT231">
            <v>0</v>
          </cell>
          <cell r="AU231">
            <v>0</v>
          </cell>
          <cell r="AV231" t="str">
            <v>S010A180006</v>
          </cell>
          <cell r="AW231"/>
          <cell r="AX231">
            <v>14191</v>
          </cell>
          <cell r="BW231">
            <v>0</v>
          </cell>
          <cell r="BX231">
            <v>0</v>
          </cell>
          <cell r="BY231">
            <v>14191</v>
          </cell>
          <cell r="BZ231"/>
        </row>
        <row r="232">
          <cell r="F232" t="str">
            <v>06</v>
          </cell>
          <cell r="G232" t="str">
            <v>0</v>
          </cell>
          <cell r="H232" t="str">
            <v>1</v>
          </cell>
          <cell r="I232" t="str">
            <v>0</v>
          </cell>
          <cell r="J232" t="str">
            <v>0</v>
          </cell>
          <cell r="K232"/>
          <cell r="L232" t="str">
            <v>0100</v>
          </cell>
          <cell r="M232" t="str">
            <v>02</v>
          </cell>
          <cell r="N232" t="str">
            <v>08805605District Design and Led 18-21</v>
          </cell>
          <cell r="P232" t="str">
            <v>5010</v>
          </cell>
          <cell r="Q232" t="str">
            <v>70*C</v>
          </cell>
          <cell r="R232"/>
          <cell r="S232"/>
          <cell r="AS232">
            <v>0</v>
          </cell>
          <cell r="AT232">
            <v>0</v>
          </cell>
          <cell r="AU232">
            <v>0</v>
          </cell>
          <cell r="AV232" t="str">
            <v>S010A180006</v>
          </cell>
          <cell r="AW232"/>
          <cell r="AX232">
            <v>14191</v>
          </cell>
          <cell r="BW232">
            <v>0</v>
          </cell>
          <cell r="BX232">
            <v>0</v>
          </cell>
          <cell r="BY232">
            <v>14191</v>
          </cell>
          <cell r="BZ232"/>
        </row>
        <row r="233">
          <cell r="F233" t="str">
            <v>06</v>
          </cell>
          <cell r="G233" t="str">
            <v>1</v>
          </cell>
          <cell r="H233" t="str">
            <v>0</v>
          </cell>
          <cell r="I233" t="str">
            <v>0</v>
          </cell>
          <cell r="J233" t="str">
            <v>0</v>
          </cell>
          <cell r="K233"/>
          <cell r="L233" t="str">
            <v>1000</v>
          </cell>
          <cell r="M233" t="str">
            <v>01</v>
          </cell>
          <cell r="N233" t="str">
            <v>08805844District Design and Led 17-20</v>
          </cell>
          <cell r="O233" t="str">
            <v>S010A170006</v>
          </cell>
          <cell r="P233" t="str">
            <v>5010</v>
          </cell>
          <cell r="Q233" t="str">
            <v>70*C</v>
          </cell>
          <cell r="R233">
            <v>43173</v>
          </cell>
          <cell r="S233">
            <v>43173</v>
          </cell>
          <cell r="T233">
            <v>8046</v>
          </cell>
          <cell r="AS233">
            <v>0</v>
          </cell>
          <cell r="AT233">
            <v>0</v>
          </cell>
          <cell r="AU233">
            <v>8046</v>
          </cell>
          <cell r="AV233" t="str">
            <v>S010A170006</v>
          </cell>
          <cell r="AW233">
            <v>7631</v>
          </cell>
          <cell r="BK233">
            <v>-2167</v>
          </cell>
          <cell r="BW233">
            <v>-2167</v>
          </cell>
          <cell r="BX233">
            <v>0</v>
          </cell>
          <cell r="BY233">
            <v>13510</v>
          </cell>
        </row>
        <row r="234">
          <cell r="F234" t="str">
            <v>06</v>
          </cell>
          <cell r="G234" t="str">
            <v>0</v>
          </cell>
          <cell r="H234" t="str">
            <v>1</v>
          </cell>
          <cell r="I234" t="str">
            <v>0</v>
          </cell>
          <cell r="J234" t="str">
            <v>0</v>
          </cell>
          <cell r="K234"/>
          <cell r="L234" t="str">
            <v>0100</v>
          </cell>
          <cell r="M234" t="str">
            <v>02</v>
          </cell>
          <cell r="N234" t="str">
            <v>08805844District Design and Led 18-21</v>
          </cell>
          <cell r="P234" t="str">
            <v>5010</v>
          </cell>
          <cell r="Q234" t="str">
            <v>70*C</v>
          </cell>
          <cell r="R234"/>
          <cell r="S234"/>
          <cell r="AS234">
            <v>0</v>
          </cell>
          <cell r="AT234">
            <v>0</v>
          </cell>
          <cell r="AU234">
            <v>0</v>
          </cell>
          <cell r="AV234" t="str">
            <v>S010A180006</v>
          </cell>
          <cell r="AW234"/>
          <cell r="AX234">
            <v>7837</v>
          </cell>
          <cell r="BW234">
            <v>0</v>
          </cell>
          <cell r="BX234">
            <v>0</v>
          </cell>
          <cell r="BY234">
            <v>7837</v>
          </cell>
          <cell r="BZ234"/>
        </row>
        <row r="235">
          <cell r="F235"/>
          <cell r="G235"/>
          <cell r="H235"/>
          <cell r="I235"/>
          <cell r="J235"/>
          <cell r="K235"/>
          <cell r="L235"/>
          <cell r="M235"/>
          <cell r="N235" t="str">
            <v>08805844District Design and Led 20-23</v>
          </cell>
          <cell r="P235"/>
          <cell r="Q235"/>
          <cell r="R235"/>
          <cell r="S235"/>
          <cell r="T235"/>
          <cell r="U235"/>
          <cell r="V235"/>
          <cell r="W235"/>
          <cell r="X235"/>
          <cell r="Y235"/>
          <cell r="Z235"/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  <cell r="AN235"/>
          <cell r="AO235"/>
          <cell r="AP235"/>
          <cell r="AQ235"/>
          <cell r="AR235"/>
          <cell r="AS235"/>
          <cell r="AT235"/>
          <cell r="AU235"/>
          <cell r="AV235"/>
          <cell r="AW235"/>
          <cell r="AX235"/>
          <cell r="AY235"/>
          <cell r="AZ235"/>
          <cell r="BA235"/>
          <cell r="BB235"/>
          <cell r="BC235"/>
          <cell r="BD235"/>
          <cell r="BE235"/>
          <cell r="BF235"/>
          <cell r="BG235"/>
          <cell r="BH235"/>
          <cell r="BI235"/>
          <cell r="BJ235"/>
          <cell r="BK235"/>
          <cell r="BL235"/>
          <cell r="BM235"/>
          <cell r="BN235"/>
          <cell r="BO235"/>
          <cell r="BP235"/>
          <cell r="BQ235"/>
          <cell r="BR235"/>
          <cell r="BS235"/>
          <cell r="BT235"/>
          <cell r="BU235"/>
          <cell r="BV235"/>
          <cell r="BW235"/>
          <cell r="BX235"/>
          <cell r="BY235"/>
          <cell r="BZ235"/>
          <cell r="CA235"/>
          <cell r="CB235"/>
          <cell r="CC235"/>
          <cell r="CD235"/>
          <cell r="CE235"/>
          <cell r="CF235"/>
          <cell r="CG235"/>
          <cell r="CH235"/>
          <cell r="CI235"/>
          <cell r="CJ235"/>
          <cell r="CK235"/>
          <cell r="CL235"/>
          <cell r="CM235"/>
          <cell r="CN235"/>
          <cell r="CO235"/>
          <cell r="CP235"/>
          <cell r="CQ235"/>
          <cell r="CR235"/>
          <cell r="CS235"/>
          <cell r="CT235"/>
          <cell r="CU235"/>
          <cell r="CV235"/>
          <cell r="CW235"/>
          <cell r="CX235"/>
          <cell r="CY235"/>
          <cell r="CZ235"/>
          <cell r="DA235"/>
        </row>
        <row r="236">
          <cell r="F236" t="str">
            <v>06</v>
          </cell>
          <cell r="G236" t="str">
            <v>1</v>
          </cell>
          <cell r="H236" t="str">
            <v>0</v>
          </cell>
          <cell r="I236" t="str">
            <v>0</v>
          </cell>
          <cell r="J236" t="str">
            <v>0</v>
          </cell>
          <cell r="K236"/>
          <cell r="L236" t="str">
            <v>1000</v>
          </cell>
          <cell r="M236" t="str">
            <v>01</v>
          </cell>
          <cell r="N236" t="str">
            <v>08806002District Design and Led 17-20</v>
          </cell>
          <cell r="O236" t="str">
            <v>S010A170006</v>
          </cell>
          <cell r="P236" t="str">
            <v>5010</v>
          </cell>
          <cell r="Q236" t="str">
            <v>70*C</v>
          </cell>
          <cell r="R236">
            <v>43173</v>
          </cell>
          <cell r="S236">
            <v>43173</v>
          </cell>
          <cell r="T236">
            <v>18112</v>
          </cell>
          <cell r="AS236">
            <v>0</v>
          </cell>
          <cell r="AT236">
            <v>0</v>
          </cell>
          <cell r="AU236">
            <v>18112</v>
          </cell>
          <cell r="AV236" t="str">
            <v>S010A170006</v>
          </cell>
          <cell r="AW236">
            <v>14908</v>
          </cell>
          <cell r="BK236">
            <v>-5555</v>
          </cell>
          <cell r="BW236">
            <v>-5555</v>
          </cell>
          <cell r="BX236">
            <v>0</v>
          </cell>
          <cell r="BY236">
            <v>27465</v>
          </cell>
          <cell r="CK236">
            <v>-16558.93</v>
          </cell>
        </row>
        <row r="237">
          <cell r="F237" t="str">
            <v>06</v>
          </cell>
          <cell r="G237" t="str">
            <v>0</v>
          </cell>
          <cell r="H237" t="str">
            <v>1</v>
          </cell>
          <cell r="I237" t="str">
            <v>0</v>
          </cell>
          <cell r="J237" t="str">
            <v>0</v>
          </cell>
          <cell r="K237"/>
          <cell r="L237" t="str">
            <v>0100</v>
          </cell>
          <cell r="M237" t="str">
            <v>02</v>
          </cell>
          <cell r="N237" t="str">
            <v>08806308District Design and Led 18-21</v>
          </cell>
          <cell r="P237" t="str">
            <v>5010</v>
          </cell>
          <cell r="Q237" t="str">
            <v>70*C</v>
          </cell>
          <cell r="R237"/>
          <cell r="S237"/>
          <cell r="AS237">
            <v>0</v>
          </cell>
          <cell r="AT237">
            <v>0</v>
          </cell>
          <cell r="AU237">
            <v>0</v>
          </cell>
          <cell r="AV237" t="str">
            <v>S010A180006</v>
          </cell>
          <cell r="AW237"/>
          <cell r="AX237">
            <v>7837</v>
          </cell>
          <cell r="BW237">
            <v>0</v>
          </cell>
          <cell r="BX237">
            <v>0</v>
          </cell>
          <cell r="BY237">
            <v>7837</v>
          </cell>
          <cell r="BZ237"/>
        </row>
        <row r="238">
          <cell r="F238"/>
          <cell r="G238"/>
          <cell r="H238"/>
          <cell r="I238"/>
          <cell r="J238"/>
          <cell r="K238"/>
          <cell r="L238"/>
          <cell r="M238"/>
          <cell r="N238" t="str">
            <v>08806308District Design and Led 20-23</v>
          </cell>
          <cell r="P238"/>
          <cell r="Q238"/>
          <cell r="R238"/>
          <cell r="S238"/>
          <cell r="T238"/>
          <cell r="U238"/>
          <cell r="V238"/>
          <cell r="W238"/>
          <cell r="X238"/>
          <cell r="Y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/>
          <cell r="BZ238"/>
          <cell r="CA238"/>
          <cell r="CB238"/>
          <cell r="CC238"/>
          <cell r="CD238"/>
          <cell r="CE238"/>
          <cell r="CF238"/>
          <cell r="CG238"/>
          <cell r="CH238"/>
          <cell r="CI238"/>
          <cell r="CJ238"/>
          <cell r="CK238"/>
          <cell r="CL238"/>
          <cell r="CM238"/>
          <cell r="CN238"/>
          <cell r="CO238"/>
          <cell r="CP238"/>
          <cell r="CQ238"/>
          <cell r="CR238"/>
          <cell r="CS238"/>
          <cell r="CT238"/>
          <cell r="CU238"/>
          <cell r="CV238"/>
          <cell r="CW238"/>
          <cell r="CX238"/>
          <cell r="CY238"/>
          <cell r="CZ238"/>
          <cell r="DA238"/>
        </row>
        <row r="239">
          <cell r="F239" t="str">
            <v>06</v>
          </cell>
          <cell r="G239" t="str">
            <v>0</v>
          </cell>
          <cell r="H239" t="str">
            <v>1</v>
          </cell>
          <cell r="I239" t="str">
            <v>0</v>
          </cell>
          <cell r="J239" t="str">
            <v>0</v>
          </cell>
          <cell r="K239"/>
          <cell r="L239" t="str">
            <v>0100</v>
          </cell>
          <cell r="M239" t="str">
            <v>02</v>
          </cell>
          <cell r="N239" t="str">
            <v>08806970District Design and Led 18-21</v>
          </cell>
          <cell r="P239" t="str">
            <v>5010</v>
          </cell>
          <cell r="Q239" t="str">
            <v>70*C</v>
          </cell>
          <cell r="R239"/>
          <cell r="S239"/>
          <cell r="AS239">
            <v>0</v>
          </cell>
          <cell r="AT239">
            <v>0</v>
          </cell>
          <cell r="AU239">
            <v>0</v>
          </cell>
          <cell r="AV239" t="str">
            <v>S010A180006</v>
          </cell>
          <cell r="AW239"/>
          <cell r="AX239">
            <v>42469</v>
          </cell>
          <cell r="BW239">
            <v>0</v>
          </cell>
          <cell r="BX239">
            <v>0</v>
          </cell>
          <cell r="BY239">
            <v>42469</v>
          </cell>
          <cell r="BZ239"/>
        </row>
        <row r="240">
          <cell r="F240" t="str">
            <v>06</v>
          </cell>
          <cell r="G240" t="str">
            <v>0</v>
          </cell>
          <cell r="H240" t="str">
            <v>1</v>
          </cell>
          <cell r="I240" t="str">
            <v>0</v>
          </cell>
          <cell r="J240" t="str">
            <v>0</v>
          </cell>
          <cell r="K240"/>
          <cell r="L240" t="str">
            <v>0100</v>
          </cell>
          <cell r="M240" t="str">
            <v>02</v>
          </cell>
          <cell r="N240" t="str">
            <v>08807163District Design and Led 18-21</v>
          </cell>
          <cell r="P240" t="str">
            <v>5010</v>
          </cell>
          <cell r="Q240" t="str">
            <v>70*C</v>
          </cell>
          <cell r="R240"/>
          <cell r="S240"/>
          <cell r="AS240">
            <v>0</v>
          </cell>
          <cell r="AT240">
            <v>0</v>
          </cell>
          <cell r="AU240">
            <v>0</v>
          </cell>
          <cell r="AV240" t="str">
            <v>S010A180006</v>
          </cell>
          <cell r="AW240"/>
          <cell r="AX240">
            <v>22028</v>
          </cell>
          <cell r="BW240">
            <v>0</v>
          </cell>
          <cell r="BX240">
            <v>0</v>
          </cell>
          <cell r="BY240">
            <v>22028</v>
          </cell>
          <cell r="BZ240"/>
        </row>
        <row r="241">
          <cell r="F241" t="str">
            <v>06</v>
          </cell>
          <cell r="G241" t="str">
            <v>1</v>
          </cell>
          <cell r="H241" t="str">
            <v>0</v>
          </cell>
          <cell r="I241" t="str">
            <v>0</v>
          </cell>
          <cell r="J241" t="str">
            <v>0</v>
          </cell>
          <cell r="K241"/>
          <cell r="L241" t="str">
            <v>1000</v>
          </cell>
          <cell r="M241" t="str">
            <v>01</v>
          </cell>
          <cell r="N241" t="str">
            <v>08807188District Design and Led 17-20</v>
          </cell>
          <cell r="O241" t="str">
            <v>S010A170006</v>
          </cell>
          <cell r="P241" t="str">
            <v>5010</v>
          </cell>
          <cell r="Q241" t="str">
            <v>70*C</v>
          </cell>
          <cell r="R241">
            <v>43173</v>
          </cell>
          <cell r="S241">
            <v>43173</v>
          </cell>
          <cell r="T241">
            <v>18112</v>
          </cell>
          <cell r="AS241">
            <v>0</v>
          </cell>
          <cell r="AT241">
            <v>0</v>
          </cell>
          <cell r="AU241">
            <v>18112</v>
          </cell>
          <cell r="AV241" t="str">
            <v>S010A170006</v>
          </cell>
          <cell r="AW241">
            <v>14908</v>
          </cell>
          <cell r="BK241">
            <v>-5555</v>
          </cell>
          <cell r="BW241">
            <v>-5555</v>
          </cell>
          <cell r="BX241">
            <v>0</v>
          </cell>
          <cell r="BY241">
            <v>27465</v>
          </cell>
          <cell r="CK241">
            <v>-10581.04</v>
          </cell>
        </row>
        <row r="242">
          <cell r="F242" t="str">
            <v>06</v>
          </cell>
          <cell r="G242" t="str">
            <v>0</v>
          </cell>
          <cell r="H242" t="str">
            <v>1</v>
          </cell>
          <cell r="I242" t="str">
            <v>0</v>
          </cell>
          <cell r="J242" t="str">
            <v>0</v>
          </cell>
          <cell r="K242"/>
          <cell r="L242" t="str">
            <v>0100</v>
          </cell>
          <cell r="M242" t="str">
            <v>02</v>
          </cell>
          <cell r="N242" t="str">
            <v>08807188District Design and Led 18-21</v>
          </cell>
          <cell r="P242" t="str">
            <v>5010</v>
          </cell>
          <cell r="Q242" t="str">
            <v>70*C</v>
          </cell>
          <cell r="R242"/>
          <cell r="S242"/>
          <cell r="AS242">
            <v>0</v>
          </cell>
          <cell r="AT242">
            <v>0</v>
          </cell>
          <cell r="AU242">
            <v>0</v>
          </cell>
          <cell r="AV242" t="str">
            <v>S010A180006</v>
          </cell>
          <cell r="AW242"/>
          <cell r="AX242">
            <v>28278</v>
          </cell>
          <cell r="BW242">
            <v>0</v>
          </cell>
          <cell r="BX242">
            <v>0</v>
          </cell>
          <cell r="BY242">
            <v>28278</v>
          </cell>
          <cell r="BZ242"/>
        </row>
        <row r="243">
          <cell r="F243" t="str">
            <v>06</v>
          </cell>
          <cell r="G243" t="str">
            <v>0</v>
          </cell>
          <cell r="H243" t="str">
            <v>1</v>
          </cell>
          <cell r="I243" t="str">
            <v>0</v>
          </cell>
          <cell r="J243" t="str">
            <v>0</v>
          </cell>
          <cell r="K243"/>
          <cell r="L243" t="str">
            <v>0100</v>
          </cell>
          <cell r="M243" t="str">
            <v>02</v>
          </cell>
          <cell r="N243" t="str">
            <v>08807361District Design and Led 18-21</v>
          </cell>
          <cell r="P243" t="str">
            <v>5010</v>
          </cell>
          <cell r="Q243" t="str">
            <v>70*C</v>
          </cell>
          <cell r="R243"/>
          <cell r="S243"/>
          <cell r="AS243">
            <v>0</v>
          </cell>
          <cell r="AT243">
            <v>0</v>
          </cell>
          <cell r="AU243">
            <v>0</v>
          </cell>
          <cell r="AV243" t="str">
            <v>S010A180006</v>
          </cell>
          <cell r="AW243"/>
          <cell r="AX243">
            <v>7837</v>
          </cell>
          <cell r="BW243">
            <v>0</v>
          </cell>
          <cell r="BX243">
            <v>0</v>
          </cell>
          <cell r="BY243">
            <v>7837</v>
          </cell>
          <cell r="BZ243"/>
        </row>
        <row r="244">
          <cell r="F244" t="str">
            <v>06</v>
          </cell>
          <cell r="G244" t="str">
            <v>0</v>
          </cell>
          <cell r="H244" t="str">
            <v>1</v>
          </cell>
          <cell r="I244" t="str">
            <v>0</v>
          </cell>
          <cell r="J244" t="str">
            <v>0</v>
          </cell>
          <cell r="K244"/>
          <cell r="L244" t="str">
            <v>0100</v>
          </cell>
          <cell r="M244" t="str">
            <v>02</v>
          </cell>
          <cell r="N244" t="str">
            <v>08807694District Design and Led 18-21</v>
          </cell>
          <cell r="P244" t="str">
            <v>5010</v>
          </cell>
          <cell r="Q244" t="str">
            <v>70*C</v>
          </cell>
          <cell r="R244"/>
          <cell r="S244"/>
          <cell r="AS244">
            <v>0</v>
          </cell>
          <cell r="AT244">
            <v>0</v>
          </cell>
          <cell r="AU244">
            <v>0</v>
          </cell>
          <cell r="AV244" t="str">
            <v>S010A180006</v>
          </cell>
          <cell r="AW244"/>
          <cell r="AX244">
            <v>14191</v>
          </cell>
          <cell r="BW244">
            <v>0</v>
          </cell>
          <cell r="BX244">
            <v>0</v>
          </cell>
          <cell r="BY244">
            <v>14191</v>
          </cell>
          <cell r="BZ244"/>
        </row>
        <row r="245">
          <cell r="F245" t="str">
            <v>06</v>
          </cell>
          <cell r="G245" t="str">
            <v>1</v>
          </cell>
          <cell r="H245" t="str">
            <v>0</v>
          </cell>
          <cell r="I245" t="str">
            <v>0</v>
          </cell>
          <cell r="J245" t="str">
            <v>0</v>
          </cell>
          <cell r="K245"/>
          <cell r="L245" t="str">
            <v>1000</v>
          </cell>
          <cell r="M245" t="str">
            <v>01</v>
          </cell>
          <cell r="N245" t="str">
            <v>08807698District Design and Led 17-20</v>
          </cell>
          <cell r="O245" t="str">
            <v>S010A170006</v>
          </cell>
          <cell r="P245" t="str">
            <v>5010</v>
          </cell>
          <cell r="Q245" t="str">
            <v>70*C</v>
          </cell>
          <cell r="R245">
            <v>43173</v>
          </cell>
          <cell r="S245">
            <v>43173</v>
          </cell>
          <cell r="T245">
            <v>18112</v>
          </cell>
          <cell r="AS245">
            <v>0</v>
          </cell>
          <cell r="AT245">
            <v>0</v>
          </cell>
          <cell r="AU245">
            <v>18112</v>
          </cell>
          <cell r="AV245" t="str">
            <v>S010A170006</v>
          </cell>
          <cell r="AW245">
            <v>14908</v>
          </cell>
          <cell r="BK245">
            <v>-5555</v>
          </cell>
          <cell r="BW245">
            <v>-5555</v>
          </cell>
          <cell r="BX245">
            <v>0</v>
          </cell>
          <cell r="BY245">
            <v>27465</v>
          </cell>
          <cell r="CK245">
            <v>-13578.01</v>
          </cell>
        </row>
        <row r="246">
          <cell r="F246" t="str">
            <v>06</v>
          </cell>
          <cell r="G246" t="str">
            <v>0</v>
          </cell>
          <cell r="H246" t="str">
            <v>1</v>
          </cell>
          <cell r="I246" t="str">
            <v>0</v>
          </cell>
          <cell r="J246" t="str">
            <v>0</v>
          </cell>
          <cell r="K246"/>
          <cell r="L246" t="str">
            <v>0100</v>
          </cell>
          <cell r="M246" t="str">
            <v>02</v>
          </cell>
          <cell r="N246" t="str">
            <v>08808006District Design and Led 18-21</v>
          </cell>
          <cell r="P246" t="str">
            <v>5010</v>
          </cell>
          <cell r="Q246" t="str">
            <v>70*C</v>
          </cell>
          <cell r="R246"/>
          <cell r="S246"/>
          <cell r="AS246">
            <v>0</v>
          </cell>
          <cell r="AT246">
            <v>0</v>
          </cell>
          <cell r="AU246">
            <v>0</v>
          </cell>
          <cell r="AV246" t="str">
            <v>S010A180006</v>
          </cell>
          <cell r="AW246"/>
          <cell r="AX246">
            <v>7837</v>
          </cell>
          <cell r="BW246">
            <v>0</v>
          </cell>
          <cell r="BX246">
            <v>0</v>
          </cell>
          <cell r="BY246">
            <v>7837</v>
          </cell>
          <cell r="BZ246"/>
        </row>
        <row r="247">
          <cell r="F247" t="str">
            <v>06</v>
          </cell>
          <cell r="G247" t="str">
            <v>0</v>
          </cell>
          <cell r="H247" t="str">
            <v>0</v>
          </cell>
          <cell r="I247" t="str">
            <v>0</v>
          </cell>
          <cell r="J247" t="str">
            <v>0</v>
          </cell>
          <cell r="K247"/>
          <cell r="L247" t="str">
            <v>0000</v>
          </cell>
          <cell r="M247" t="str">
            <v>X</v>
          </cell>
          <cell r="N247" t="str">
            <v>08808145District Design and Led 19-22</v>
          </cell>
          <cell r="P247" t="str">
            <v>5010</v>
          </cell>
          <cell r="Q247" t="str">
            <v>70*C</v>
          </cell>
          <cell r="R247"/>
          <cell r="S247"/>
          <cell r="AS247">
            <v>0</v>
          </cell>
          <cell r="AT247">
            <v>0</v>
          </cell>
          <cell r="AU247">
            <v>0</v>
          </cell>
          <cell r="AW247"/>
          <cell r="BW247">
            <v>0</v>
          </cell>
          <cell r="BX247">
            <v>0</v>
          </cell>
          <cell r="BY247">
            <v>0</v>
          </cell>
          <cell r="BZ247"/>
        </row>
        <row r="248">
          <cell r="F248"/>
          <cell r="G248"/>
          <cell r="H248"/>
          <cell r="I248"/>
          <cell r="J248"/>
          <cell r="K248"/>
          <cell r="L248"/>
          <cell r="M248"/>
          <cell r="N248" t="str">
            <v>08808145District Design and Led 20-23</v>
          </cell>
          <cell r="P248"/>
          <cell r="Q248"/>
          <cell r="R248"/>
          <cell r="S248"/>
          <cell r="T248"/>
          <cell r="U248"/>
          <cell r="V248"/>
          <cell r="W248"/>
          <cell r="X248"/>
          <cell r="Y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  <cell r="AN248"/>
          <cell r="AO248"/>
          <cell r="AP248"/>
          <cell r="AQ248"/>
          <cell r="AR248"/>
          <cell r="AS248"/>
          <cell r="AT248"/>
          <cell r="AU248"/>
          <cell r="AV248"/>
          <cell r="AW248"/>
          <cell r="AX248"/>
          <cell r="AY248"/>
          <cell r="AZ248"/>
          <cell r="BA248"/>
          <cell r="BB248"/>
          <cell r="BC248"/>
          <cell r="BD248"/>
          <cell r="BE248"/>
          <cell r="BF248"/>
          <cell r="BG248"/>
          <cell r="BH248"/>
          <cell r="BI248"/>
          <cell r="BJ248"/>
          <cell r="BK248"/>
          <cell r="BL248"/>
          <cell r="BM248"/>
          <cell r="BN248"/>
          <cell r="BO248"/>
          <cell r="BP248"/>
          <cell r="BQ248"/>
          <cell r="BR248"/>
          <cell r="BS248"/>
          <cell r="BT248"/>
          <cell r="BU248"/>
          <cell r="BV248"/>
          <cell r="BW248"/>
          <cell r="BX248"/>
          <cell r="BY248"/>
          <cell r="BZ248"/>
          <cell r="CA248"/>
          <cell r="CB248"/>
          <cell r="CC248"/>
          <cell r="CD248"/>
          <cell r="CE248"/>
          <cell r="CF248"/>
          <cell r="CG248"/>
          <cell r="CH248"/>
          <cell r="CI248"/>
          <cell r="CJ248"/>
          <cell r="CK248"/>
          <cell r="CL248"/>
          <cell r="CM248"/>
          <cell r="CN248"/>
          <cell r="CO248"/>
          <cell r="CP248"/>
          <cell r="CQ248"/>
          <cell r="CR248"/>
          <cell r="CS248"/>
          <cell r="CT248"/>
          <cell r="CU248"/>
          <cell r="CV248"/>
          <cell r="CW248"/>
          <cell r="CX248"/>
          <cell r="CY248"/>
          <cell r="CZ248"/>
          <cell r="DA248"/>
        </row>
        <row r="249">
          <cell r="F249" t="str">
            <v>06</v>
          </cell>
          <cell r="G249" t="str">
            <v>0</v>
          </cell>
          <cell r="H249" t="str">
            <v>1</v>
          </cell>
          <cell r="I249" t="str">
            <v>0</v>
          </cell>
          <cell r="J249" t="str">
            <v>0</v>
          </cell>
          <cell r="K249"/>
          <cell r="L249" t="str">
            <v>0100</v>
          </cell>
          <cell r="M249" t="str">
            <v>02</v>
          </cell>
          <cell r="N249" t="str">
            <v>08808422District Design and Led 18-21</v>
          </cell>
          <cell r="P249" t="str">
            <v>5010</v>
          </cell>
          <cell r="Q249" t="str">
            <v>70*C</v>
          </cell>
          <cell r="R249"/>
          <cell r="S249"/>
          <cell r="AS249">
            <v>0</v>
          </cell>
          <cell r="AT249">
            <v>0</v>
          </cell>
          <cell r="AU249">
            <v>0</v>
          </cell>
          <cell r="AV249" t="str">
            <v>S010A180006</v>
          </cell>
          <cell r="AW249"/>
          <cell r="AX249">
            <v>7837</v>
          </cell>
          <cell r="BW249">
            <v>0</v>
          </cell>
          <cell r="BX249">
            <v>0</v>
          </cell>
          <cell r="BY249">
            <v>7837</v>
          </cell>
          <cell r="BZ249"/>
        </row>
        <row r="250">
          <cell r="F250" t="str">
            <v>06</v>
          </cell>
          <cell r="G250" t="str">
            <v>1</v>
          </cell>
          <cell r="H250" t="str">
            <v>0</v>
          </cell>
          <cell r="I250" t="str">
            <v>0</v>
          </cell>
          <cell r="J250" t="str">
            <v>0</v>
          </cell>
          <cell r="K250"/>
          <cell r="L250" t="str">
            <v>1000</v>
          </cell>
          <cell r="M250" t="str">
            <v>01</v>
          </cell>
          <cell r="N250" t="str">
            <v>08808888District Design and Led 17-20</v>
          </cell>
          <cell r="O250" t="str">
            <v>S010A170006</v>
          </cell>
          <cell r="P250" t="str">
            <v>5010</v>
          </cell>
          <cell r="Q250" t="str">
            <v>70*C</v>
          </cell>
          <cell r="R250">
            <v>43173</v>
          </cell>
          <cell r="S250">
            <v>43173</v>
          </cell>
          <cell r="T250">
            <v>8046</v>
          </cell>
          <cell r="AS250">
            <v>0</v>
          </cell>
          <cell r="AT250">
            <v>0</v>
          </cell>
          <cell r="AU250">
            <v>8046</v>
          </cell>
          <cell r="AV250" t="str">
            <v>S010A170006</v>
          </cell>
          <cell r="AW250">
            <v>7631</v>
          </cell>
          <cell r="BK250">
            <v>-2167</v>
          </cell>
          <cell r="BW250">
            <v>-2167</v>
          </cell>
          <cell r="BX250">
            <v>0</v>
          </cell>
          <cell r="BY250">
            <v>13510</v>
          </cell>
        </row>
        <row r="251">
          <cell r="F251" t="str">
            <v>06</v>
          </cell>
          <cell r="G251" t="str">
            <v>0</v>
          </cell>
          <cell r="H251" t="str">
            <v>1</v>
          </cell>
          <cell r="I251" t="str">
            <v>0</v>
          </cell>
          <cell r="J251" t="str">
            <v>0</v>
          </cell>
          <cell r="K251"/>
          <cell r="L251" t="str">
            <v>0100</v>
          </cell>
          <cell r="M251" t="str">
            <v>02</v>
          </cell>
          <cell r="N251" t="str">
            <v>08808888District Design and Led 18-21</v>
          </cell>
          <cell r="P251" t="str">
            <v>5010</v>
          </cell>
          <cell r="Q251" t="str">
            <v>70*C</v>
          </cell>
          <cell r="R251"/>
          <cell r="S251"/>
          <cell r="AS251">
            <v>0</v>
          </cell>
          <cell r="AT251">
            <v>0</v>
          </cell>
          <cell r="AU251">
            <v>0</v>
          </cell>
          <cell r="AV251" t="str">
            <v>S010A180006</v>
          </cell>
          <cell r="AW251"/>
          <cell r="AX251">
            <v>7837</v>
          </cell>
          <cell r="BW251">
            <v>0</v>
          </cell>
          <cell r="BX251">
            <v>0</v>
          </cell>
          <cell r="BY251">
            <v>7837</v>
          </cell>
          <cell r="BZ251"/>
        </row>
        <row r="252">
          <cell r="F252" t="str">
            <v>06</v>
          </cell>
          <cell r="G252" t="str">
            <v>0</v>
          </cell>
          <cell r="H252" t="str">
            <v>1</v>
          </cell>
          <cell r="I252" t="str">
            <v>0</v>
          </cell>
          <cell r="J252" t="str">
            <v>0</v>
          </cell>
          <cell r="K252"/>
          <cell r="L252" t="str">
            <v>0100</v>
          </cell>
          <cell r="M252" t="str">
            <v>02</v>
          </cell>
          <cell r="N252" t="str">
            <v>08808995District Design and Led 18-21</v>
          </cell>
          <cell r="P252" t="str">
            <v>5010</v>
          </cell>
          <cell r="Q252" t="str">
            <v>70*C</v>
          </cell>
          <cell r="R252"/>
          <cell r="S252"/>
          <cell r="AS252">
            <v>0</v>
          </cell>
          <cell r="AT252">
            <v>0</v>
          </cell>
          <cell r="AU252">
            <v>0</v>
          </cell>
          <cell r="AV252" t="str">
            <v>S010A180006</v>
          </cell>
          <cell r="AW252"/>
          <cell r="AX252">
            <v>7837</v>
          </cell>
          <cell r="BW252">
            <v>0</v>
          </cell>
          <cell r="BX252">
            <v>0</v>
          </cell>
          <cell r="BY252">
            <v>7837</v>
          </cell>
          <cell r="BZ252"/>
        </row>
        <row r="253">
          <cell r="F253" t="str">
            <v>06</v>
          </cell>
          <cell r="G253" t="str">
            <v>0</v>
          </cell>
          <cell r="H253" t="str">
            <v>1</v>
          </cell>
          <cell r="I253" t="str">
            <v>0</v>
          </cell>
          <cell r="J253" t="str">
            <v>0</v>
          </cell>
          <cell r="K253"/>
          <cell r="L253" t="str">
            <v>0100</v>
          </cell>
          <cell r="M253" t="str">
            <v>02</v>
          </cell>
          <cell r="N253" t="str">
            <v>08809050District Design and Led 18-21</v>
          </cell>
          <cell r="P253" t="str">
            <v>5010</v>
          </cell>
          <cell r="Q253" t="str">
            <v>70*C</v>
          </cell>
          <cell r="R253"/>
          <cell r="S253"/>
          <cell r="AS253">
            <v>0</v>
          </cell>
          <cell r="AT253">
            <v>0</v>
          </cell>
          <cell r="AU253">
            <v>0</v>
          </cell>
          <cell r="AV253" t="str">
            <v>S010A180006</v>
          </cell>
          <cell r="AW253"/>
          <cell r="AX253">
            <v>28278</v>
          </cell>
          <cell r="BW253">
            <v>0</v>
          </cell>
          <cell r="BX253">
            <v>0</v>
          </cell>
          <cell r="BY253">
            <v>28278</v>
          </cell>
          <cell r="BZ253"/>
        </row>
        <row r="254">
          <cell r="F254" t="str">
            <v>06</v>
          </cell>
          <cell r="G254" t="str">
            <v>1</v>
          </cell>
          <cell r="H254" t="str">
            <v>0</v>
          </cell>
          <cell r="I254" t="str">
            <v>0</v>
          </cell>
          <cell r="J254" t="str">
            <v>0</v>
          </cell>
          <cell r="K254"/>
          <cell r="L254" t="str">
            <v>1000</v>
          </cell>
          <cell r="M254" t="str">
            <v>01</v>
          </cell>
          <cell r="N254" t="str">
            <v>08809496District Design and Led 17-20</v>
          </cell>
          <cell r="O254" t="str">
            <v>S010A170006</v>
          </cell>
          <cell r="P254" t="str">
            <v>5010</v>
          </cell>
          <cell r="Q254" t="str">
            <v>70*C</v>
          </cell>
          <cell r="R254">
            <v>43173</v>
          </cell>
          <cell r="S254">
            <v>43173</v>
          </cell>
          <cell r="T254">
            <v>8046</v>
          </cell>
          <cell r="AS254">
            <v>0</v>
          </cell>
          <cell r="AT254">
            <v>0</v>
          </cell>
          <cell r="AU254">
            <v>8046</v>
          </cell>
          <cell r="AV254" t="str">
            <v>S010A170006</v>
          </cell>
          <cell r="AW254">
            <v>7631</v>
          </cell>
          <cell r="BK254">
            <v>-2167</v>
          </cell>
          <cell r="BW254">
            <v>-2167</v>
          </cell>
          <cell r="BX254">
            <v>0</v>
          </cell>
          <cell r="BY254">
            <v>13510</v>
          </cell>
        </row>
        <row r="255">
          <cell r="F255" t="str">
            <v>06</v>
          </cell>
          <cell r="G255" t="str">
            <v>1</v>
          </cell>
          <cell r="H255" t="str">
            <v>0</v>
          </cell>
          <cell r="I255" t="str">
            <v>0</v>
          </cell>
          <cell r="J255" t="str">
            <v>0</v>
          </cell>
          <cell r="K255"/>
          <cell r="L255" t="str">
            <v>1000</v>
          </cell>
          <cell r="M255" t="str">
            <v>01</v>
          </cell>
          <cell r="N255" t="str">
            <v>0880N/ADistrict Design and Led 17-20</v>
          </cell>
          <cell r="O255" t="str">
            <v>S010A170006</v>
          </cell>
          <cell r="P255" t="str">
            <v>5010</v>
          </cell>
          <cell r="Q255" t="str">
            <v>70*C</v>
          </cell>
          <cell r="R255">
            <v>43173</v>
          </cell>
          <cell r="S255">
            <v>43173</v>
          </cell>
          <cell r="T255">
            <v>21148</v>
          </cell>
          <cell r="U255"/>
          <cell r="V255"/>
          <cell r="W255"/>
          <cell r="X255"/>
          <cell r="Y255"/>
          <cell r="Z255"/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/>
          <cell r="AN255"/>
          <cell r="AO255"/>
          <cell r="AP255"/>
          <cell r="AQ255"/>
          <cell r="AR255"/>
          <cell r="AS255">
            <v>0</v>
          </cell>
          <cell r="AT255">
            <v>0</v>
          </cell>
          <cell r="AU255">
            <v>21148</v>
          </cell>
          <cell r="AV255" t="str">
            <v>S010A170006</v>
          </cell>
          <cell r="AW255">
            <v>644444</v>
          </cell>
          <cell r="AX255"/>
          <cell r="AY255"/>
          <cell r="AZ255"/>
          <cell r="BA255"/>
          <cell r="BB255"/>
          <cell r="BC255"/>
          <cell r="BD255"/>
          <cell r="BE255"/>
          <cell r="BF255"/>
          <cell r="BG255"/>
          <cell r="BH255"/>
          <cell r="BI255"/>
          <cell r="BJ255"/>
          <cell r="BK255"/>
          <cell r="BL255"/>
          <cell r="BM255"/>
          <cell r="BN255"/>
          <cell r="BO255"/>
          <cell r="BP255"/>
          <cell r="BQ255"/>
          <cell r="BR255"/>
          <cell r="BS255"/>
          <cell r="BT255"/>
          <cell r="BU255"/>
          <cell r="BV255"/>
          <cell r="BW255">
            <v>0</v>
          </cell>
          <cell r="BX255">
            <v>0</v>
          </cell>
          <cell r="BY255">
            <v>665592</v>
          </cell>
          <cell r="BZ255" t="str">
            <v>S010A180006</v>
          </cell>
          <cell r="CA255">
            <v>866829</v>
          </cell>
          <cell r="CB255"/>
          <cell r="CC255"/>
          <cell r="CD255"/>
          <cell r="CE255"/>
          <cell r="CF255"/>
          <cell r="CG255"/>
          <cell r="CH255"/>
          <cell r="CI255"/>
          <cell r="CJ255"/>
          <cell r="CK255"/>
          <cell r="CL255"/>
          <cell r="CM255"/>
          <cell r="CN255"/>
          <cell r="CO255"/>
          <cell r="CP255"/>
          <cell r="CQ255"/>
          <cell r="CR255"/>
          <cell r="CS255"/>
          <cell r="CT255"/>
          <cell r="CU255"/>
          <cell r="CV255"/>
          <cell r="CW255"/>
          <cell r="CX255"/>
          <cell r="CY255"/>
          <cell r="CZ255"/>
          <cell r="DA255"/>
        </row>
        <row r="256">
          <cell r="F256" t="str">
            <v>06</v>
          </cell>
          <cell r="G256" t="str">
            <v>0</v>
          </cell>
          <cell r="H256" t="str">
            <v>1</v>
          </cell>
          <cell r="I256" t="str">
            <v>0</v>
          </cell>
          <cell r="J256" t="str">
            <v>0</v>
          </cell>
          <cell r="K256"/>
          <cell r="L256" t="str">
            <v>0100</v>
          </cell>
          <cell r="M256" t="str">
            <v>02</v>
          </cell>
          <cell r="N256" t="str">
            <v>0880N/ADistrict Design and Led 18-21</v>
          </cell>
          <cell r="P256" t="str">
            <v>5010</v>
          </cell>
          <cell r="Q256" t="str">
            <v>70*C</v>
          </cell>
          <cell r="R256"/>
          <cell r="S256"/>
          <cell r="T256"/>
          <cell r="U256"/>
          <cell r="V256"/>
          <cell r="W256"/>
          <cell r="X256"/>
          <cell r="Y256"/>
          <cell r="Z256"/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  <cell r="AN256"/>
          <cell r="AO256"/>
          <cell r="AP256"/>
          <cell r="AQ256"/>
          <cell r="AR256"/>
          <cell r="AS256">
            <v>0</v>
          </cell>
          <cell r="AT256">
            <v>0</v>
          </cell>
          <cell r="AU256">
            <v>0</v>
          </cell>
          <cell r="AV256" t="str">
            <v>S010A180006</v>
          </cell>
          <cell r="AW256"/>
          <cell r="AX256">
            <v>117650</v>
          </cell>
          <cell r="AY256"/>
          <cell r="AZ256"/>
          <cell r="BA256"/>
          <cell r="BB256"/>
          <cell r="BC256"/>
          <cell r="BD256"/>
          <cell r="BE256"/>
          <cell r="BF256"/>
          <cell r="BG256"/>
          <cell r="BH256"/>
          <cell r="BI256"/>
          <cell r="BJ256"/>
          <cell r="BK256"/>
          <cell r="BL256"/>
          <cell r="BM256"/>
          <cell r="BN256"/>
          <cell r="BO256"/>
          <cell r="BP256"/>
          <cell r="BQ256"/>
          <cell r="BR256"/>
          <cell r="BS256"/>
          <cell r="BT256"/>
          <cell r="BU256"/>
          <cell r="BV256"/>
          <cell r="BW256">
            <v>0</v>
          </cell>
          <cell r="BX256">
            <v>0</v>
          </cell>
          <cell r="BY256">
            <v>117650</v>
          </cell>
          <cell r="BZ256" t="str">
            <v>S010A190006</v>
          </cell>
          <cell r="CA256"/>
          <cell r="CB256">
            <v>592383</v>
          </cell>
          <cell r="CC256"/>
          <cell r="CD256"/>
          <cell r="CE256"/>
          <cell r="CF256"/>
          <cell r="CG256"/>
          <cell r="CH256"/>
          <cell r="CI256"/>
          <cell r="CJ256"/>
          <cell r="CK256"/>
          <cell r="CL256"/>
          <cell r="CM256"/>
          <cell r="CN256"/>
          <cell r="CO256"/>
          <cell r="CP256"/>
          <cell r="CQ256"/>
          <cell r="CR256"/>
          <cell r="CS256"/>
          <cell r="CT256"/>
          <cell r="CU256"/>
          <cell r="CV256"/>
          <cell r="CW256"/>
          <cell r="CX256"/>
          <cell r="CY256"/>
          <cell r="CZ256"/>
          <cell r="DA256"/>
        </row>
        <row r="257">
          <cell r="F257"/>
          <cell r="G257"/>
          <cell r="H257"/>
          <cell r="I257"/>
          <cell r="J257"/>
          <cell r="K257"/>
          <cell r="L257"/>
          <cell r="M257"/>
          <cell r="N257" t="str">
            <v>09109999District Design and Led 20-23</v>
          </cell>
          <cell r="P257" t="str">
            <v>5010</v>
          </cell>
          <cell r="Q257"/>
          <cell r="R257"/>
          <cell r="S257"/>
          <cell r="T257"/>
          <cell r="U257"/>
          <cell r="V257"/>
          <cell r="W257"/>
          <cell r="X257"/>
          <cell r="Y257"/>
          <cell r="Z257"/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  <cell r="AN257"/>
          <cell r="AO257"/>
          <cell r="AP257"/>
          <cell r="AQ257"/>
          <cell r="AR257"/>
          <cell r="AS257"/>
          <cell r="AT257"/>
          <cell r="AU257"/>
          <cell r="AV257"/>
          <cell r="AW257"/>
          <cell r="AX257"/>
          <cell r="AY257"/>
          <cell r="AZ257"/>
          <cell r="BA257"/>
          <cell r="BB257"/>
          <cell r="BC257"/>
          <cell r="BD257"/>
          <cell r="BE257"/>
          <cell r="BF257"/>
          <cell r="BG257"/>
          <cell r="BH257"/>
          <cell r="BI257"/>
          <cell r="BJ257"/>
          <cell r="BK257"/>
          <cell r="BL257"/>
          <cell r="BM257"/>
          <cell r="BN257"/>
          <cell r="BO257"/>
          <cell r="BP257"/>
          <cell r="BQ257"/>
          <cell r="BR257"/>
          <cell r="BS257"/>
          <cell r="BT257"/>
          <cell r="BU257"/>
          <cell r="BV257"/>
          <cell r="BW257"/>
          <cell r="BX257"/>
          <cell r="BY257"/>
          <cell r="BZ257"/>
          <cell r="CA257"/>
          <cell r="CB257"/>
          <cell r="CC257"/>
          <cell r="CD257"/>
          <cell r="CE257"/>
          <cell r="CF257"/>
          <cell r="CG257"/>
          <cell r="CH257"/>
          <cell r="CI257"/>
          <cell r="CJ257"/>
          <cell r="CK257"/>
          <cell r="CL257"/>
          <cell r="CM257"/>
          <cell r="CN257"/>
          <cell r="CO257"/>
          <cell r="CP257"/>
          <cell r="CQ257"/>
          <cell r="CR257"/>
          <cell r="CS257"/>
          <cell r="CT257"/>
          <cell r="CU257"/>
          <cell r="CV257"/>
          <cell r="CW257"/>
          <cell r="CX257"/>
          <cell r="CY257"/>
          <cell r="CZ257"/>
          <cell r="DA257"/>
        </row>
        <row r="258">
          <cell r="F258" t="str">
            <v>06</v>
          </cell>
          <cell r="G258" t="str">
            <v>0</v>
          </cell>
          <cell r="H258" t="str">
            <v>1</v>
          </cell>
          <cell r="I258" t="str">
            <v>0</v>
          </cell>
          <cell r="J258" t="str">
            <v>0</v>
          </cell>
          <cell r="K258"/>
          <cell r="L258" t="str">
            <v>0100</v>
          </cell>
          <cell r="M258" t="str">
            <v>02</v>
          </cell>
          <cell r="N258" t="str">
            <v>10102400District Design and Led 18-21</v>
          </cell>
          <cell r="P258" t="str">
            <v>5010</v>
          </cell>
          <cell r="Q258" t="str">
            <v>70*C</v>
          </cell>
          <cell r="R258"/>
          <cell r="S258"/>
          <cell r="AS258">
            <v>0</v>
          </cell>
          <cell r="AT258">
            <v>0</v>
          </cell>
          <cell r="AU258">
            <v>0</v>
          </cell>
          <cell r="AV258" t="str">
            <v>S010A180006</v>
          </cell>
          <cell r="AW258"/>
          <cell r="AX258">
            <v>28967</v>
          </cell>
          <cell r="BW258">
            <v>0</v>
          </cell>
          <cell r="BX258">
            <v>0</v>
          </cell>
          <cell r="BY258">
            <v>28967</v>
          </cell>
          <cell r="BZ258" t="str">
            <v>S010A190006</v>
          </cell>
          <cell r="CB258">
            <v>115825</v>
          </cell>
          <cell r="CH258">
            <v>-19149</v>
          </cell>
          <cell r="CQ258">
            <v>-31223.410000000003</v>
          </cell>
          <cell r="CS258">
            <v>-10901.54</v>
          </cell>
          <cell r="CU258">
            <v>-5871.53</v>
          </cell>
          <cell r="CW258">
            <v>-10006.67</v>
          </cell>
          <cell r="CY258">
            <v>-4383.7</v>
          </cell>
          <cell r="DA258">
            <v>-12335.6</v>
          </cell>
        </row>
        <row r="259">
          <cell r="F259" t="str">
            <v>06</v>
          </cell>
          <cell r="G259" t="str">
            <v>0</v>
          </cell>
          <cell r="H259" t="str">
            <v>1</v>
          </cell>
          <cell r="I259" t="str">
            <v>0</v>
          </cell>
          <cell r="J259" t="str">
            <v>0</v>
          </cell>
          <cell r="K259"/>
          <cell r="L259" t="str">
            <v>0100</v>
          </cell>
          <cell r="M259" t="str">
            <v>02</v>
          </cell>
          <cell r="N259" t="str">
            <v>10102528District Design and Led 18-21</v>
          </cell>
          <cell r="P259" t="str">
            <v>5010</v>
          </cell>
          <cell r="Q259" t="str">
            <v>70*C</v>
          </cell>
          <cell r="R259"/>
          <cell r="S259"/>
          <cell r="AS259">
            <v>0</v>
          </cell>
          <cell r="AT259">
            <v>0</v>
          </cell>
          <cell r="AU259">
            <v>0</v>
          </cell>
          <cell r="AV259" t="str">
            <v>S010A180006</v>
          </cell>
          <cell r="AW259"/>
          <cell r="AX259">
            <v>15527</v>
          </cell>
          <cell r="BQ259">
            <v>-8904</v>
          </cell>
          <cell r="BW259">
            <v>-8904</v>
          </cell>
          <cell r="BX259">
            <v>0</v>
          </cell>
          <cell r="BY259">
            <v>6623</v>
          </cell>
          <cell r="BZ259" t="str">
            <v>S010A190006</v>
          </cell>
          <cell r="CB259">
            <v>41952</v>
          </cell>
          <cell r="CH259">
            <v>-5972</v>
          </cell>
          <cell r="CQ259">
            <v>-27110.35</v>
          </cell>
          <cell r="CS259">
            <v>-5772.72</v>
          </cell>
          <cell r="CU259">
            <v>-244.09</v>
          </cell>
          <cell r="CW259">
            <v>-1138.78</v>
          </cell>
        </row>
        <row r="260">
          <cell r="F260"/>
          <cell r="G260"/>
          <cell r="H260"/>
          <cell r="I260"/>
          <cell r="J260"/>
          <cell r="K260"/>
          <cell r="L260"/>
          <cell r="M260"/>
          <cell r="N260" t="str">
            <v>10105146District Design and Led 20-23</v>
          </cell>
          <cell r="P260" t="str">
            <v>5010</v>
          </cell>
          <cell r="Q260"/>
          <cell r="R260"/>
          <cell r="S260"/>
          <cell r="T260"/>
          <cell r="U260"/>
          <cell r="V260"/>
          <cell r="W260"/>
          <cell r="X260"/>
          <cell r="Y260"/>
          <cell r="Z260"/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  <cell r="AN260"/>
          <cell r="AO260"/>
          <cell r="AP260"/>
          <cell r="AQ260"/>
          <cell r="AR260"/>
          <cell r="AS260"/>
          <cell r="AT260"/>
          <cell r="AU260"/>
          <cell r="AV260"/>
          <cell r="AW260"/>
          <cell r="AX260"/>
          <cell r="AY260"/>
          <cell r="AZ260"/>
          <cell r="BA260"/>
          <cell r="BB260"/>
          <cell r="BC260"/>
          <cell r="BD260"/>
          <cell r="BE260"/>
          <cell r="BF260"/>
          <cell r="BG260"/>
          <cell r="BH260"/>
          <cell r="BI260"/>
          <cell r="BJ260"/>
          <cell r="BK260"/>
          <cell r="BL260"/>
          <cell r="BM260"/>
          <cell r="BN260"/>
          <cell r="BO260"/>
          <cell r="BP260"/>
          <cell r="BQ260"/>
          <cell r="BR260"/>
          <cell r="BS260"/>
          <cell r="BT260"/>
          <cell r="BU260"/>
          <cell r="BV260"/>
          <cell r="BW260"/>
          <cell r="BX260"/>
          <cell r="BY260"/>
          <cell r="BZ260"/>
          <cell r="CA260"/>
          <cell r="CB260"/>
          <cell r="CC260"/>
          <cell r="CD260"/>
          <cell r="CE260"/>
          <cell r="CF260"/>
          <cell r="CG260"/>
          <cell r="CH260"/>
          <cell r="CI260"/>
          <cell r="CJ260"/>
          <cell r="CK260"/>
          <cell r="CL260"/>
          <cell r="CM260"/>
          <cell r="CN260"/>
          <cell r="CO260"/>
          <cell r="CP260"/>
          <cell r="CQ260"/>
          <cell r="CR260"/>
          <cell r="CS260"/>
          <cell r="CT260"/>
          <cell r="CU260"/>
          <cell r="CV260"/>
          <cell r="CW260"/>
          <cell r="CX260"/>
          <cell r="CY260"/>
          <cell r="CZ260"/>
          <cell r="DA260"/>
        </row>
        <row r="261">
          <cell r="F261" t="str">
            <v>06</v>
          </cell>
          <cell r="G261" t="str">
            <v>0</v>
          </cell>
          <cell r="H261" t="str">
            <v>1</v>
          </cell>
          <cell r="I261" t="str">
            <v>0</v>
          </cell>
          <cell r="J261" t="str">
            <v>0</v>
          </cell>
          <cell r="K261"/>
          <cell r="L261" t="str">
            <v>0100</v>
          </cell>
          <cell r="M261" t="str">
            <v>02</v>
          </cell>
          <cell r="N261" t="str">
            <v>10108457District Design and Led 18-21</v>
          </cell>
          <cell r="P261" t="str">
            <v>5010</v>
          </cell>
          <cell r="Q261" t="str">
            <v>70*C</v>
          </cell>
          <cell r="R261"/>
          <cell r="S261"/>
          <cell r="AS261">
            <v>0</v>
          </cell>
          <cell r="AT261">
            <v>0</v>
          </cell>
          <cell r="AU261">
            <v>0</v>
          </cell>
          <cell r="AV261" t="str">
            <v>S010A180006</v>
          </cell>
          <cell r="AW261"/>
          <cell r="AX261">
            <v>6547</v>
          </cell>
          <cell r="BW261">
            <v>0</v>
          </cell>
          <cell r="BX261">
            <v>0</v>
          </cell>
          <cell r="BY261">
            <v>6547</v>
          </cell>
          <cell r="BZ261" t="str">
            <v>S010A190006</v>
          </cell>
          <cell r="CB261">
            <v>13577</v>
          </cell>
          <cell r="CQ261">
            <v>-1521.62</v>
          </cell>
          <cell r="CS261">
            <v>-456.94</v>
          </cell>
          <cell r="CU261">
            <v>-2556.58</v>
          </cell>
          <cell r="CW261">
            <v>-804.84</v>
          </cell>
        </row>
        <row r="262">
          <cell r="F262" t="str">
            <v>06</v>
          </cell>
          <cell r="G262" t="str">
            <v>0</v>
          </cell>
          <cell r="H262" t="str">
            <v>0</v>
          </cell>
          <cell r="I262" t="str">
            <v>0</v>
          </cell>
          <cell r="J262" t="str">
            <v>0</v>
          </cell>
          <cell r="K262"/>
          <cell r="L262" t="str">
            <v>0000</v>
          </cell>
          <cell r="M262" t="str">
            <v>X</v>
          </cell>
          <cell r="N262" t="str">
            <v>10109445District Design and Led 18-21</v>
          </cell>
          <cell r="P262" t="str">
            <v>5010</v>
          </cell>
          <cell r="Q262" t="str">
            <v>70*C</v>
          </cell>
          <cell r="R262"/>
          <cell r="S262"/>
          <cell r="AS262">
            <v>0</v>
          </cell>
          <cell r="AT262">
            <v>0</v>
          </cell>
          <cell r="AU262">
            <v>0</v>
          </cell>
          <cell r="AV262" t="str">
            <v>S010A180006</v>
          </cell>
          <cell r="AW262"/>
          <cell r="BW262">
            <v>0</v>
          </cell>
          <cell r="BX262">
            <v>0</v>
          </cell>
          <cell r="BY262">
            <v>0</v>
          </cell>
          <cell r="BZ262" t="str">
            <v>S010A190006</v>
          </cell>
        </row>
        <row r="263">
          <cell r="F263" t="str">
            <v>06</v>
          </cell>
          <cell r="G263" t="str">
            <v>0</v>
          </cell>
          <cell r="H263" t="str">
            <v>1</v>
          </cell>
          <cell r="I263" t="str">
            <v>0</v>
          </cell>
          <cell r="J263" t="str">
            <v>0</v>
          </cell>
          <cell r="K263"/>
          <cell r="L263" t="str">
            <v>0100</v>
          </cell>
          <cell r="M263" t="str">
            <v>02</v>
          </cell>
          <cell r="N263" t="str">
            <v>1010N/ADistrict Design and Led 18-21</v>
          </cell>
          <cell r="P263" t="str">
            <v>5010</v>
          </cell>
          <cell r="Q263" t="str">
            <v>70*C</v>
          </cell>
          <cell r="R263"/>
          <cell r="S263"/>
          <cell r="AS263">
            <v>0</v>
          </cell>
          <cell r="AT263">
            <v>0</v>
          </cell>
          <cell r="AU263">
            <v>0</v>
          </cell>
          <cell r="AV263" t="str">
            <v>S010A180006</v>
          </cell>
          <cell r="AW263"/>
          <cell r="AX263">
            <v>75604</v>
          </cell>
          <cell r="BQ263">
            <v>-10770</v>
          </cell>
          <cell r="BS263">
            <v>-9500</v>
          </cell>
          <cell r="BU263">
            <v>-9500</v>
          </cell>
          <cell r="BW263">
            <v>-29770</v>
          </cell>
          <cell r="BX263">
            <v>0</v>
          </cell>
          <cell r="BY263">
            <v>45834</v>
          </cell>
          <cell r="BZ263" t="str">
            <v>S010A190006</v>
          </cell>
          <cell r="CB263">
            <v>118986</v>
          </cell>
          <cell r="CH263">
            <v>-27059</v>
          </cell>
          <cell r="CQ263">
            <v>-43386.98</v>
          </cell>
          <cell r="CS263">
            <v>-1446.81</v>
          </cell>
          <cell r="CU263">
            <v>-12811.23</v>
          </cell>
          <cell r="CW263">
            <v>-4943.0200000000004</v>
          </cell>
          <cell r="CY263">
            <v>-6458.33</v>
          </cell>
          <cell r="DA263">
            <v>-6528.1</v>
          </cell>
        </row>
        <row r="264">
          <cell r="F264" t="str">
            <v>06</v>
          </cell>
          <cell r="G264" t="str">
            <v>0</v>
          </cell>
          <cell r="H264" t="str">
            <v>1</v>
          </cell>
          <cell r="I264" t="str">
            <v>0</v>
          </cell>
          <cell r="J264" t="str">
            <v>0</v>
          </cell>
          <cell r="K264"/>
          <cell r="L264" t="str">
            <v>0100</v>
          </cell>
          <cell r="M264" t="str">
            <v>02</v>
          </cell>
          <cell r="N264" t="str">
            <v>1070N/ADistrict Design and Led 18-21</v>
          </cell>
          <cell r="O264"/>
          <cell r="P264" t="str">
            <v>5010</v>
          </cell>
          <cell r="Q264" t="str">
            <v>70*C</v>
          </cell>
          <cell r="R264"/>
          <cell r="S264"/>
          <cell r="AS264">
            <v>0</v>
          </cell>
          <cell r="AT264">
            <v>0</v>
          </cell>
          <cell r="AU264">
            <v>0</v>
          </cell>
          <cell r="AV264" t="str">
            <v>S010A180006</v>
          </cell>
          <cell r="AW264"/>
          <cell r="AX264">
            <v>118642</v>
          </cell>
          <cell r="BW264">
            <v>0</v>
          </cell>
          <cell r="BX264">
            <v>0</v>
          </cell>
          <cell r="BY264">
            <v>118642</v>
          </cell>
        </row>
        <row r="265">
          <cell r="F265" t="str">
            <v>06</v>
          </cell>
          <cell r="G265" t="str">
            <v>1</v>
          </cell>
          <cell r="H265" t="str">
            <v>0</v>
          </cell>
          <cell r="I265" t="str">
            <v>0</v>
          </cell>
          <cell r="J265" t="str">
            <v>0</v>
          </cell>
          <cell r="K265"/>
          <cell r="L265" t="str">
            <v>1000</v>
          </cell>
          <cell r="M265" t="str">
            <v>01</v>
          </cell>
          <cell r="N265" t="str">
            <v>11108791District Design and Led 17-20</v>
          </cell>
          <cell r="O265" t="str">
            <v>S010A170006</v>
          </cell>
          <cell r="P265" t="str">
            <v>5010</v>
          </cell>
          <cell r="Q265" t="str">
            <v>70*C</v>
          </cell>
          <cell r="R265">
            <v>43173</v>
          </cell>
          <cell r="S265">
            <v>43173</v>
          </cell>
          <cell r="T265">
            <v>26400</v>
          </cell>
          <cell r="AS265">
            <v>0</v>
          </cell>
          <cell r="AT265">
            <v>0</v>
          </cell>
          <cell r="AU265">
            <v>26400</v>
          </cell>
          <cell r="AV265" t="str">
            <v>S010A170006</v>
          </cell>
          <cell r="AW265">
            <v>25550</v>
          </cell>
          <cell r="BA265">
            <v>-14419</v>
          </cell>
          <cell r="BW265">
            <v>-14419</v>
          </cell>
          <cell r="BX265">
            <v>0</v>
          </cell>
          <cell r="BY265">
            <v>37531</v>
          </cell>
          <cell r="CE265">
            <v>-9600</v>
          </cell>
          <cell r="CG265">
            <v>-2381</v>
          </cell>
          <cell r="CH265">
            <v>-19</v>
          </cell>
        </row>
        <row r="266">
          <cell r="F266" t="str">
            <v>5704</v>
          </cell>
          <cell r="G266" t="str">
            <v>Canon City RE-1</v>
          </cell>
          <cell r="H266" t="str">
            <v>Mckinley Elementary School</v>
          </cell>
          <cell r="I266" t="str">
            <v>Diagnostic Review 19-20</v>
          </cell>
          <cell r="J266"/>
          <cell r="K266"/>
          <cell r="L266"/>
          <cell r="M266"/>
          <cell r="N266" t="str">
            <v>11405704District Design and Led 20-23</v>
          </cell>
          <cell r="P266" t="str">
            <v>5010</v>
          </cell>
          <cell r="Q266"/>
          <cell r="R266"/>
          <cell r="S266"/>
          <cell r="T266"/>
          <cell r="U266"/>
          <cell r="V266"/>
          <cell r="W266"/>
          <cell r="X266"/>
          <cell r="Y266"/>
          <cell r="Z266"/>
          <cell r="AA266"/>
          <cell r="AB266"/>
          <cell r="AC266"/>
          <cell r="AD266"/>
          <cell r="AE266"/>
          <cell r="AF266"/>
          <cell r="AG266"/>
          <cell r="AH266"/>
          <cell r="AI266"/>
          <cell r="AJ266"/>
          <cell r="AK266"/>
          <cell r="AL266"/>
          <cell r="AM266"/>
          <cell r="AN266"/>
          <cell r="AO266"/>
          <cell r="AP266"/>
          <cell r="AQ266"/>
          <cell r="AR266"/>
          <cell r="AS266"/>
          <cell r="AT266"/>
          <cell r="AU266"/>
          <cell r="AV266"/>
          <cell r="AW266"/>
          <cell r="AX266"/>
          <cell r="AY266"/>
          <cell r="AZ266"/>
          <cell r="BA266"/>
          <cell r="BB266"/>
          <cell r="BC266"/>
          <cell r="BD266"/>
          <cell r="BE266"/>
          <cell r="BF266"/>
          <cell r="BG266"/>
          <cell r="BH266"/>
          <cell r="BI266"/>
          <cell r="BJ266"/>
          <cell r="BK266"/>
          <cell r="BL266"/>
          <cell r="BM266"/>
          <cell r="BN266"/>
          <cell r="BO266"/>
          <cell r="BP266"/>
          <cell r="BQ266"/>
          <cell r="BR266"/>
          <cell r="BS266"/>
          <cell r="BT266"/>
          <cell r="BU266"/>
          <cell r="BV266"/>
          <cell r="BW266"/>
          <cell r="BX266"/>
          <cell r="BY266"/>
          <cell r="BZ266"/>
          <cell r="CA266"/>
          <cell r="CB266"/>
          <cell r="CC266"/>
          <cell r="CD266"/>
          <cell r="CE266"/>
          <cell r="CF266"/>
          <cell r="CG266"/>
          <cell r="CH266"/>
          <cell r="CI266"/>
          <cell r="CJ266"/>
          <cell r="CK266"/>
          <cell r="CL266"/>
          <cell r="CM266"/>
          <cell r="CN266"/>
          <cell r="CO266"/>
          <cell r="CP266"/>
          <cell r="CQ266"/>
          <cell r="CR266"/>
          <cell r="CS266"/>
          <cell r="CT266"/>
          <cell r="CU266"/>
          <cell r="CV266"/>
          <cell r="CW266"/>
          <cell r="CX266"/>
          <cell r="CY266"/>
          <cell r="CZ266"/>
          <cell r="DA266"/>
        </row>
        <row r="267">
          <cell r="F267" t="str">
            <v>06</v>
          </cell>
          <cell r="G267" t="str">
            <v>1</v>
          </cell>
          <cell r="H267" t="str">
            <v>0</v>
          </cell>
          <cell r="I267" t="str">
            <v>0</v>
          </cell>
          <cell r="J267" t="str">
            <v>0</v>
          </cell>
          <cell r="K267"/>
          <cell r="L267" t="str">
            <v>1000</v>
          </cell>
          <cell r="M267" t="str">
            <v>01</v>
          </cell>
          <cell r="N267" t="str">
            <v>1180N/ADistrict Design and Led 17-20</v>
          </cell>
          <cell r="O267" t="str">
            <v>S010A170006</v>
          </cell>
          <cell r="P267" t="str">
            <v>5010</v>
          </cell>
          <cell r="Q267" t="str">
            <v>70*C</v>
          </cell>
          <cell r="R267">
            <v>43168</v>
          </cell>
          <cell r="S267">
            <v>43168</v>
          </cell>
          <cell r="T267">
            <v>24563</v>
          </cell>
          <cell r="AS267">
            <v>0</v>
          </cell>
          <cell r="AT267">
            <v>0</v>
          </cell>
          <cell r="AU267">
            <v>24563</v>
          </cell>
          <cell r="AV267" t="str">
            <v>S010A170006</v>
          </cell>
          <cell r="AW267">
            <v>12250</v>
          </cell>
          <cell r="BW267">
            <v>0</v>
          </cell>
          <cell r="BX267">
            <v>0</v>
          </cell>
          <cell r="BY267">
            <v>36813</v>
          </cell>
          <cell r="BZ267" t="str">
            <v>S010A190006</v>
          </cell>
          <cell r="CA267">
            <v>9261</v>
          </cell>
        </row>
        <row r="268">
          <cell r="F268"/>
          <cell r="G268"/>
          <cell r="H268"/>
          <cell r="I268"/>
          <cell r="J268"/>
          <cell r="K268"/>
          <cell r="L268"/>
          <cell r="M268"/>
          <cell r="N268" t="str">
            <v>1420N/ADistrict Design and Led 20-23</v>
          </cell>
          <cell r="P268"/>
          <cell r="Q268"/>
          <cell r="R268"/>
          <cell r="S268"/>
          <cell r="T268"/>
          <cell r="U268"/>
          <cell r="V268"/>
          <cell r="W268"/>
          <cell r="X268"/>
          <cell r="Y268"/>
          <cell r="Z268"/>
          <cell r="AA268"/>
          <cell r="AB268"/>
          <cell r="AC268"/>
          <cell r="AD268"/>
          <cell r="AE268"/>
          <cell r="AF268"/>
          <cell r="AG268"/>
          <cell r="AH268"/>
          <cell r="AI268"/>
          <cell r="AJ268"/>
          <cell r="AK268"/>
          <cell r="AL268"/>
          <cell r="AM268"/>
          <cell r="AN268"/>
          <cell r="AO268"/>
          <cell r="AP268"/>
          <cell r="AQ268"/>
          <cell r="AR268"/>
          <cell r="AS268"/>
          <cell r="AT268"/>
          <cell r="AU268"/>
          <cell r="AV268"/>
          <cell r="AW268"/>
          <cell r="AX268"/>
          <cell r="AY268"/>
          <cell r="AZ268"/>
          <cell r="BA268"/>
          <cell r="BB268"/>
          <cell r="BC268"/>
          <cell r="BD268"/>
          <cell r="BE268"/>
          <cell r="BF268"/>
          <cell r="BG268"/>
          <cell r="BH268"/>
          <cell r="BI268"/>
          <cell r="BJ268"/>
          <cell r="BK268"/>
          <cell r="BL268"/>
          <cell r="BM268"/>
          <cell r="BN268"/>
          <cell r="BO268"/>
          <cell r="BP268"/>
          <cell r="BQ268"/>
          <cell r="BR268"/>
          <cell r="BS268"/>
          <cell r="BT268"/>
          <cell r="BU268"/>
          <cell r="BV268"/>
          <cell r="BW268"/>
          <cell r="BX268"/>
          <cell r="BY268"/>
          <cell r="BZ268"/>
          <cell r="CA268"/>
          <cell r="CB268"/>
          <cell r="CC268"/>
          <cell r="CD268"/>
          <cell r="CE268"/>
          <cell r="CF268"/>
          <cell r="CG268"/>
          <cell r="CH268"/>
          <cell r="CI268"/>
          <cell r="CJ268"/>
          <cell r="CK268"/>
          <cell r="CL268"/>
          <cell r="CM268"/>
          <cell r="CN268"/>
          <cell r="CO268"/>
          <cell r="CP268"/>
          <cell r="CQ268"/>
          <cell r="CR268"/>
          <cell r="CS268"/>
          <cell r="CT268"/>
          <cell r="CU268"/>
          <cell r="CV268"/>
          <cell r="CW268"/>
          <cell r="CX268"/>
          <cell r="CY268"/>
          <cell r="CZ268"/>
          <cell r="DA268"/>
        </row>
        <row r="269">
          <cell r="F269" t="str">
            <v>06</v>
          </cell>
          <cell r="G269" t="str">
            <v>1</v>
          </cell>
          <cell r="H269" t="str">
            <v>0</v>
          </cell>
          <cell r="I269" t="str">
            <v>0</v>
          </cell>
          <cell r="J269" t="str">
            <v>0</v>
          </cell>
          <cell r="K269"/>
          <cell r="L269" t="str">
            <v>1000</v>
          </cell>
          <cell r="M269" t="str">
            <v>01</v>
          </cell>
          <cell r="N269" t="str">
            <v>1420N/ADistrict Design and Led 17-20</v>
          </cell>
          <cell r="O269" t="str">
            <v>S010A170006</v>
          </cell>
          <cell r="P269" t="str">
            <v>5010</v>
          </cell>
          <cell r="Q269" t="str">
            <v>70*C</v>
          </cell>
          <cell r="R269">
            <v>43173</v>
          </cell>
          <cell r="S269">
            <v>43173</v>
          </cell>
          <cell r="T269">
            <v>672568</v>
          </cell>
          <cell r="AS269">
            <v>0</v>
          </cell>
          <cell r="AT269">
            <v>0</v>
          </cell>
          <cell r="AU269">
            <v>672568</v>
          </cell>
          <cell r="AV269" t="str">
            <v>S010A170006</v>
          </cell>
          <cell r="AW269">
            <v>503586</v>
          </cell>
          <cell r="BG269">
            <v>-89713</v>
          </cell>
          <cell r="BI269">
            <v>-42819</v>
          </cell>
          <cell r="BK269">
            <v>-45718</v>
          </cell>
          <cell r="BM269">
            <v>-38516</v>
          </cell>
          <cell r="BO269">
            <v>-57368</v>
          </cell>
          <cell r="BQ269">
            <v>-63018</v>
          </cell>
          <cell r="BS269">
            <v>-234948</v>
          </cell>
          <cell r="BU269">
            <v>-70996</v>
          </cell>
          <cell r="BW269">
            <v>-643096</v>
          </cell>
          <cell r="BX269">
            <v>0</v>
          </cell>
          <cell r="BY269">
            <v>533058</v>
          </cell>
          <cell r="BZ269" t="str">
            <v>S010A190006</v>
          </cell>
          <cell r="CA269">
            <v>522118</v>
          </cell>
          <cell r="CE269">
            <v>-113861</v>
          </cell>
          <cell r="CM269">
            <v>-239109.94</v>
          </cell>
          <cell r="CO269">
            <v>-69935.789999999994</v>
          </cell>
          <cell r="CQ269">
            <v>-269475.26999999996</v>
          </cell>
          <cell r="CU269">
            <v>-244818.06</v>
          </cell>
          <cell r="CW269">
            <v>-69986.63</v>
          </cell>
          <cell r="CY269">
            <v>-47989.31</v>
          </cell>
        </row>
        <row r="270">
          <cell r="F270" t="str">
            <v>06</v>
          </cell>
          <cell r="G270" t="str">
            <v>0</v>
          </cell>
          <cell r="H270" t="str">
            <v>1</v>
          </cell>
          <cell r="I270" t="str">
            <v>0</v>
          </cell>
          <cell r="J270" t="str">
            <v>0</v>
          </cell>
          <cell r="K270"/>
          <cell r="L270" t="str">
            <v>0100</v>
          </cell>
          <cell r="M270" t="str">
            <v>02</v>
          </cell>
          <cell r="N270" t="str">
            <v>1420N/ADistrict Design and Led 18-21</v>
          </cell>
          <cell r="P270" t="str">
            <v>5010</v>
          </cell>
          <cell r="Q270" t="str">
            <v>70*C</v>
          </cell>
          <cell r="R270"/>
          <cell r="S270"/>
          <cell r="AS270">
            <v>0</v>
          </cell>
          <cell r="AT270">
            <v>0</v>
          </cell>
          <cell r="AU270">
            <v>0</v>
          </cell>
          <cell r="AV270" t="str">
            <v>S010A180006</v>
          </cell>
          <cell r="AW270"/>
          <cell r="AX270">
            <v>184454</v>
          </cell>
          <cell r="BW270">
            <v>0</v>
          </cell>
          <cell r="BX270">
            <v>0</v>
          </cell>
          <cell r="BY270">
            <v>184454</v>
          </cell>
          <cell r="BZ270" t="str">
            <v>S010A190006</v>
          </cell>
          <cell r="CB270">
            <v>547261</v>
          </cell>
          <cell r="CY270">
            <v>-39949.08</v>
          </cell>
          <cell r="DA270">
            <v>-92380.22</v>
          </cell>
        </row>
        <row r="271">
          <cell r="F271" t="str">
            <v>06</v>
          </cell>
          <cell r="G271" t="str">
            <v>0</v>
          </cell>
          <cell r="H271" t="str">
            <v>1</v>
          </cell>
          <cell r="I271" t="str">
            <v>0</v>
          </cell>
          <cell r="J271" t="str">
            <v>0</v>
          </cell>
          <cell r="K271"/>
          <cell r="L271" t="str">
            <v>0100</v>
          </cell>
          <cell r="M271" t="str">
            <v>02</v>
          </cell>
          <cell r="N271" t="str">
            <v>1510N/ADistrict Design and Led 18-21</v>
          </cell>
          <cell r="P271" t="str">
            <v>5010</v>
          </cell>
          <cell r="Q271" t="str">
            <v>70*C</v>
          </cell>
          <cell r="R271"/>
          <cell r="S271"/>
          <cell r="AS271">
            <v>0</v>
          </cell>
          <cell r="AT271">
            <v>0</v>
          </cell>
          <cell r="AU271">
            <v>0</v>
          </cell>
          <cell r="AV271" t="str">
            <v>S010A180006</v>
          </cell>
          <cell r="AW271"/>
          <cell r="AX271">
            <v>79283</v>
          </cell>
          <cell r="BW271">
            <v>0</v>
          </cell>
          <cell r="BX271">
            <v>0</v>
          </cell>
          <cell r="BY271">
            <v>79283</v>
          </cell>
          <cell r="BZ271" t="str">
            <v>S010A190006</v>
          </cell>
          <cell r="CB271">
            <v>147757</v>
          </cell>
          <cell r="CI271">
            <v>-19424</v>
          </cell>
          <cell r="CO271">
            <v>-66159</v>
          </cell>
          <cell r="CU271">
            <v>-52235</v>
          </cell>
        </row>
        <row r="272">
          <cell r="F272" t="str">
            <v>06</v>
          </cell>
          <cell r="G272" t="str">
            <v>0</v>
          </cell>
          <cell r="H272" t="str">
            <v>1</v>
          </cell>
          <cell r="I272" t="str">
            <v>0</v>
          </cell>
          <cell r="J272" t="str">
            <v>0</v>
          </cell>
          <cell r="K272"/>
          <cell r="L272" t="str">
            <v>0100</v>
          </cell>
          <cell r="M272" t="str">
            <v>02</v>
          </cell>
          <cell r="N272" t="str">
            <v>15203571District Design and Led 18-21</v>
          </cell>
          <cell r="P272" t="str">
            <v>5010</v>
          </cell>
          <cell r="Q272" t="str">
            <v>70*C</v>
          </cell>
          <cell r="R272"/>
          <cell r="S272"/>
          <cell r="AS272">
            <v>0</v>
          </cell>
          <cell r="AT272">
            <v>0</v>
          </cell>
          <cell r="AU272">
            <v>0</v>
          </cell>
          <cell r="AV272" t="str">
            <v>S010A180006</v>
          </cell>
          <cell r="AW272"/>
          <cell r="AX272">
            <v>22493</v>
          </cell>
          <cell r="BS272">
            <v>-1539</v>
          </cell>
          <cell r="BU272">
            <v>-20695</v>
          </cell>
          <cell r="BW272">
            <v>-22234</v>
          </cell>
          <cell r="BX272">
            <v>0</v>
          </cell>
          <cell r="BY272">
            <v>259</v>
          </cell>
          <cell r="BZ272" t="str">
            <v>S010A190006</v>
          </cell>
          <cell r="CB272">
            <v>46645</v>
          </cell>
          <cell r="CU272">
            <v>-28684.03</v>
          </cell>
        </row>
        <row r="273">
          <cell r="F273"/>
          <cell r="G273"/>
          <cell r="H273"/>
          <cell r="I273"/>
          <cell r="J273"/>
          <cell r="K273"/>
          <cell r="L273"/>
          <cell r="M273"/>
          <cell r="N273" t="str">
            <v>15300632District Design and Led 20-23</v>
          </cell>
          <cell r="P273" t="str">
            <v>5010</v>
          </cell>
          <cell r="Q273"/>
          <cell r="R273"/>
          <cell r="S273"/>
          <cell r="T273"/>
          <cell r="U273"/>
          <cell r="V273"/>
          <cell r="W273"/>
          <cell r="X273"/>
          <cell r="Y273"/>
          <cell r="Z273"/>
          <cell r="AA273"/>
          <cell r="AB273"/>
          <cell r="AC273"/>
          <cell r="AD273"/>
          <cell r="AE273"/>
          <cell r="AF273"/>
          <cell r="AG273"/>
          <cell r="AH273"/>
          <cell r="AI273"/>
          <cell r="AJ273"/>
          <cell r="AK273"/>
          <cell r="AL273"/>
          <cell r="AM273"/>
          <cell r="AN273"/>
          <cell r="AO273"/>
          <cell r="AP273"/>
          <cell r="AQ273"/>
          <cell r="AR273"/>
          <cell r="AS273"/>
          <cell r="AT273"/>
          <cell r="AU273"/>
          <cell r="AV273"/>
          <cell r="AW273"/>
          <cell r="AX273"/>
          <cell r="AY273"/>
          <cell r="AZ273"/>
          <cell r="BA273"/>
          <cell r="BB273"/>
          <cell r="BC273"/>
          <cell r="BD273"/>
          <cell r="BE273"/>
          <cell r="BF273"/>
          <cell r="BG273"/>
          <cell r="BH273"/>
          <cell r="BI273"/>
          <cell r="BJ273"/>
          <cell r="BK273"/>
          <cell r="BL273"/>
          <cell r="BM273"/>
          <cell r="BN273"/>
          <cell r="BO273"/>
          <cell r="BP273"/>
          <cell r="BQ273"/>
          <cell r="BR273"/>
          <cell r="BS273"/>
          <cell r="BT273"/>
          <cell r="BU273"/>
          <cell r="BV273"/>
          <cell r="BW273"/>
          <cell r="BX273"/>
          <cell r="BY273"/>
          <cell r="BZ273"/>
          <cell r="CA273"/>
          <cell r="CB273"/>
          <cell r="CC273"/>
          <cell r="CD273"/>
          <cell r="CE273"/>
          <cell r="CF273"/>
          <cell r="CG273"/>
          <cell r="CH273"/>
          <cell r="CI273"/>
          <cell r="CJ273"/>
          <cell r="CK273"/>
          <cell r="CL273"/>
          <cell r="CM273"/>
          <cell r="CN273"/>
          <cell r="CO273"/>
          <cell r="CP273"/>
          <cell r="CQ273"/>
          <cell r="CR273"/>
          <cell r="CS273"/>
          <cell r="CT273"/>
          <cell r="CU273"/>
          <cell r="CV273"/>
          <cell r="CW273"/>
          <cell r="CX273"/>
          <cell r="CY273"/>
          <cell r="CZ273"/>
          <cell r="DA273"/>
        </row>
        <row r="274">
          <cell r="F274" t="str">
            <v>06</v>
          </cell>
          <cell r="G274" t="str">
            <v>0</v>
          </cell>
          <cell r="H274" t="str">
            <v>0</v>
          </cell>
          <cell r="I274" t="str">
            <v>0</v>
          </cell>
          <cell r="J274" t="str">
            <v>0</v>
          </cell>
          <cell r="K274"/>
          <cell r="L274" t="str">
            <v>0000</v>
          </cell>
          <cell r="M274" t="str">
            <v>X</v>
          </cell>
          <cell r="N274" t="str">
            <v>15404252District Design and Led 19-22</v>
          </cell>
          <cell r="O274"/>
          <cell r="P274" t="str">
            <v>5010</v>
          </cell>
          <cell r="Q274" t="str">
            <v>70*C</v>
          </cell>
          <cell r="R274"/>
          <cell r="S274"/>
          <cell r="T274"/>
          <cell r="U274"/>
          <cell r="V274"/>
          <cell r="W274"/>
          <cell r="X274"/>
          <cell r="Y274"/>
          <cell r="Z274"/>
          <cell r="AA274"/>
          <cell r="AB274"/>
          <cell r="AC274"/>
          <cell r="AD274"/>
          <cell r="AE274"/>
          <cell r="AF274"/>
          <cell r="AG274"/>
          <cell r="AH274"/>
          <cell r="AI274"/>
          <cell r="AJ274"/>
          <cell r="AK274"/>
          <cell r="AL274"/>
          <cell r="AM274"/>
          <cell r="AN274"/>
          <cell r="AO274"/>
          <cell r="AP274"/>
          <cell r="AQ274"/>
          <cell r="AR274"/>
          <cell r="AS274">
            <v>0</v>
          </cell>
          <cell r="AT274">
            <v>0</v>
          </cell>
          <cell r="AU274">
            <v>0</v>
          </cell>
          <cell r="AV274"/>
          <cell r="AW274"/>
          <cell r="AX274"/>
          <cell r="AY274"/>
          <cell r="AZ274"/>
          <cell r="BA274"/>
          <cell r="BB274"/>
          <cell r="BC274"/>
          <cell r="BD274"/>
          <cell r="BE274"/>
          <cell r="BF274"/>
          <cell r="BG274"/>
          <cell r="BH274"/>
          <cell r="BI274"/>
          <cell r="BJ274"/>
          <cell r="BK274"/>
          <cell r="BL274"/>
          <cell r="BM274"/>
          <cell r="BN274"/>
          <cell r="BO274"/>
          <cell r="BP274"/>
          <cell r="BQ274"/>
          <cell r="BR274"/>
          <cell r="BS274"/>
          <cell r="BT274"/>
          <cell r="BU274"/>
          <cell r="BV274"/>
          <cell r="BW274">
            <v>0</v>
          </cell>
          <cell r="BX274">
            <v>0</v>
          </cell>
          <cell r="BY274">
            <v>0</v>
          </cell>
          <cell r="BZ274"/>
          <cell r="CA274"/>
          <cell r="CB274"/>
          <cell r="CC274"/>
          <cell r="CD274"/>
          <cell r="CE274"/>
          <cell r="CF274"/>
          <cell r="CG274"/>
          <cell r="CH274"/>
          <cell r="CI274"/>
          <cell r="CJ274"/>
          <cell r="CK274"/>
          <cell r="CL274"/>
          <cell r="CM274"/>
          <cell r="CN274"/>
          <cell r="CO274"/>
          <cell r="CP274"/>
          <cell r="CQ274"/>
          <cell r="CR274"/>
          <cell r="CS274"/>
          <cell r="CT274"/>
          <cell r="CU274"/>
          <cell r="CV274"/>
          <cell r="CW274"/>
          <cell r="CX274"/>
          <cell r="CY274"/>
          <cell r="CZ274"/>
          <cell r="DA274"/>
        </row>
        <row r="275">
          <cell r="F275" t="str">
            <v>06</v>
          </cell>
          <cell r="G275" t="str">
            <v>1</v>
          </cell>
          <cell r="H275" t="str">
            <v>0</v>
          </cell>
          <cell r="I275" t="str">
            <v>0</v>
          </cell>
          <cell r="J275" t="str">
            <v>0</v>
          </cell>
          <cell r="K275"/>
          <cell r="L275" t="str">
            <v>1000</v>
          </cell>
          <cell r="M275" t="str">
            <v>01</v>
          </cell>
          <cell r="N275" t="str">
            <v>15500612District Design and Led 17-20</v>
          </cell>
          <cell r="O275" t="str">
            <v>S010A170006</v>
          </cell>
          <cell r="P275" t="str">
            <v>5010</v>
          </cell>
          <cell r="Q275" t="str">
            <v>70*C</v>
          </cell>
          <cell r="R275">
            <v>43173</v>
          </cell>
          <cell r="S275">
            <v>43173</v>
          </cell>
          <cell r="T275">
            <v>48559</v>
          </cell>
          <cell r="AS275">
            <v>0</v>
          </cell>
          <cell r="AT275">
            <v>0</v>
          </cell>
          <cell r="AU275">
            <v>48559</v>
          </cell>
          <cell r="AV275" t="str">
            <v>S010A170006</v>
          </cell>
          <cell r="AW275">
            <v>48286</v>
          </cell>
          <cell r="AY275">
            <v>-18280</v>
          </cell>
          <cell r="BE275">
            <v>-4434</v>
          </cell>
          <cell r="BM275">
            <v>-9710</v>
          </cell>
          <cell r="BQ275">
            <v>-7454</v>
          </cell>
          <cell r="BW275">
            <v>-39878</v>
          </cell>
          <cell r="BX275">
            <v>0</v>
          </cell>
          <cell r="BY275">
            <v>56967</v>
          </cell>
          <cell r="BZ275" t="str">
            <v>S010A190006</v>
          </cell>
          <cell r="CA275">
            <v>61738</v>
          </cell>
          <cell r="CE275">
            <v>-20388</v>
          </cell>
          <cell r="CK275">
            <v>-6011.5</v>
          </cell>
          <cell r="CQ275">
            <v>-10164.709999999999</v>
          </cell>
          <cell r="CW275">
            <v>-2492.5</v>
          </cell>
          <cell r="DA275">
            <v>-10080</v>
          </cell>
        </row>
        <row r="276">
          <cell r="F276" t="str">
            <v>06</v>
          </cell>
          <cell r="G276" t="str">
            <v>1</v>
          </cell>
          <cell r="H276" t="str">
            <v>0</v>
          </cell>
          <cell r="I276" t="str">
            <v>0</v>
          </cell>
          <cell r="J276" t="str">
            <v>0</v>
          </cell>
          <cell r="K276"/>
          <cell r="L276" t="str">
            <v>1000</v>
          </cell>
          <cell r="M276" t="str">
            <v>01</v>
          </cell>
          <cell r="N276" t="str">
            <v>15500678District Design and Led 17-20</v>
          </cell>
          <cell r="O276" t="str">
            <v>S010A170006</v>
          </cell>
          <cell r="P276" t="str">
            <v>5010</v>
          </cell>
          <cell r="Q276" t="str">
            <v>70*C</v>
          </cell>
          <cell r="R276">
            <v>43173</v>
          </cell>
          <cell r="S276">
            <v>43173</v>
          </cell>
          <cell r="T276">
            <v>45071</v>
          </cell>
          <cell r="AS276">
            <v>0</v>
          </cell>
          <cell r="AT276">
            <v>0</v>
          </cell>
          <cell r="AU276">
            <v>45071</v>
          </cell>
          <cell r="AV276" t="str">
            <v>S010A170006</v>
          </cell>
          <cell r="AW276">
            <v>48103</v>
          </cell>
          <cell r="AY276">
            <v>-6413</v>
          </cell>
          <cell r="BE276">
            <v>-2449</v>
          </cell>
          <cell r="BM276">
            <v>-17620</v>
          </cell>
          <cell r="BQ276">
            <v>-16615</v>
          </cell>
          <cell r="BU276">
            <v>-7113</v>
          </cell>
          <cell r="BW276">
            <v>-50210</v>
          </cell>
          <cell r="BX276">
            <v>0</v>
          </cell>
          <cell r="BY276">
            <v>42964</v>
          </cell>
          <cell r="BZ276" t="str">
            <v>S010A190006</v>
          </cell>
          <cell r="CA276">
            <v>46929</v>
          </cell>
          <cell r="CE276">
            <v>-2410</v>
          </cell>
          <cell r="CK276">
            <v>-4021.03</v>
          </cell>
          <cell r="CO276">
            <v>-2284.2799999999997</v>
          </cell>
          <cell r="CQ276">
            <v>-23901.51</v>
          </cell>
          <cell r="CW276">
            <v>-21512.01</v>
          </cell>
          <cell r="DA276">
            <v>-12616.94</v>
          </cell>
        </row>
        <row r="277">
          <cell r="F277"/>
          <cell r="G277"/>
          <cell r="H277"/>
          <cell r="I277"/>
          <cell r="J277"/>
          <cell r="K277"/>
          <cell r="L277"/>
          <cell r="M277"/>
          <cell r="N277" t="str">
            <v>15504282District Design and Led 20-23</v>
          </cell>
          <cell r="P277" t="str">
            <v>5010</v>
          </cell>
          <cell r="Q277"/>
          <cell r="R277"/>
          <cell r="S277"/>
          <cell r="T277"/>
          <cell r="U277"/>
          <cell r="V277"/>
          <cell r="W277"/>
          <cell r="X277"/>
          <cell r="Y277"/>
          <cell r="Z277"/>
          <cell r="AA277"/>
          <cell r="AB277"/>
          <cell r="AC277"/>
          <cell r="AD277"/>
          <cell r="AE277"/>
          <cell r="AF277"/>
          <cell r="AG277"/>
          <cell r="AH277"/>
          <cell r="AI277"/>
          <cell r="AJ277"/>
          <cell r="AK277"/>
          <cell r="AL277"/>
          <cell r="AM277"/>
          <cell r="AN277"/>
          <cell r="AO277"/>
          <cell r="AP277"/>
          <cell r="AQ277"/>
          <cell r="AR277"/>
          <cell r="AS277"/>
          <cell r="AT277"/>
          <cell r="AU277"/>
          <cell r="AV277"/>
          <cell r="AW277"/>
          <cell r="AX277"/>
          <cell r="AY277"/>
          <cell r="AZ277"/>
          <cell r="BA277"/>
          <cell r="BB277"/>
          <cell r="BC277"/>
          <cell r="BD277"/>
          <cell r="BE277"/>
          <cell r="BF277"/>
          <cell r="BG277"/>
          <cell r="BH277"/>
          <cell r="BI277"/>
          <cell r="BJ277"/>
          <cell r="BK277"/>
          <cell r="BL277"/>
          <cell r="BM277"/>
          <cell r="BN277"/>
          <cell r="BO277"/>
          <cell r="BP277"/>
          <cell r="BQ277"/>
          <cell r="BR277"/>
          <cell r="BS277"/>
          <cell r="BT277"/>
          <cell r="BU277"/>
          <cell r="BV277"/>
          <cell r="BW277"/>
          <cell r="BX277"/>
          <cell r="BY277"/>
          <cell r="BZ277"/>
          <cell r="CA277"/>
          <cell r="CB277"/>
          <cell r="CC277"/>
          <cell r="CD277"/>
          <cell r="CE277"/>
          <cell r="CF277"/>
          <cell r="CG277"/>
          <cell r="CH277"/>
          <cell r="CI277"/>
          <cell r="CJ277"/>
          <cell r="CK277"/>
          <cell r="CL277"/>
          <cell r="CM277"/>
          <cell r="CN277"/>
          <cell r="CO277"/>
          <cell r="CP277"/>
          <cell r="CQ277"/>
          <cell r="CR277"/>
          <cell r="CS277"/>
          <cell r="CT277"/>
          <cell r="CU277"/>
          <cell r="CV277"/>
          <cell r="CW277"/>
          <cell r="CX277"/>
          <cell r="CY277"/>
          <cell r="CZ277"/>
          <cell r="DA277"/>
        </row>
        <row r="278">
          <cell r="F278" t="str">
            <v>06</v>
          </cell>
          <cell r="G278" t="str">
            <v>1</v>
          </cell>
          <cell r="H278" t="str">
            <v>0</v>
          </cell>
          <cell r="I278" t="str">
            <v>0</v>
          </cell>
          <cell r="J278" t="str">
            <v>0</v>
          </cell>
          <cell r="K278"/>
          <cell r="L278" t="str">
            <v>1000</v>
          </cell>
          <cell r="M278" t="str">
            <v>01</v>
          </cell>
          <cell r="N278" t="str">
            <v>15503760District Design and Led 17-20</v>
          </cell>
          <cell r="O278" t="str">
            <v>S010A170006</v>
          </cell>
          <cell r="P278" t="str">
            <v>5010</v>
          </cell>
          <cell r="Q278" t="str">
            <v>70*C</v>
          </cell>
          <cell r="R278">
            <v>43173</v>
          </cell>
          <cell r="S278">
            <v>43173</v>
          </cell>
          <cell r="T278">
            <v>34841</v>
          </cell>
          <cell r="AS278">
            <v>0</v>
          </cell>
          <cell r="AT278">
            <v>0</v>
          </cell>
          <cell r="AU278">
            <v>34841</v>
          </cell>
          <cell r="AV278" t="str">
            <v>S010A170006</v>
          </cell>
          <cell r="AW278">
            <v>35628</v>
          </cell>
          <cell r="AY278">
            <v>-356</v>
          </cell>
          <cell r="BE278">
            <v>0</v>
          </cell>
          <cell r="BW278">
            <v>-356</v>
          </cell>
          <cell r="BX278">
            <v>0</v>
          </cell>
          <cell r="BY278">
            <v>70113</v>
          </cell>
          <cell r="BZ278" t="str">
            <v>S010A190006</v>
          </cell>
          <cell r="CA278">
            <v>-64432</v>
          </cell>
          <cell r="CQ278">
            <v>-3145.77</v>
          </cell>
        </row>
        <row r="279">
          <cell r="F279" t="str">
            <v>06</v>
          </cell>
          <cell r="G279" t="str">
            <v>1</v>
          </cell>
          <cell r="H279" t="str">
            <v>0</v>
          </cell>
          <cell r="I279" t="str">
            <v>0</v>
          </cell>
          <cell r="J279" t="str">
            <v>0</v>
          </cell>
          <cell r="K279"/>
          <cell r="L279" t="str">
            <v>1000</v>
          </cell>
          <cell r="M279" t="str">
            <v>01</v>
          </cell>
          <cell r="N279" t="str">
            <v>15505068District Design and Led 17-20</v>
          </cell>
          <cell r="O279" t="str">
            <v>S010A170006</v>
          </cell>
          <cell r="P279" t="str">
            <v>5010</v>
          </cell>
          <cell r="Q279" t="str">
            <v>70*C</v>
          </cell>
          <cell r="R279">
            <v>43173</v>
          </cell>
          <cell r="S279">
            <v>43173</v>
          </cell>
          <cell r="T279">
            <v>46861</v>
          </cell>
          <cell r="AS279">
            <v>0</v>
          </cell>
          <cell r="AT279">
            <v>0</v>
          </cell>
          <cell r="AU279">
            <v>46861</v>
          </cell>
          <cell r="AV279" t="str">
            <v>S010A170006</v>
          </cell>
          <cell r="AW279">
            <v>23115</v>
          </cell>
          <cell r="AY279">
            <v>-19944</v>
          </cell>
          <cell r="BE279">
            <v>-99</v>
          </cell>
          <cell r="BI279">
            <v>198</v>
          </cell>
          <cell r="BM279">
            <v>-14850</v>
          </cell>
          <cell r="BQ279">
            <v>-4912</v>
          </cell>
          <cell r="BU279">
            <v>-3104</v>
          </cell>
          <cell r="BW279">
            <v>-42711</v>
          </cell>
          <cell r="BX279">
            <v>0</v>
          </cell>
          <cell r="BY279">
            <v>27265</v>
          </cell>
          <cell r="BZ279" t="str">
            <v>S010A190006</v>
          </cell>
          <cell r="CA279">
            <v>45486</v>
          </cell>
          <cell r="CE279">
            <v>-1552</v>
          </cell>
          <cell r="CK279">
            <v>-5761.6</v>
          </cell>
          <cell r="CO279">
            <v>-1554.64</v>
          </cell>
          <cell r="CQ279">
            <v>-6533.04</v>
          </cell>
          <cell r="CW279">
            <v>-6815.01</v>
          </cell>
          <cell r="DA279">
            <v>-7309.72</v>
          </cell>
        </row>
        <row r="280">
          <cell r="F280" t="str">
            <v>06</v>
          </cell>
          <cell r="G280" t="str">
            <v>1</v>
          </cell>
          <cell r="H280" t="str">
            <v>0</v>
          </cell>
          <cell r="I280" t="str">
            <v>0</v>
          </cell>
          <cell r="J280" t="str">
            <v>0</v>
          </cell>
          <cell r="K280"/>
          <cell r="L280" t="str">
            <v>1000</v>
          </cell>
          <cell r="M280" t="str">
            <v>01</v>
          </cell>
          <cell r="N280" t="str">
            <v>15507127District Design and Led 17-20</v>
          </cell>
          <cell r="O280" t="str">
            <v>S010A170006</v>
          </cell>
          <cell r="P280" t="str">
            <v>5010</v>
          </cell>
          <cell r="Q280" t="str">
            <v>70*C</v>
          </cell>
          <cell r="R280">
            <v>43173</v>
          </cell>
          <cell r="S280">
            <v>43173</v>
          </cell>
          <cell r="T280">
            <v>38420</v>
          </cell>
          <cell r="AS280">
            <v>0</v>
          </cell>
          <cell r="AT280">
            <v>0</v>
          </cell>
          <cell r="AU280">
            <v>38420</v>
          </cell>
          <cell r="AV280" t="str">
            <v>S010A170006</v>
          </cell>
          <cell r="AW280">
            <v>43420</v>
          </cell>
          <cell r="AY280">
            <v>-4727</v>
          </cell>
          <cell r="BE280">
            <v>-2000</v>
          </cell>
          <cell r="BM280">
            <v>-25291</v>
          </cell>
          <cell r="BQ280">
            <v>-15581</v>
          </cell>
          <cell r="BU280">
            <v>-10387</v>
          </cell>
          <cell r="BW280">
            <v>-57986</v>
          </cell>
          <cell r="BX280">
            <v>0</v>
          </cell>
          <cell r="BY280">
            <v>23854</v>
          </cell>
          <cell r="BZ280" t="str">
            <v>S010A190006</v>
          </cell>
          <cell r="CA280">
            <v>43427</v>
          </cell>
          <cell r="CE280">
            <v>-5193</v>
          </cell>
          <cell r="CK280">
            <v>-10222.86</v>
          </cell>
          <cell r="CO280">
            <v>-5201.8999999999996</v>
          </cell>
          <cell r="CQ280">
            <v>-15543.05</v>
          </cell>
          <cell r="CW280">
            <v>-15543.04</v>
          </cell>
          <cell r="DA280">
            <v>-10294.56</v>
          </cell>
        </row>
        <row r="281">
          <cell r="F281" t="str">
            <v>06</v>
          </cell>
          <cell r="G281" t="str">
            <v>1</v>
          </cell>
          <cell r="H281" t="str">
            <v>0</v>
          </cell>
          <cell r="I281" t="str">
            <v>0</v>
          </cell>
          <cell r="J281" t="str">
            <v>0</v>
          </cell>
          <cell r="K281"/>
          <cell r="L281" t="str">
            <v>1000</v>
          </cell>
          <cell r="M281" t="str">
            <v>01</v>
          </cell>
          <cell r="N281" t="str">
            <v>15507161District Design and Led 17-20</v>
          </cell>
          <cell r="O281" t="str">
            <v>S010A170006</v>
          </cell>
          <cell r="P281" t="str">
            <v>5010</v>
          </cell>
          <cell r="Q281" t="str">
            <v>70*C</v>
          </cell>
          <cell r="R281">
            <v>43173</v>
          </cell>
          <cell r="S281">
            <v>43173</v>
          </cell>
          <cell r="T281">
            <v>48265</v>
          </cell>
          <cell r="AS281">
            <v>0</v>
          </cell>
          <cell r="AT281">
            <v>0</v>
          </cell>
          <cell r="AU281">
            <v>48265</v>
          </cell>
          <cell r="AV281" t="str">
            <v>S010A170006</v>
          </cell>
          <cell r="AW281">
            <v>26494</v>
          </cell>
          <cell r="AY281">
            <v>-13126</v>
          </cell>
          <cell r="BE281">
            <v>0</v>
          </cell>
          <cell r="BM281">
            <v>-12099</v>
          </cell>
          <cell r="BQ281">
            <v>-4373</v>
          </cell>
          <cell r="BU281">
            <v>-2649</v>
          </cell>
          <cell r="BW281">
            <v>-32247</v>
          </cell>
          <cell r="BX281">
            <v>0</v>
          </cell>
          <cell r="BY281">
            <v>42512</v>
          </cell>
          <cell r="BZ281" t="str">
            <v>S010A190006</v>
          </cell>
          <cell r="CA281">
            <v>28997</v>
          </cell>
          <cell r="CE281">
            <v>-1325</v>
          </cell>
          <cell r="CK281">
            <v>-2283</v>
          </cell>
          <cell r="CO281">
            <v>-1326.68</v>
          </cell>
        </row>
        <row r="282">
          <cell r="F282" t="str">
            <v>06</v>
          </cell>
          <cell r="G282" t="str">
            <v>1</v>
          </cell>
          <cell r="H282" t="str">
            <v>0</v>
          </cell>
          <cell r="I282" t="str">
            <v>0</v>
          </cell>
          <cell r="J282" t="str">
            <v>0</v>
          </cell>
          <cell r="K282"/>
          <cell r="L282" t="str">
            <v>1000</v>
          </cell>
          <cell r="M282" t="str">
            <v>01</v>
          </cell>
          <cell r="N282" t="str">
            <v>15507198District Design and Led 17-20</v>
          </cell>
          <cell r="O282" t="str">
            <v>S010A170006</v>
          </cell>
          <cell r="P282" t="str">
            <v>5010</v>
          </cell>
          <cell r="Q282" t="str">
            <v>70*C</v>
          </cell>
          <cell r="R282">
            <v>43173</v>
          </cell>
          <cell r="S282">
            <v>43173</v>
          </cell>
          <cell r="T282">
            <v>82077</v>
          </cell>
          <cell r="AS282">
            <v>0</v>
          </cell>
          <cell r="AT282">
            <v>0</v>
          </cell>
          <cell r="AU282">
            <v>82077</v>
          </cell>
          <cell r="AV282" t="str">
            <v>S010A170006</v>
          </cell>
          <cell r="AW282">
            <v>67727</v>
          </cell>
          <cell r="AY282">
            <v>-2263</v>
          </cell>
          <cell r="BE282">
            <v>-4210</v>
          </cell>
          <cell r="BM282">
            <v>-55495</v>
          </cell>
          <cell r="BQ282">
            <v>-32574</v>
          </cell>
          <cell r="BU282">
            <v>-23713</v>
          </cell>
          <cell r="BW282">
            <v>-118255</v>
          </cell>
          <cell r="BX282">
            <v>0</v>
          </cell>
          <cell r="BY282">
            <v>31549</v>
          </cell>
          <cell r="BZ282" t="str">
            <v>S010A190006</v>
          </cell>
          <cell r="CA282">
            <v>103765</v>
          </cell>
          <cell r="CE282">
            <v>-10519</v>
          </cell>
          <cell r="CK282">
            <v>-17373.59</v>
          </cell>
          <cell r="CO282">
            <v>-3656.41</v>
          </cell>
          <cell r="CQ282">
            <v>-29037.360000000001</v>
          </cell>
          <cell r="CU282">
            <v>-8682.66</v>
          </cell>
          <cell r="CW282">
            <v>-30134.309999999998</v>
          </cell>
          <cell r="DA282">
            <v>-20858.27</v>
          </cell>
        </row>
        <row r="283">
          <cell r="F283" t="str">
            <v>06</v>
          </cell>
          <cell r="G283" t="str">
            <v>1</v>
          </cell>
          <cell r="H283" t="str">
            <v>0</v>
          </cell>
          <cell r="I283" t="str">
            <v>0</v>
          </cell>
          <cell r="J283" t="str">
            <v>0</v>
          </cell>
          <cell r="K283"/>
          <cell r="L283" t="str">
            <v>1000</v>
          </cell>
          <cell r="M283" t="str">
            <v>01</v>
          </cell>
          <cell r="N283" t="str">
            <v>1550N/ADistrict Design and Led 17-20</v>
          </cell>
          <cell r="O283" t="str">
            <v>S010A170006</v>
          </cell>
          <cell r="P283" t="str">
            <v>5010</v>
          </cell>
          <cell r="Q283" t="str">
            <v>70*C</v>
          </cell>
          <cell r="R283">
            <v>43173</v>
          </cell>
          <cell r="S283">
            <v>43173</v>
          </cell>
          <cell r="T283">
            <v>13936</v>
          </cell>
          <cell r="AS283">
            <v>0</v>
          </cell>
          <cell r="AT283">
            <v>0</v>
          </cell>
          <cell r="AU283">
            <v>13936</v>
          </cell>
          <cell r="AV283"/>
          <cell r="AW283">
            <v>0</v>
          </cell>
          <cell r="BE283">
            <v>-3163</v>
          </cell>
          <cell r="BU283">
            <v>-10773</v>
          </cell>
          <cell r="BW283">
            <v>-13936</v>
          </cell>
          <cell r="BX283">
            <v>0</v>
          </cell>
          <cell r="BY283">
            <v>0</v>
          </cell>
          <cell r="BZ283" t="str">
            <v>S010A180006</v>
          </cell>
          <cell r="CA283">
            <v>26989</v>
          </cell>
        </row>
        <row r="284">
          <cell r="F284" t="str">
            <v>06</v>
          </cell>
          <cell r="G284" t="str">
            <v>0</v>
          </cell>
          <cell r="H284" t="str">
            <v>0</v>
          </cell>
          <cell r="I284" t="str">
            <v>0</v>
          </cell>
          <cell r="J284" t="str">
            <v>0</v>
          </cell>
          <cell r="K284"/>
          <cell r="L284" t="str">
            <v>0000</v>
          </cell>
          <cell r="M284" t="str">
            <v>X</v>
          </cell>
          <cell r="N284" t="str">
            <v>16200058District Design and Led 19-22</v>
          </cell>
          <cell r="O284"/>
          <cell r="P284" t="str">
            <v>5010</v>
          </cell>
          <cell r="Q284" t="str">
            <v>70*C</v>
          </cell>
          <cell r="R284"/>
          <cell r="S284"/>
          <cell r="T284"/>
          <cell r="U284"/>
          <cell r="V284"/>
          <cell r="W284"/>
          <cell r="X284"/>
          <cell r="Y284"/>
          <cell r="Z284"/>
          <cell r="AA284"/>
          <cell r="AB284"/>
          <cell r="AC284"/>
          <cell r="AD284"/>
          <cell r="AE284"/>
          <cell r="AF284"/>
          <cell r="AG284"/>
          <cell r="AH284"/>
          <cell r="AI284"/>
          <cell r="AJ284"/>
          <cell r="AK284"/>
          <cell r="AL284"/>
          <cell r="AM284"/>
          <cell r="AN284"/>
          <cell r="AO284"/>
          <cell r="AP284"/>
          <cell r="AQ284"/>
          <cell r="AR284"/>
          <cell r="AS284">
            <v>0</v>
          </cell>
          <cell r="AT284">
            <v>0</v>
          </cell>
          <cell r="AU284">
            <v>0</v>
          </cell>
          <cell r="AV284"/>
          <cell r="AW284"/>
          <cell r="AX284"/>
          <cell r="AY284"/>
          <cell r="AZ284"/>
          <cell r="BA284"/>
          <cell r="BB284"/>
          <cell r="BC284"/>
          <cell r="BD284"/>
          <cell r="BE284"/>
          <cell r="BF284"/>
          <cell r="BG284"/>
          <cell r="BH284"/>
          <cell r="BI284"/>
          <cell r="BJ284"/>
          <cell r="BK284"/>
          <cell r="BL284"/>
          <cell r="BM284"/>
          <cell r="BN284"/>
          <cell r="BO284"/>
          <cell r="BP284"/>
          <cell r="BQ284"/>
          <cell r="BR284"/>
          <cell r="BS284"/>
          <cell r="BT284"/>
          <cell r="BU284"/>
          <cell r="BV284"/>
          <cell r="BW284">
            <v>0</v>
          </cell>
          <cell r="BX284">
            <v>0</v>
          </cell>
          <cell r="BY284">
            <v>0</v>
          </cell>
          <cell r="BZ284"/>
          <cell r="CA284"/>
          <cell r="CB284"/>
          <cell r="CC284"/>
          <cell r="CD284"/>
          <cell r="CE284"/>
          <cell r="CF284"/>
          <cell r="CG284"/>
          <cell r="CH284"/>
          <cell r="CI284"/>
          <cell r="CJ284"/>
          <cell r="CK284"/>
          <cell r="CL284"/>
          <cell r="CM284"/>
          <cell r="CN284"/>
          <cell r="CO284"/>
          <cell r="CP284"/>
          <cell r="CQ284"/>
          <cell r="CR284"/>
          <cell r="CS284"/>
          <cell r="CT284"/>
          <cell r="CU284"/>
          <cell r="CV284"/>
          <cell r="CW284"/>
          <cell r="CX284"/>
          <cell r="CY284"/>
          <cell r="CZ284"/>
          <cell r="DA284"/>
        </row>
        <row r="285">
          <cell r="F285" t="str">
            <v>06</v>
          </cell>
          <cell r="G285" t="str">
            <v>0</v>
          </cell>
          <cell r="H285" t="str">
            <v>0</v>
          </cell>
          <cell r="I285" t="str">
            <v>0</v>
          </cell>
          <cell r="J285" t="str">
            <v>0</v>
          </cell>
          <cell r="K285"/>
          <cell r="L285" t="str">
            <v>0000</v>
          </cell>
          <cell r="M285" t="str">
            <v>X</v>
          </cell>
          <cell r="N285" t="str">
            <v>16200066District Design and Led 19-22</v>
          </cell>
          <cell r="O285"/>
          <cell r="P285" t="str">
            <v>5010</v>
          </cell>
          <cell r="Q285" t="str">
            <v>70*C</v>
          </cell>
          <cell r="R285"/>
          <cell r="S285"/>
          <cell r="T285"/>
          <cell r="U285"/>
          <cell r="V285"/>
          <cell r="W285"/>
          <cell r="X285"/>
          <cell r="Y285"/>
          <cell r="Z285"/>
          <cell r="AA285"/>
          <cell r="AB285"/>
          <cell r="AC285"/>
          <cell r="AD285"/>
          <cell r="AE285"/>
          <cell r="AF285"/>
          <cell r="AG285"/>
          <cell r="AH285"/>
          <cell r="AI285"/>
          <cell r="AJ285"/>
          <cell r="AK285"/>
          <cell r="AL285"/>
          <cell r="AM285"/>
          <cell r="AN285"/>
          <cell r="AO285"/>
          <cell r="AP285"/>
          <cell r="AQ285"/>
          <cell r="AR285"/>
          <cell r="AS285">
            <v>0</v>
          </cell>
          <cell r="AT285">
            <v>0</v>
          </cell>
          <cell r="AU285">
            <v>0</v>
          </cell>
          <cell r="AV285"/>
          <cell r="AW285"/>
          <cell r="AX285"/>
          <cell r="AY285"/>
          <cell r="AZ285"/>
          <cell r="BA285"/>
          <cell r="BB285"/>
          <cell r="BC285"/>
          <cell r="BD285"/>
          <cell r="BE285"/>
          <cell r="BF285"/>
          <cell r="BG285"/>
          <cell r="BH285"/>
          <cell r="BI285"/>
          <cell r="BJ285"/>
          <cell r="BK285"/>
          <cell r="BL285"/>
          <cell r="BM285"/>
          <cell r="BN285"/>
          <cell r="BO285"/>
          <cell r="BP285"/>
          <cell r="BQ285"/>
          <cell r="BR285"/>
          <cell r="BS285"/>
          <cell r="BT285"/>
          <cell r="BU285"/>
          <cell r="BV285"/>
          <cell r="BW285">
            <v>0</v>
          </cell>
          <cell r="BX285">
            <v>0</v>
          </cell>
          <cell r="BY285">
            <v>0</v>
          </cell>
          <cell r="BZ285"/>
          <cell r="CA285"/>
          <cell r="CB285"/>
          <cell r="CC285"/>
          <cell r="CD285"/>
          <cell r="CE285"/>
          <cell r="CF285"/>
          <cell r="CG285"/>
          <cell r="CH285"/>
          <cell r="CI285"/>
          <cell r="CJ285"/>
          <cell r="CK285"/>
          <cell r="CL285"/>
          <cell r="CM285"/>
          <cell r="CN285"/>
          <cell r="CO285"/>
          <cell r="CP285"/>
          <cell r="CQ285"/>
          <cell r="CR285"/>
          <cell r="CS285"/>
          <cell r="CT285"/>
          <cell r="CU285"/>
          <cell r="CV285"/>
          <cell r="CW285"/>
          <cell r="CX285"/>
          <cell r="CY285"/>
          <cell r="CZ285"/>
          <cell r="DA285"/>
        </row>
        <row r="286">
          <cell r="F286" t="str">
            <v>06</v>
          </cell>
          <cell r="G286" t="str">
            <v>0</v>
          </cell>
          <cell r="H286" t="str">
            <v>0</v>
          </cell>
          <cell r="I286" t="str">
            <v>1</v>
          </cell>
          <cell r="J286" t="str">
            <v>0</v>
          </cell>
          <cell r="K286"/>
          <cell r="L286" t="str">
            <v>0010</v>
          </cell>
          <cell r="M286" t="str">
            <v>03</v>
          </cell>
          <cell r="N286" t="str">
            <v>20003604District Design and Led 19-22</v>
          </cell>
          <cell r="O286"/>
          <cell r="P286" t="str">
            <v>5010</v>
          </cell>
          <cell r="Q286" t="str">
            <v>70*C</v>
          </cell>
          <cell r="R286"/>
          <cell r="S286"/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  <cell r="AD286"/>
          <cell r="AE286"/>
          <cell r="AF286"/>
          <cell r="AG286"/>
          <cell r="AH286"/>
          <cell r="AI286"/>
          <cell r="AJ286"/>
          <cell r="AK286"/>
          <cell r="AL286"/>
          <cell r="AM286"/>
          <cell r="AN286"/>
          <cell r="AO286"/>
          <cell r="AP286"/>
          <cell r="AQ286"/>
          <cell r="AR286"/>
          <cell r="AS286">
            <v>0</v>
          </cell>
          <cell r="AT286">
            <v>0</v>
          </cell>
          <cell r="AU286">
            <v>0</v>
          </cell>
          <cell r="AV286"/>
          <cell r="AW286"/>
          <cell r="AX286"/>
          <cell r="AY286"/>
          <cell r="AZ286"/>
          <cell r="BA286"/>
          <cell r="BB286"/>
          <cell r="BC286"/>
          <cell r="BD286"/>
          <cell r="BE286"/>
          <cell r="BF286"/>
          <cell r="BG286"/>
          <cell r="BH286"/>
          <cell r="BI286"/>
          <cell r="BJ286"/>
          <cell r="BK286"/>
          <cell r="BL286"/>
          <cell r="BM286"/>
          <cell r="BN286"/>
          <cell r="BO286"/>
          <cell r="BP286"/>
          <cell r="BQ286"/>
          <cell r="BR286"/>
          <cell r="BS286"/>
          <cell r="BT286"/>
          <cell r="BU286"/>
          <cell r="BV286"/>
          <cell r="BW286">
            <v>0</v>
          </cell>
          <cell r="BX286">
            <v>0</v>
          </cell>
          <cell r="BY286">
            <v>0</v>
          </cell>
          <cell r="BZ286"/>
          <cell r="CA286"/>
          <cell r="CB286"/>
          <cell r="CC286"/>
          <cell r="CD286">
            <v>37751.265200000002</v>
          </cell>
          <cell r="CE286"/>
          <cell r="CF286"/>
          <cell r="CG286"/>
          <cell r="CH286"/>
          <cell r="CI286"/>
          <cell r="CJ286"/>
          <cell r="CK286"/>
          <cell r="CL286"/>
          <cell r="CM286"/>
          <cell r="CN286"/>
          <cell r="CO286"/>
          <cell r="CP286"/>
          <cell r="CQ286"/>
          <cell r="CR286"/>
          <cell r="CS286"/>
          <cell r="CT286"/>
          <cell r="CU286"/>
          <cell r="CV286"/>
          <cell r="CW286"/>
          <cell r="CX286"/>
          <cell r="CY286">
            <v>-9000</v>
          </cell>
          <cell r="CZ286"/>
          <cell r="DA286"/>
        </row>
        <row r="287">
          <cell r="F287" t="str">
            <v>06</v>
          </cell>
          <cell r="G287" t="str">
            <v>0</v>
          </cell>
          <cell r="H287" t="str">
            <v>1</v>
          </cell>
          <cell r="I287" t="str">
            <v>0</v>
          </cell>
          <cell r="J287" t="str">
            <v>0</v>
          </cell>
          <cell r="K287"/>
          <cell r="L287" t="str">
            <v>0100</v>
          </cell>
          <cell r="M287" t="str">
            <v>02</v>
          </cell>
          <cell r="N287" t="str">
            <v>20350609District Design and Led 18-21</v>
          </cell>
          <cell r="P287" t="str">
            <v>5010</v>
          </cell>
          <cell r="Q287" t="str">
            <v>70*C</v>
          </cell>
          <cell r="R287"/>
          <cell r="S287"/>
          <cell r="AS287">
            <v>0</v>
          </cell>
          <cell r="AT287">
            <v>0</v>
          </cell>
          <cell r="AU287">
            <v>0</v>
          </cell>
          <cell r="AV287" t="str">
            <v>S010A180006</v>
          </cell>
          <cell r="AW287"/>
          <cell r="AX287">
            <v>22254</v>
          </cell>
          <cell r="BU287">
            <v>-22254</v>
          </cell>
          <cell r="BW287">
            <v>-22254</v>
          </cell>
          <cell r="BX287">
            <v>0</v>
          </cell>
          <cell r="BY287">
            <v>0</v>
          </cell>
          <cell r="BZ287" t="str">
            <v>S010A190006</v>
          </cell>
          <cell r="CB287">
            <v>34435</v>
          </cell>
        </row>
        <row r="288">
          <cell r="F288"/>
          <cell r="G288"/>
          <cell r="H288"/>
          <cell r="I288"/>
          <cell r="J288"/>
          <cell r="K288"/>
          <cell r="L288"/>
          <cell r="M288"/>
          <cell r="N288" t="str">
            <v>20352036District Design and Led 20-23</v>
          </cell>
          <cell r="P288" t="str">
            <v>5010</v>
          </cell>
          <cell r="Q288"/>
          <cell r="R288"/>
          <cell r="S288"/>
          <cell r="T288"/>
          <cell r="U288"/>
          <cell r="V288"/>
          <cell r="W288"/>
          <cell r="X288"/>
          <cell r="Y288"/>
          <cell r="Z288"/>
          <cell r="AA288"/>
          <cell r="AB288"/>
          <cell r="AC288"/>
          <cell r="AD288"/>
          <cell r="AE288"/>
          <cell r="AF288"/>
          <cell r="AG288"/>
          <cell r="AH288"/>
          <cell r="AI288"/>
          <cell r="AJ288"/>
          <cell r="AK288"/>
          <cell r="AL288"/>
          <cell r="AM288"/>
          <cell r="AN288"/>
          <cell r="AO288"/>
          <cell r="AP288"/>
          <cell r="AQ288"/>
          <cell r="AR288"/>
          <cell r="AS288"/>
          <cell r="AT288"/>
          <cell r="AU288"/>
          <cell r="AV288"/>
          <cell r="AW288"/>
          <cell r="AX288"/>
          <cell r="AY288"/>
          <cell r="AZ288"/>
          <cell r="BA288"/>
          <cell r="BB288"/>
          <cell r="BC288"/>
          <cell r="BD288"/>
          <cell r="BE288"/>
          <cell r="BF288"/>
          <cell r="BG288"/>
          <cell r="BH288"/>
          <cell r="BI288"/>
          <cell r="BJ288"/>
          <cell r="BK288"/>
          <cell r="BL288"/>
          <cell r="BM288"/>
          <cell r="BN288"/>
          <cell r="BO288"/>
          <cell r="BP288"/>
          <cell r="BQ288"/>
          <cell r="BR288"/>
          <cell r="BS288"/>
          <cell r="BT288"/>
          <cell r="BU288"/>
          <cell r="BV288"/>
          <cell r="BW288"/>
          <cell r="BX288"/>
          <cell r="BY288"/>
          <cell r="BZ288"/>
          <cell r="CA288"/>
          <cell r="CB288"/>
          <cell r="CC288"/>
          <cell r="CD288"/>
          <cell r="CE288"/>
          <cell r="CF288"/>
          <cell r="CG288"/>
          <cell r="CH288"/>
          <cell r="CI288"/>
          <cell r="CJ288"/>
          <cell r="CK288"/>
          <cell r="CL288"/>
          <cell r="CM288"/>
          <cell r="CN288"/>
          <cell r="CO288"/>
          <cell r="CP288"/>
          <cell r="CQ288"/>
          <cell r="CR288"/>
          <cell r="CS288"/>
          <cell r="CT288"/>
          <cell r="CU288"/>
          <cell r="CV288"/>
          <cell r="CW288"/>
          <cell r="CX288"/>
          <cell r="CY288"/>
          <cell r="CZ288"/>
          <cell r="DA288"/>
        </row>
        <row r="289">
          <cell r="F289" t="str">
            <v>06</v>
          </cell>
          <cell r="G289" t="str">
            <v>0</v>
          </cell>
          <cell r="H289" t="str">
            <v>0</v>
          </cell>
          <cell r="I289" t="str">
            <v>0</v>
          </cell>
          <cell r="J289" t="str">
            <v>0</v>
          </cell>
          <cell r="K289"/>
          <cell r="L289" t="str">
            <v>0000</v>
          </cell>
          <cell r="M289" t="str">
            <v>X</v>
          </cell>
          <cell r="N289" t="str">
            <v>20355436District Design and Led 19-22</v>
          </cell>
          <cell r="O289"/>
          <cell r="P289" t="str">
            <v>5010</v>
          </cell>
          <cell r="Q289" t="str">
            <v>70*C</v>
          </cell>
          <cell r="R289"/>
          <cell r="S289"/>
          <cell r="T289"/>
          <cell r="U289"/>
          <cell r="V289"/>
          <cell r="W289"/>
          <cell r="X289"/>
          <cell r="Y289"/>
          <cell r="Z289"/>
          <cell r="AA289"/>
          <cell r="AB289"/>
          <cell r="AC289"/>
          <cell r="AD289"/>
          <cell r="AE289"/>
          <cell r="AF289"/>
          <cell r="AG289"/>
          <cell r="AH289"/>
          <cell r="AI289"/>
          <cell r="AJ289"/>
          <cell r="AK289"/>
          <cell r="AL289"/>
          <cell r="AM289"/>
          <cell r="AN289"/>
          <cell r="AO289"/>
          <cell r="AP289"/>
          <cell r="AQ289"/>
          <cell r="AR289"/>
          <cell r="AS289">
            <v>0</v>
          </cell>
          <cell r="AT289">
            <v>0</v>
          </cell>
          <cell r="AU289">
            <v>0</v>
          </cell>
          <cell r="AV289"/>
          <cell r="AW289"/>
          <cell r="AX289"/>
          <cell r="AY289"/>
          <cell r="AZ289"/>
          <cell r="BA289"/>
          <cell r="BB289"/>
          <cell r="BC289"/>
          <cell r="BD289"/>
          <cell r="BE289"/>
          <cell r="BF289"/>
          <cell r="BG289"/>
          <cell r="BH289"/>
          <cell r="BI289"/>
          <cell r="BJ289"/>
          <cell r="BK289"/>
          <cell r="BL289"/>
          <cell r="BM289"/>
          <cell r="BN289"/>
          <cell r="BO289"/>
          <cell r="BP289"/>
          <cell r="BQ289"/>
          <cell r="BR289"/>
          <cell r="BS289"/>
          <cell r="BT289"/>
          <cell r="BU289"/>
          <cell r="BV289"/>
          <cell r="BW289">
            <v>0</v>
          </cell>
          <cell r="BX289">
            <v>0</v>
          </cell>
          <cell r="BY289">
            <v>0</v>
          </cell>
          <cell r="BZ289"/>
          <cell r="CA289"/>
          <cell r="CB289"/>
          <cell r="CC289"/>
          <cell r="CD289"/>
          <cell r="CE289"/>
          <cell r="CF289"/>
          <cell r="CG289"/>
          <cell r="CH289"/>
          <cell r="CI289"/>
          <cell r="CJ289"/>
          <cell r="CK289"/>
          <cell r="CL289"/>
          <cell r="CM289"/>
          <cell r="CN289"/>
          <cell r="CO289"/>
          <cell r="CP289"/>
          <cell r="CQ289"/>
          <cell r="CR289"/>
          <cell r="CS289"/>
          <cell r="CT289"/>
          <cell r="CU289"/>
          <cell r="CV289"/>
          <cell r="CW289"/>
          <cell r="CX289"/>
          <cell r="CY289"/>
          <cell r="CZ289"/>
          <cell r="DA289"/>
        </row>
        <row r="290">
          <cell r="F290" t="str">
            <v>06</v>
          </cell>
          <cell r="G290" t="str">
            <v>0</v>
          </cell>
          <cell r="H290" t="str">
            <v>0</v>
          </cell>
          <cell r="I290" t="str">
            <v>1</v>
          </cell>
          <cell r="J290" t="str">
            <v>0</v>
          </cell>
          <cell r="K290"/>
          <cell r="L290" t="str">
            <v>0010</v>
          </cell>
          <cell r="M290" t="str">
            <v>03</v>
          </cell>
          <cell r="N290" t="str">
            <v>20355836District Design and Led 19-22</v>
          </cell>
          <cell r="O290"/>
          <cell r="P290" t="str">
            <v>5010</v>
          </cell>
          <cell r="Q290" t="str">
            <v>70*C</v>
          </cell>
          <cell r="R290"/>
          <cell r="S290"/>
          <cell r="T290"/>
          <cell r="U290"/>
          <cell r="V290"/>
          <cell r="W290"/>
          <cell r="X290"/>
          <cell r="Y290"/>
          <cell r="Z290"/>
          <cell r="AA290"/>
          <cell r="AB290"/>
          <cell r="AC290"/>
          <cell r="AD290"/>
          <cell r="AE290"/>
          <cell r="AF290"/>
          <cell r="AG290"/>
          <cell r="AH290"/>
          <cell r="AI290"/>
          <cell r="AJ290"/>
          <cell r="AK290"/>
          <cell r="AL290"/>
          <cell r="AM290"/>
          <cell r="AN290"/>
          <cell r="AO290"/>
          <cell r="AP290"/>
          <cell r="AQ290"/>
          <cell r="AR290"/>
          <cell r="AS290">
            <v>0</v>
          </cell>
          <cell r="AT290">
            <v>0</v>
          </cell>
          <cell r="AU290">
            <v>0</v>
          </cell>
          <cell r="AV290"/>
          <cell r="AW290"/>
          <cell r="AX290"/>
          <cell r="AY290"/>
          <cell r="AZ290"/>
          <cell r="BA290"/>
          <cell r="BB290"/>
          <cell r="BC290"/>
          <cell r="BD290"/>
          <cell r="BE290"/>
          <cell r="BF290"/>
          <cell r="BG290"/>
          <cell r="BH290"/>
          <cell r="BI290"/>
          <cell r="BJ290"/>
          <cell r="BK290"/>
          <cell r="BL290"/>
          <cell r="BM290"/>
          <cell r="BN290"/>
          <cell r="BO290"/>
          <cell r="BP290"/>
          <cell r="BQ290"/>
          <cell r="BR290"/>
          <cell r="BS290"/>
          <cell r="BT290"/>
          <cell r="BU290"/>
          <cell r="BV290"/>
          <cell r="BW290">
            <v>0</v>
          </cell>
          <cell r="BX290">
            <v>0</v>
          </cell>
          <cell r="BY290">
            <v>0</v>
          </cell>
          <cell r="BZ290"/>
          <cell r="CA290"/>
          <cell r="CB290"/>
          <cell r="CC290"/>
          <cell r="CD290">
            <v>38739.599999999999</v>
          </cell>
          <cell r="CE290"/>
          <cell r="CF290"/>
          <cell r="CG290"/>
          <cell r="CH290"/>
          <cell r="CI290"/>
          <cell r="CJ290"/>
          <cell r="CK290"/>
          <cell r="CL290"/>
          <cell r="CM290"/>
          <cell r="CN290"/>
          <cell r="CO290"/>
          <cell r="CP290"/>
          <cell r="CQ290"/>
          <cell r="CR290"/>
          <cell r="CS290"/>
          <cell r="CT290"/>
          <cell r="CU290"/>
          <cell r="CV290"/>
          <cell r="CW290"/>
          <cell r="CX290"/>
          <cell r="CY290"/>
          <cell r="CZ290"/>
          <cell r="DA290"/>
        </row>
        <row r="291">
          <cell r="F291" t="str">
            <v>06</v>
          </cell>
          <cell r="G291" t="str">
            <v>1</v>
          </cell>
          <cell r="H291" t="str">
            <v>0</v>
          </cell>
          <cell r="I291" t="str">
            <v>0</v>
          </cell>
          <cell r="J291" t="str">
            <v>0</v>
          </cell>
          <cell r="K291"/>
          <cell r="L291" t="str">
            <v>1000</v>
          </cell>
          <cell r="M291" t="str">
            <v>01</v>
          </cell>
          <cell r="N291" t="str">
            <v>20356026District Design and Led 17-20</v>
          </cell>
          <cell r="O291" t="str">
            <v>S010A170006</v>
          </cell>
          <cell r="P291" t="str">
            <v>5010</v>
          </cell>
          <cell r="Q291" t="str">
            <v>70*C</v>
          </cell>
          <cell r="R291">
            <v>43173</v>
          </cell>
          <cell r="S291">
            <v>43173</v>
          </cell>
          <cell r="T291">
            <v>30000</v>
          </cell>
          <cell r="AS291">
            <v>0</v>
          </cell>
          <cell r="AT291">
            <v>0</v>
          </cell>
          <cell r="AU291">
            <v>30000</v>
          </cell>
          <cell r="AV291" t="str">
            <v>S010A170006</v>
          </cell>
          <cell r="AW291">
            <v>30000</v>
          </cell>
          <cell r="BG291">
            <v>-2127</v>
          </cell>
          <cell r="BU291">
            <v>-5665</v>
          </cell>
          <cell r="BW291">
            <v>-7792</v>
          </cell>
          <cell r="BX291">
            <v>0</v>
          </cell>
          <cell r="BY291">
            <v>52208</v>
          </cell>
          <cell r="BZ291" t="str">
            <v>S010A190006</v>
          </cell>
          <cell r="CA291">
            <v>10000</v>
          </cell>
          <cell r="CI291">
            <v>-18114.240000000002</v>
          </cell>
          <cell r="CK291">
            <v>-125</v>
          </cell>
          <cell r="CM291">
            <v>-795.49</v>
          </cell>
          <cell r="CO291">
            <v>-2002.23</v>
          </cell>
          <cell r="CS291">
            <v>-75</v>
          </cell>
          <cell r="CU291">
            <v>-2596.33</v>
          </cell>
        </row>
        <row r="292">
          <cell r="F292" t="str">
            <v>06</v>
          </cell>
          <cell r="G292" t="str">
            <v>0</v>
          </cell>
          <cell r="H292" t="str">
            <v>1</v>
          </cell>
          <cell r="I292" t="str">
            <v>0</v>
          </cell>
          <cell r="J292" t="str">
            <v>0</v>
          </cell>
          <cell r="K292"/>
          <cell r="L292" t="str">
            <v>0100</v>
          </cell>
          <cell r="M292" t="str">
            <v>02</v>
          </cell>
          <cell r="N292" t="str">
            <v>20356026District Design and Led 18-21</v>
          </cell>
          <cell r="P292" t="str">
            <v>5010</v>
          </cell>
          <cell r="Q292" t="str">
            <v>70*C</v>
          </cell>
          <cell r="R292"/>
          <cell r="S292"/>
          <cell r="AS292">
            <v>0</v>
          </cell>
          <cell r="AT292">
            <v>0</v>
          </cell>
          <cell r="AU292">
            <v>0</v>
          </cell>
          <cell r="AV292" t="str">
            <v>S010A180006</v>
          </cell>
          <cell r="AW292"/>
          <cell r="AX292">
            <v>10597</v>
          </cell>
          <cell r="BU292">
            <v>-10068</v>
          </cell>
          <cell r="BW292">
            <v>-10068</v>
          </cell>
          <cell r="BX292">
            <v>0</v>
          </cell>
          <cell r="BY292">
            <v>529</v>
          </cell>
          <cell r="BZ292" t="str">
            <v>S010A190006</v>
          </cell>
          <cell r="CB292">
            <v>10761</v>
          </cell>
          <cell r="CI292">
            <v>-5245.71</v>
          </cell>
        </row>
        <row r="293">
          <cell r="F293" t="str">
            <v>06</v>
          </cell>
          <cell r="G293" t="str">
            <v>1</v>
          </cell>
          <cell r="H293" t="str">
            <v>0</v>
          </cell>
          <cell r="I293" t="str">
            <v>0</v>
          </cell>
          <cell r="J293" t="str">
            <v>0</v>
          </cell>
          <cell r="K293"/>
          <cell r="L293" t="str">
            <v>1000</v>
          </cell>
          <cell r="M293" t="str">
            <v>01</v>
          </cell>
          <cell r="N293" t="str">
            <v>20358133District Design and Led 17-20</v>
          </cell>
          <cell r="O293" t="str">
            <v>S010A170006</v>
          </cell>
          <cell r="P293" t="str">
            <v>5010</v>
          </cell>
          <cell r="Q293" t="str">
            <v>70*C</v>
          </cell>
          <cell r="R293">
            <v>43173</v>
          </cell>
          <cell r="S293">
            <v>43173</v>
          </cell>
          <cell r="T293">
            <v>18620</v>
          </cell>
          <cell r="AS293">
            <v>0</v>
          </cell>
          <cell r="AT293">
            <v>0</v>
          </cell>
          <cell r="AU293">
            <v>18620</v>
          </cell>
          <cell r="AV293" t="str">
            <v>S010A170006</v>
          </cell>
          <cell r="AW293">
            <v>19558</v>
          </cell>
          <cell r="BG293">
            <v>-3644</v>
          </cell>
          <cell r="BI293">
            <v>-2397</v>
          </cell>
          <cell r="BK293">
            <v>-1802</v>
          </cell>
          <cell r="BM293">
            <v>-2331</v>
          </cell>
          <cell r="BO293">
            <v>-2845</v>
          </cell>
          <cell r="BQ293">
            <v>-3137</v>
          </cell>
          <cell r="BS293">
            <v>-744</v>
          </cell>
          <cell r="BW293">
            <v>-16900</v>
          </cell>
          <cell r="BX293">
            <v>0</v>
          </cell>
          <cell r="BY293">
            <v>21278</v>
          </cell>
          <cell r="CE293">
            <v>-8010</v>
          </cell>
          <cell r="CI293">
            <v>-976.02</v>
          </cell>
          <cell r="CM293">
            <v>-10432.48</v>
          </cell>
          <cell r="CQ293">
            <v>-1750.99</v>
          </cell>
          <cell r="CU293">
            <v>-108.51</v>
          </cell>
        </row>
        <row r="294">
          <cell r="F294" t="str">
            <v>06</v>
          </cell>
          <cell r="G294" t="str">
            <v>0</v>
          </cell>
          <cell r="H294" t="str">
            <v>1</v>
          </cell>
          <cell r="I294" t="str">
            <v>0</v>
          </cell>
          <cell r="J294" t="str">
            <v>0</v>
          </cell>
          <cell r="K294"/>
          <cell r="L294" t="str">
            <v>0100</v>
          </cell>
          <cell r="M294" t="str">
            <v>02</v>
          </cell>
          <cell r="N294" t="str">
            <v>20358133District Design and Led 18-21</v>
          </cell>
          <cell r="P294" t="str">
            <v>5010</v>
          </cell>
          <cell r="Q294" t="str">
            <v>70*C</v>
          </cell>
          <cell r="R294"/>
          <cell r="S294"/>
          <cell r="AS294">
            <v>0</v>
          </cell>
          <cell r="AT294">
            <v>0</v>
          </cell>
          <cell r="AU294">
            <v>0</v>
          </cell>
          <cell r="AV294" t="str">
            <v>S010A180006</v>
          </cell>
          <cell r="AW294"/>
          <cell r="AX294">
            <v>31791</v>
          </cell>
          <cell r="BS294">
            <v>-3315</v>
          </cell>
          <cell r="BW294">
            <v>-3315</v>
          </cell>
          <cell r="BX294">
            <v>0</v>
          </cell>
          <cell r="BY294">
            <v>28476</v>
          </cell>
          <cell r="BZ294" t="str">
            <v>S010A190006</v>
          </cell>
          <cell r="CB294">
            <v>32283</v>
          </cell>
          <cell r="CI294">
            <v>-3372.06</v>
          </cell>
          <cell r="CO294">
            <v>-5547.0499999999993</v>
          </cell>
          <cell r="CQ294">
            <v>-525.55999999999995</v>
          </cell>
          <cell r="CS294">
            <v>-3841.9300000000003</v>
          </cell>
          <cell r="CU294">
            <v>-9325.6299999999992</v>
          </cell>
          <cell r="CW294">
            <v>-5426.5499999999993</v>
          </cell>
          <cell r="CY294">
            <v>-3415.4199999999996</v>
          </cell>
          <cell r="DA294">
            <v>-5864.04</v>
          </cell>
        </row>
        <row r="295">
          <cell r="F295" t="str">
            <v>06</v>
          </cell>
          <cell r="G295" t="str">
            <v>1</v>
          </cell>
          <cell r="H295" t="str">
            <v>0</v>
          </cell>
          <cell r="I295" t="str">
            <v>0</v>
          </cell>
          <cell r="J295" t="str">
            <v>0</v>
          </cell>
          <cell r="K295"/>
          <cell r="L295" t="str">
            <v>1000</v>
          </cell>
          <cell r="M295" t="str">
            <v>01</v>
          </cell>
          <cell r="N295" t="str">
            <v>2035N/ADistrict Design and Led 17-20</v>
          </cell>
          <cell r="O295" t="str">
            <v>S010A170006</v>
          </cell>
          <cell r="P295" t="str">
            <v>5010</v>
          </cell>
          <cell r="Q295" t="str">
            <v>70*C</v>
          </cell>
          <cell r="R295">
            <v>43173</v>
          </cell>
          <cell r="S295">
            <v>43173</v>
          </cell>
          <cell r="T295">
            <v>133177</v>
          </cell>
          <cell r="AS295">
            <v>0</v>
          </cell>
          <cell r="AT295">
            <v>0</v>
          </cell>
          <cell r="AU295">
            <v>133177</v>
          </cell>
          <cell r="AV295" t="str">
            <v>S010A170006</v>
          </cell>
          <cell r="AW295">
            <v>126000</v>
          </cell>
          <cell r="BG295">
            <v>-16785</v>
          </cell>
          <cell r="BI295">
            <v>-6000</v>
          </cell>
          <cell r="BK295">
            <v>-8137</v>
          </cell>
          <cell r="BM295">
            <v>-2034</v>
          </cell>
          <cell r="BO295">
            <v>-16160</v>
          </cell>
          <cell r="BQ295">
            <v>-16276</v>
          </cell>
          <cell r="BS295">
            <v>-8026</v>
          </cell>
          <cell r="BW295">
            <v>-73418</v>
          </cell>
          <cell r="BX295">
            <v>0</v>
          </cell>
          <cell r="BY295">
            <v>185759</v>
          </cell>
          <cell r="CE295">
            <v>-44912.800000000003</v>
          </cell>
          <cell r="CK295">
            <v>-27425.99</v>
          </cell>
          <cell r="CM295">
            <v>-23457.99</v>
          </cell>
          <cell r="CO295">
            <v>-2185.9899999999998</v>
          </cell>
          <cell r="CQ295">
            <v>-22585.23</v>
          </cell>
          <cell r="CS295">
            <v>-3690.38</v>
          </cell>
          <cell r="CU295">
            <v>-19962.38</v>
          </cell>
          <cell r="CW295">
            <v>-3723.88</v>
          </cell>
          <cell r="CY295">
            <v>-3707.13</v>
          </cell>
          <cell r="DA295">
            <v>-3599.01</v>
          </cell>
        </row>
        <row r="296">
          <cell r="F296" t="str">
            <v>06</v>
          </cell>
          <cell r="G296" t="str">
            <v>0</v>
          </cell>
          <cell r="H296" t="str">
            <v>1</v>
          </cell>
          <cell r="I296" t="str">
            <v>0</v>
          </cell>
          <cell r="J296" t="str">
            <v>0</v>
          </cell>
          <cell r="K296"/>
          <cell r="L296" t="str">
            <v>0100</v>
          </cell>
          <cell r="M296" t="str">
            <v>02</v>
          </cell>
          <cell r="N296" t="str">
            <v>21806366District Design and Led 18-21</v>
          </cell>
          <cell r="P296" t="str">
            <v>5010</v>
          </cell>
          <cell r="Q296" t="str">
            <v>70*C</v>
          </cell>
          <cell r="R296"/>
          <cell r="S296"/>
          <cell r="AS296">
            <v>0</v>
          </cell>
          <cell r="AT296">
            <v>0</v>
          </cell>
          <cell r="AU296">
            <v>0</v>
          </cell>
          <cell r="AV296" t="str">
            <v>S010A180006</v>
          </cell>
          <cell r="AW296"/>
          <cell r="AX296">
            <v>52970</v>
          </cell>
          <cell r="BW296">
            <v>0</v>
          </cell>
          <cell r="BX296">
            <v>0</v>
          </cell>
          <cell r="BY296">
            <v>52970</v>
          </cell>
          <cell r="BZ296" t="str">
            <v>S010A190006</v>
          </cell>
          <cell r="CB296">
            <v>50000</v>
          </cell>
          <cell r="CW296">
            <v>-50000</v>
          </cell>
          <cell r="DA296">
            <v>-19341.45</v>
          </cell>
        </row>
        <row r="297">
          <cell r="F297" t="str">
            <v>06</v>
          </cell>
          <cell r="G297" t="str">
            <v>0</v>
          </cell>
          <cell r="H297" t="str">
            <v>1</v>
          </cell>
          <cell r="I297" t="str">
            <v>0</v>
          </cell>
          <cell r="J297" t="str">
            <v>0</v>
          </cell>
          <cell r="K297"/>
          <cell r="L297" t="str">
            <v>0100</v>
          </cell>
          <cell r="M297" t="str">
            <v>02</v>
          </cell>
          <cell r="N297" t="str">
            <v>21806466District Design and Led 18-21</v>
          </cell>
          <cell r="P297" t="str">
            <v>5010</v>
          </cell>
          <cell r="Q297" t="str">
            <v>70*C</v>
          </cell>
          <cell r="R297"/>
          <cell r="S297"/>
          <cell r="AS297">
            <v>0</v>
          </cell>
          <cell r="AT297">
            <v>0</v>
          </cell>
          <cell r="AU297">
            <v>0</v>
          </cell>
          <cell r="AV297" t="str">
            <v>S010A180006</v>
          </cell>
          <cell r="AW297"/>
          <cell r="AX297">
            <v>52970</v>
          </cell>
          <cell r="BW297">
            <v>0</v>
          </cell>
          <cell r="BX297">
            <v>0</v>
          </cell>
          <cell r="BY297">
            <v>52970</v>
          </cell>
          <cell r="BZ297" t="str">
            <v>S010A190006</v>
          </cell>
          <cell r="CB297">
            <v>50000</v>
          </cell>
          <cell r="CM297">
            <v>-18443.88</v>
          </cell>
          <cell r="CW297">
            <v>-31556.12</v>
          </cell>
          <cell r="DA297">
            <v>-41466.9</v>
          </cell>
        </row>
        <row r="298">
          <cell r="F298" t="str">
            <v>06</v>
          </cell>
          <cell r="G298" t="str">
            <v>0</v>
          </cell>
          <cell r="H298" t="str">
            <v>1</v>
          </cell>
          <cell r="I298" t="str">
            <v>0</v>
          </cell>
          <cell r="J298" t="str">
            <v>0</v>
          </cell>
          <cell r="K298"/>
          <cell r="L298" t="str">
            <v>0100</v>
          </cell>
          <cell r="M298" t="str">
            <v>02</v>
          </cell>
          <cell r="N298" t="str">
            <v>21807106District Design and Led 18-21</v>
          </cell>
          <cell r="P298" t="str">
            <v>5010</v>
          </cell>
          <cell r="Q298" t="str">
            <v>70*C</v>
          </cell>
          <cell r="R298"/>
          <cell r="S298"/>
          <cell r="AS298">
            <v>0</v>
          </cell>
          <cell r="AT298">
            <v>0</v>
          </cell>
          <cell r="AU298">
            <v>0</v>
          </cell>
          <cell r="AV298" t="str">
            <v>S010A180006</v>
          </cell>
          <cell r="AW298"/>
          <cell r="AX298">
            <v>52970</v>
          </cell>
          <cell r="BW298">
            <v>0</v>
          </cell>
          <cell r="BX298">
            <v>0</v>
          </cell>
          <cell r="BY298">
            <v>52970</v>
          </cell>
          <cell r="BZ298" t="str">
            <v>S010A190006</v>
          </cell>
          <cell r="CB298">
            <v>50000</v>
          </cell>
          <cell r="CM298">
            <v>-7765.29</v>
          </cell>
          <cell r="CW298">
            <v>-42234.71</v>
          </cell>
          <cell r="DA298">
            <v>-20321.77</v>
          </cell>
        </row>
        <row r="299">
          <cell r="F299" t="str">
            <v>06</v>
          </cell>
          <cell r="G299" t="str">
            <v>1</v>
          </cell>
          <cell r="H299" t="str">
            <v>0</v>
          </cell>
          <cell r="I299" t="str">
            <v>0</v>
          </cell>
          <cell r="J299" t="str">
            <v>0</v>
          </cell>
          <cell r="K299"/>
          <cell r="L299" t="str">
            <v>1000</v>
          </cell>
          <cell r="M299" t="str">
            <v>01</v>
          </cell>
          <cell r="N299" t="str">
            <v>2180N/ADistrict Design and Led 17-20</v>
          </cell>
          <cell r="O299" t="str">
            <v>S010A170006</v>
          </cell>
          <cell r="P299" t="str">
            <v>5010</v>
          </cell>
          <cell r="Q299" t="str">
            <v>70*C</v>
          </cell>
          <cell r="R299">
            <v>43173</v>
          </cell>
          <cell r="S299">
            <v>43173</v>
          </cell>
          <cell r="T299">
            <v>60894</v>
          </cell>
          <cell r="AS299">
            <v>0</v>
          </cell>
          <cell r="AT299">
            <v>0</v>
          </cell>
          <cell r="AU299">
            <v>60894</v>
          </cell>
          <cell r="AV299" t="str">
            <v>S010A170006</v>
          </cell>
          <cell r="AW299">
            <v>75000</v>
          </cell>
          <cell r="BE299">
            <v>-53675</v>
          </cell>
          <cell r="BW299">
            <v>-53675</v>
          </cell>
          <cell r="BX299">
            <v>0</v>
          </cell>
          <cell r="BY299">
            <v>82219</v>
          </cell>
          <cell r="CU299">
            <v>-79079.75</v>
          </cell>
          <cell r="CW299">
            <v>-3139.25</v>
          </cell>
        </row>
        <row r="300">
          <cell r="F300" t="str">
            <v>06</v>
          </cell>
          <cell r="G300" t="str">
            <v>0</v>
          </cell>
          <cell r="H300" t="str">
            <v>1</v>
          </cell>
          <cell r="I300" t="str">
            <v>0</v>
          </cell>
          <cell r="J300" t="str">
            <v>0</v>
          </cell>
          <cell r="K300"/>
          <cell r="L300" t="str">
            <v>0100</v>
          </cell>
          <cell r="M300" t="str">
            <v>02</v>
          </cell>
          <cell r="N300" t="str">
            <v>2180N/ADistrict Design and Led 18-21</v>
          </cell>
          <cell r="P300" t="str">
            <v>5010</v>
          </cell>
          <cell r="Q300" t="str">
            <v>70*C</v>
          </cell>
          <cell r="R300"/>
          <cell r="S300"/>
          <cell r="AS300">
            <v>0</v>
          </cell>
          <cell r="AT300">
            <v>0</v>
          </cell>
          <cell r="AU300">
            <v>0</v>
          </cell>
          <cell r="AV300" t="str">
            <v>S010A180006</v>
          </cell>
          <cell r="AW300"/>
          <cell r="AX300">
            <v>391400.62699999998</v>
          </cell>
          <cell r="BW300">
            <v>0</v>
          </cell>
          <cell r="BX300">
            <v>0</v>
          </cell>
          <cell r="BY300">
            <v>391400.62699999998</v>
          </cell>
          <cell r="BZ300"/>
          <cell r="CB300">
            <v>329546</v>
          </cell>
          <cell r="CM300">
            <v>-59151.519999999997</v>
          </cell>
          <cell r="CW300">
            <v>-282593.97000000003</v>
          </cell>
        </row>
        <row r="301">
          <cell r="F301" t="str">
            <v>06</v>
          </cell>
          <cell r="G301" t="str">
            <v>0</v>
          </cell>
          <cell r="H301" t="str">
            <v>1</v>
          </cell>
          <cell r="I301" t="str">
            <v>0</v>
          </cell>
          <cell r="J301" t="str">
            <v>0</v>
          </cell>
          <cell r="K301"/>
          <cell r="L301" t="str">
            <v>0100</v>
          </cell>
          <cell r="M301" t="str">
            <v>02</v>
          </cell>
          <cell r="N301" t="str">
            <v>21906196District Design and Led 18-21</v>
          </cell>
          <cell r="P301" t="str">
            <v>5010</v>
          </cell>
          <cell r="Q301" t="str">
            <v>70*C</v>
          </cell>
          <cell r="R301"/>
          <cell r="S301"/>
          <cell r="AS301">
            <v>0</v>
          </cell>
          <cell r="AT301">
            <v>0</v>
          </cell>
          <cell r="AU301">
            <v>0</v>
          </cell>
          <cell r="AV301" t="str">
            <v>S010A180006</v>
          </cell>
          <cell r="AW301"/>
          <cell r="AX301">
            <v>69390</v>
          </cell>
          <cell r="BQ301">
            <v>-36000</v>
          </cell>
          <cell r="BU301">
            <v>-32190</v>
          </cell>
          <cell r="BW301">
            <v>-68190</v>
          </cell>
          <cell r="BX301">
            <v>0</v>
          </cell>
          <cell r="BY301">
            <v>1200</v>
          </cell>
          <cell r="BZ301"/>
          <cell r="CE301">
            <v>-1200</v>
          </cell>
        </row>
        <row r="302">
          <cell r="F302" t="str">
            <v>06</v>
          </cell>
          <cell r="G302" t="str">
            <v>0</v>
          </cell>
          <cell r="H302" t="str">
            <v>1</v>
          </cell>
          <cell r="I302" t="str">
            <v>0</v>
          </cell>
          <cell r="J302" t="str">
            <v>0</v>
          </cell>
          <cell r="K302"/>
          <cell r="L302" t="str">
            <v>0100</v>
          </cell>
          <cell r="M302" t="str">
            <v>02</v>
          </cell>
          <cell r="N302" t="str">
            <v>23951094District Design and Led 18-21</v>
          </cell>
          <cell r="P302" t="str">
            <v>5010</v>
          </cell>
          <cell r="Q302" t="str">
            <v>70*C</v>
          </cell>
          <cell r="R302"/>
          <cell r="S302"/>
          <cell r="AS302">
            <v>0</v>
          </cell>
          <cell r="AT302">
            <v>0</v>
          </cell>
          <cell r="AU302">
            <v>0</v>
          </cell>
          <cell r="AV302" t="str">
            <v>S010A180006</v>
          </cell>
          <cell r="AW302"/>
          <cell r="AX302">
            <v>5000</v>
          </cell>
          <cell r="BQ302">
            <v>-2700</v>
          </cell>
          <cell r="BS302">
            <v>-2300</v>
          </cell>
          <cell r="BW302">
            <v>-5000</v>
          </cell>
          <cell r="BX302">
            <v>0</v>
          </cell>
          <cell r="BY302">
            <v>0</v>
          </cell>
          <cell r="BZ302" t="str">
            <v>S010A180006/S010A190006</v>
          </cell>
          <cell r="CB302">
            <v>6195</v>
          </cell>
          <cell r="CM302">
            <v>-1200</v>
          </cell>
        </row>
        <row r="303">
          <cell r="F303" t="str">
            <v>06</v>
          </cell>
          <cell r="G303" t="str">
            <v>0</v>
          </cell>
          <cell r="H303" t="str">
            <v>1</v>
          </cell>
          <cell r="I303" t="str">
            <v>0</v>
          </cell>
          <cell r="J303" t="str">
            <v>0</v>
          </cell>
          <cell r="K303"/>
          <cell r="L303" t="str">
            <v>0100</v>
          </cell>
          <cell r="M303" t="str">
            <v>02</v>
          </cell>
          <cell r="N303" t="str">
            <v>23951096District Design and Led 18-21</v>
          </cell>
          <cell r="P303" t="str">
            <v>5010</v>
          </cell>
          <cell r="Q303" t="str">
            <v>70*C</v>
          </cell>
          <cell r="R303"/>
          <cell r="S303"/>
          <cell r="AS303">
            <v>0</v>
          </cell>
          <cell r="AT303">
            <v>0</v>
          </cell>
          <cell r="AU303">
            <v>0</v>
          </cell>
          <cell r="AV303" t="str">
            <v>S010A180006</v>
          </cell>
          <cell r="AW303"/>
          <cell r="AX303">
            <v>10235</v>
          </cell>
          <cell r="BQ303">
            <v>-6240</v>
          </cell>
          <cell r="BS303">
            <v>-3995</v>
          </cell>
          <cell r="BW303">
            <v>-10235</v>
          </cell>
          <cell r="BX303">
            <v>0</v>
          </cell>
          <cell r="BY303">
            <v>0</v>
          </cell>
          <cell r="BZ303" t="str">
            <v>S010A180006</v>
          </cell>
          <cell r="CB303">
            <v>15230</v>
          </cell>
          <cell r="CK303">
            <v>-500</v>
          </cell>
          <cell r="CS303">
            <v>-8871.36</v>
          </cell>
        </row>
        <row r="304">
          <cell r="F304" t="str">
            <v>06</v>
          </cell>
          <cell r="G304" t="str">
            <v>0</v>
          </cell>
          <cell r="H304" t="str">
            <v>0</v>
          </cell>
          <cell r="I304" t="str">
            <v>0</v>
          </cell>
          <cell r="J304" t="str">
            <v>0</v>
          </cell>
          <cell r="K304"/>
          <cell r="L304" t="str">
            <v>0000</v>
          </cell>
          <cell r="M304" t="str">
            <v>X</v>
          </cell>
          <cell r="N304" t="str">
            <v>23951438District Design and Led 18-21</v>
          </cell>
          <cell r="P304" t="str">
            <v>5010</v>
          </cell>
          <cell r="Q304" t="str">
            <v>70*C</v>
          </cell>
          <cell r="R304"/>
          <cell r="S304"/>
          <cell r="AS304">
            <v>0</v>
          </cell>
          <cell r="AT304">
            <v>0</v>
          </cell>
          <cell r="AU304">
            <v>0</v>
          </cell>
          <cell r="AV304" t="str">
            <v>S010A180006</v>
          </cell>
          <cell r="AW304"/>
          <cell r="BW304">
            <v>0</v>
          </cell>
          <cell r="BX304">
            <v>0</v>
          </cell>
          <cell r="BY304">
            <v>0</v>
          </cell>
          <cell r="BZ304" t="str">
            <v>S010A180006</v>
          </cell>
          <cell r="CB304">
            <v>22600</v>
          </cell>
          <cell r="CK304">
            <v>-8292.89</v>
          </cell>
          <cell r="CM304">
            <v>-5550</v>
          </cell>
          <cell r="CU304">
            <v>-2800</v>
          </cell>
        </row>
        <row r="305">
          <cell r="F305" t="str">
            <v>06</v>
          </cell>
          <cell r="G305" t="str">
            <v>0</v>
          </cell>
          <cell r="H305" t="str">
            <v>1</v>
          </cell>
          <cell r="I305" t="str">
            <v>0</v>
          </cell>
          <cell r="J305" t="str">
            <v>0</v>
          </cell>
          <cell r="K305"/>
          <cell r="L305" t="str">
            <v>0100</v>
          </cell>
          <cell r="M305" t="str">
            <v>02</v>
          </cell>
          <cell r="N305" t="str">
            <v>23958832District Design and Led 18-21</v>
          </cell>
          <cell r="P305" t="str">
            <v>5010</v>
          </cell>
          <cell r="Q305" t="str">
            <v>70*C</v>
          </cell>
          <cell r="R305"/>
          <cell r="S305"/>
          <cell r="AS305">
            <v>0</v>
          </cell>
          <cell r="AT305">
            <v>0</v>
          </cell>
          <cell r="AU305">
            <v>0</v>
          </cell>
          <cell r="AV305" t="str">
            <v>S010A180006</v>
          </cell>
          <cell r="AW305"/>
          <cell r="AX305">
            <v>10000</v>
          </cell>
          <cell r="BS305">
            <v>-8445</v>
          </cell>
          <cell r="BW305">
            <v>-8445</v>
          </cell>
          <cell r="BX305">
            <v>0</v>
          </cell>
          <cell r="BY305">
            <v>1555</v>
          </cell>
          <cell r="BZ305" t="str">
            <v>S010A180006</v>
          </cell>
          <cell r="CB305">
            <v>26600</v>
          </cell>
          <cell r="CK305">
            <v>-17301.54</v>
          </cell>
          <cell r="CM305">
            <v>-2975</v>
          </cell>
          <cell r="CS305">
            <v>-2975</v>
          </cell>
          <cell r="CY305">
            <v>-2800</v>
          </cell>
        </row>
        <row r="306">
          <cell r="F306" t="str">
            <v>06</v>
          </cell>
          <cell r="G306" t="str">
            <v>0</v>
          </cell>
          <cell r="H306" t="str">
            <v>1</v>
          </cell>
          <cell r="I306" t="str">
            <v>0</v>
          </cell>
          <cell r="J306" t="str">
            <v>0</v>
          </cell>
          <cell r="K306"/>
          <cell r="L306" t="str">
            <v>0100</v>
          </cell>
          <cell r="M306" t="str">
            <v>02</v>
          </cell>
          <cell r="N306" t="str">
            <v>2395N/ADistrict Design and Led 18-21</v>
          </cell>
          <cell r="P306" t="str">
            <v>5010</v>
          </cell>
          <cell r="Q306" t="str">
            <v>70*C</v>
          </cell>
          <cell r="R306"/>
          <cell r="S306"/>
          <cell r="AS306">
            <v>0</v>
          </cell>
          <cell r="AT306">
            <v>0</v>
          </cell>
          <cell r="AU306">
            <v>0</v>
          </cell>
          <cell r="AV306" t="str">
            <v>S010A180006</v>
          </cell>
          <cell r="AW306"/>
          <cell r="AX306">
            <v>24200</v>
          </cell>
          <cell r="BQ306">
            <v>-14000</v>
          </cell>
          <cell r="BU306">
            <v>-10000</v>
          </cell>
          <cell r="BW306">
            <v>-24000</v>
          </cell>
          <cell r="BX306">
            <v>0</v>
          </cell>
          <cell r="BY306">
            <v>200</v>
          </cell>
          <cell r="BZ306" t="str">
            <v>S010A180006</v>
          </cell>
          <cell r="CB306">
            <v>79800</v>
          </cell>
          <cell r="CK306">
            <v>-48350</v>
          </cell>
          <cell r="CM306">
            <v>-175</v>
          </cell>
          <cell r="CS306">
            <v>-28175</v>
          </cell>
          <cell r="CU306">
            <v>-175</v>
          </cell>
          <cell r="CY306">
            <v>-175</v>
          </cell>
        </row>
        <row r="307">
          <cell r="F307" t="str">
            <v>06</v>
          </cell>
          <cell r="G307" t="str">
            <v>0</v>
          </cell>
          <cell r="H307" t="str">
            <v>0</v>
          </cell>
          <cell r="I307" t="str">
            <v>1</v>
          </cell>
          <cell r="J307" t="str">
            <v>0</v>
          </cell>
          <cell r="K307"/>
          <cell r="L307" t="str">
            <v>0010</v>
          </cell>
          <cell r="M307" t="str">
            <v>03</v>
          </cell>
          <cell r="N307" t="str">
            <v>26900756District Design and Led 19-22</v>
          </cell>
          <cell r="O307"/>
          <cell r="P307" t="str">
            <v>5010</v>
          </cell>
          <cell r="Q307" t="str">
            <v>70*C</v>
          </cell>
          <cell r="R307"/>
          <cell r="S307"/>
          <cell r="T307"/>
          <cell r="U307"/>
          <cell r="V307"/>
          <cell r="W307"/>
          <cell r="X307"/>
          <cell r="Y307"/>
          <cell r="Z307"/>
          <cell r="AA307"/>
          <cell r="AB307"/>
          <cell r="AC307"/>
          <cell r="AD307"/>
          <cell r="AE307"/>
          <cell r="AF307"/>
          <cell r="AG307"/>
          <cell r="AH307"/>
          <cell r="AI307"/>
          <cell r="AJ307"/>
          <cell r="AK307"/>
          <cell r="AL307"/>
          <cell r="AM307"/>
          <cell r="AN307"/>
          <cell r="AO307"/>
          <cell r="AP307"/>
          <cell r="AQ307"/>
          <cell r="AR307"/>
          <cell r="AS307">
            <v>0</v>
          </cell>
          <cell r="AT307">
            <v>0</v>
          </cell>
          <cell r="AU307">
            <v>0</v>
          </cell>
          <cell r="AV307"/>
          <cell r="AW307"/>
          <cell r="AX307"/>
          <cell r="AY307"/>
          <cell r="AZ307"/>
          <cell r="BA307"/>
          <cell r="BB307"/>
          <cell r="BC307"/>
          <cell r="BD307"/>
          <cell r="BE307"/>
          <cell r="BF307"/>
          <cell r="BG307"/>
          <cell r="BH307"/>
          <cell r="BI307"/>
          <cell r="BJ307"/>
          <cell r="BK307"/>
          <cell r="BL307"/>
          <cell r="BM307"/>
          <cell r="BN307"/>
          <cell r="BO307"/>
          <cell r="BP307"/>
          <cell r="BQ307"/>
          <cell r="BR307"/>
          <cell r="BS307"/>
          <cell r="BT307"/>
          <cell r="BU307"/>
          <cell r="BV307"/>
          <cell r="BW307">
            <v>0</v>
          </cell>
          <cell r="BX307">
            <v>0</v>
          </cell>
          <cell r="BY307">
            <v>0</v>
          </cell>
          <cell r="BZ307"/>
          <cell r="CA307"/>
          <cell r="CB307"/>
          <cell r="CC307"/>
          <cell r="CD307">
            <v>4790.7</v>
          </cell>
          <cell r="CE307"/>
          <cell r="CF307"/>
          <cell r="CG307"/>
          <cell r="CH307"/>
          <cell r="CI307"/>
          <cell r="CJ307"/>
          <cell r="CK307"/>
          <cell r="CL307"/>
          <cell r="CM307"/>
          <cell r="CN307"/>
          <cell r="CO307"/>
          <cell r="CP307"/>
          <cell r="CQ307"/>
          <cell r="CR307"/>
          <cell r="CS307"/>
          <cell r="CT307"/>
          <cell r="CU307"/>
          <cell r="CV307"/>
          <cell r="CW307"/>
          <cell r="CX307"/>
          <cell r="CY307"/>
          <cell r="CZ307"/>
          <cell r="DA307"/>
        </row>
        <row r="308">
          <cell r="F308" t="str">
            <v>06</v>
          </cell>
          <cell r="G308" t="str">
            <v>0</v>
          </cell>
          <cell r="H308" t="str">
            <v>0</v>
          </cell>
          <cell r="I308" t="str">
            <v>1</v>
          </cell>
          <cell r="J308" t="str">
            <v>0</v>
          </cell>
          <cell r="K308"/>
          <cell r="L308" t="str">
            <v>0010</v>
          </cell>
          <cell r="M308" t="str">
            <v>03</v>
          </cell>
          <cell r="N308" t="str">
            <v>26900822District Design and Led 19-22</v>
          </cell>
          <cell r="O308"/>
          <cell r="P308" t="str">
            <v>5010</v>
          </cell>
          <cell r="Q308" t="str">
            <v>70*C</v>
          </cell>
          <cell r="R308"/>
          <cell r="S308"/>
          <cell r="T308"/>
          <cell r="U308"/>
          <cell r="V308"/>
          <cell r="W308"/>
          <cell r="X308"/>
          <cell r="Y308"/>
          <cell r="Z308"/>
          <cell r="AA308"/>
          <cell r="AB308"/>
          <cell r="AC308"/>
          <cell r="AD308"/>
          <cell r="AE308"/>
          <cell r="AF308"/>
          <cell r="AG308"/>
          <cell r="AH308"/>
          <cell r="AI308"/>
          <cell r="AJ308"/>
          <cell r="AK308"/>
          <cell r="AL308"/>
          <cell r="AM308"/>
          <cell r="AN308"/>
          <cell r="AO308"/>
          <cell r="AP308"/>
          <cell r="AQ308"/>
          <cell r="AR308"/>
          <cell r="AS308">
            <v>0</v>
          </cell>
          <cell r="AT308">
            <v>0</v>
          </cell>
          <cell r="AU308">
            <v>0</v>
          </cell>
          <cell r="AV308"/>
          <cell r="AW308"/>
          <cell r="AX308"/>
          <cell r="AY308"/>
          <cell r="AZ308"/>
          <cell r="BA308"/>
          <cell r="BB308"/>
          <cell r="BC308"/>
          <cell r="BD308"/>
          <cell r="BE308"/>
          <cell r="BF308"/>
          <cell r="BG308"/>
          <cell r="BH308"/>
          <cell r="BI308"/>
          <cell r="BJ308"/>
          <cell r="BK308"/>
          <cell r="BL308"/>
          <cell r="BM308"/>
          <cell r="BN308"/>
          <cell r="BO308"/>
          <cell r="BP308"/>
          <cell r="BQ308"/>
          <cell r="BR308"/>
          <cell r="BS308"/>
          <cell r="BT308"/>
          <cell r="BU308"/>
          <cell r="BV308"/>
          <cell r="BW308">
            <v>0</v>
          </cell>
          <cell r="BX308">
            <v>0</v>
          </cell>
          <cell r="BY308">
            <v>0</v>
          </cell>
          <cell r="BZ308"/>
          <cell r="CA308"/>
          <cell r="CB308"/>
          <cell r="CC308"/>
          <cell r="CD308">
            <v>4790.7</v>
          </cell>
          <cell r="CE308"/>
          <cell r="CF308"/>
          <cell r="CG308"/>
          <cell r="CH308"/>
          <cell r="CI308"/>
          <cell r="CJ308"/>
          <cell r="CK308"/>
          <cell r="CL308"/>
          <cell r="CM308"/>
          <cell r="CN308"/>
          <cell r="CO308"/>
          <cell r="CP308"/>
          <cell r="CQ308"/>
          <cell r="CR308"/>
          <cell r="CS308"/>
          <cell r="CT308"/>
          <cell r="CU308"/>
          <cell r="CV308"/>
          <cell r="CW308"/>
          <cell r="CX308"/>
          <cell r="CY308"/>
          <cell r="CZ308"/>
          <cell r="DA308"/>
        </row>
        <row r="309">
          <cell r="F309" t="str">
            <v>06</v>
          </cell>
          <cell r="G309" t="str">
            <v>0</v>
          </cell>
          <cell r="H309" t="str">
            <v>0</v>
          </cell>
          <cell r="I309" t="str">
            <v>0</v>
          </cell>
          <cell r="J309" t="str">
            <v>0</v>
          </cell>
          <cell r="K309"/>
          <cell r="L309" t="str">
            <v>0000</v>
          </cell>
          <cell r="M309" t="str">
            <v>X</v>
          </cell>
          <cell r="N309" t="str">
            <v>26901454District Design and Led 18-21</v>
          </cell>
          <cell r="O309"/>
          <cell r="P309" t="str">
            <v>5010</v>
          </cell>
          <cell r="Q309" t="str">
            <v>70*C</v>
          </cell>
          <cell r="R309"/>
          <cell r="S309"/>
          <cell r="T309"/>
          <cell r="U309"/>
          <cell r="V309"/>
          <cell r="W309"/>
          <cell r="X309"/>
          <cell r="Y309"/>
          <cell r="Z309"/>
          <cell r="AA309"/>
          <cell r="AB309"/>
          <cell r="AC309"/>
          <cell r="AD309"/>
          <cell r="AE309"/>
          <cell r="AF309"/>
          <cell r="AG309"/>
          <cell r="AH309"/>
          <cell r="AI309"/>
          <cell r="AJ309"/>
          <cell r="AK309"/>
          <cell r="AL309"/>
          <cell r="AM309"/>
          <cell r="AN309"/>
          <cell r="AO309"/>
          <cell r="AP309"/>
          <cell r="AQ309"/>
          <cell r="AR309"/>
          <cell r="AS309">
            <v>0</v>
          </cell>
          <cell r="AT309">
            <v>0</v>
          </cell>
          <cell r="AU309">
            <v>0</v>
          </cell>
          <cell r="AV309"/>
          <cell r="AW309"/>
          <cell r="AX309"/>
          <cell r="AY309"/>
          <cell r="AZ309"/>
          <cell r="BA309"/>
          <cell r="BB309"/>
          <cell r="BC309"/>
          <cell r="BD309"/>
          <cell r="BE309"/>
          <cell r="BF309"/>
          <cell r="BG309"/>
          <cell r="BH309"/>
          <cell r="BI309"/>
          <cell r="BJ309"/>
          <cell r="BK309"/>
          <cell r="BL309"/>
          <cell r="BM309"/>
          <cell r="BN309"/>
          <cell r="BO309"/>
          <cell r="BP309"/>
          <cell r="BQ309"/>
          <cell r="BR309"/>
          <cell r="BS309"/>
          <cell r="BT309"/>
          <cell r="BU309"/>
          <cell r="BV309"/>
          <cell r="BW309">
            <v>0</v>
          </cell>
          <cell r="BX309">
            <v>0</v>
          </cell>
          <cell r="BY309">
            <v>0</v>
          </cell>
          <cell r="BZ309" t="str">
            <v>S010A190006</v>
          </cell>
          <cell r="CA309"/>
          <cell r="CB309">
            <v>72000</v>
          </cell>
          <cell r="CC309"/>
          <cell r="CD309"/>
          <cell r="CE309"/>
          <cell r="CF309"/>
          <cell r="CG309"/>
          <cell r="CH309"/>
          <cell r="CI309"/>
          <cell r="CJ309"/>
          <cell r="CK309"/>
          <cell r="CL309"/>
          <cell r="CM309"/>
          <cell r="CN309"/>
          <cell r="CO309"/>
          <cell r="CP309"/>
          <cell r="CQ309"/>
          <cell r="CR309"/>
          <cell r="CS309"/>
          <cell r="CT309"/>
          <cell r="CU309"/>
          <cell r="CV309"/>
          <cell r="CW309"/>
          <cell r="CX309"/>
          <cell r="CY309"/>
          <cell r="CZ309"/>
          <cell r="DA309"/>
        </row>
        <row r="310">
          <cell r="F310"/>
          <cell r="G310"/>
          <cell r="H310"/>
          <cell r="I310"/>
          <cell r="J310"/>
          <cell r="K310"/>
          <cell r="L310"/>
          <cell r="M310"/>
          <cell r="N310" t="str">
            <v>2690N/ADistrict Design and Led 20-23</v>
          </cell>
          <cell r="O310"/>
          <cell r="P310" t="str">
            <v>5010</v>
          </cell>
          <cell r="Q310"/>
          <cell r="R310"/>
          <cell r="S310"/>
          <cell r="T310"/>
          <cell r="U310"/>
          <cell r="V310"/>
          <cell r="W310"/>
          <cell r="X310"/>
          <cell r="Y310"/>
          <cell r="Z310"/>
          <cell r="AA310"/>
          <cell r="AB310"/>
          <cell r="AC310"/>
          <cell r="AD310"/>
          <cell r="AE310"/>
          <cell r="AF310"/>
          <cell r="AG310"/>
          <cell r="AH310"/>
          <cell r="AI310"/>
          <cell r="AJ310"/>
          <cell r="AK310"/>
          <cell r="AL310"/>
          <cell r="AM310"/>
          <cell r="AN310"/>
          <cell r="AO310"/>
          <cell r="AP310"/>
          <cell r="AQ310"/>
          <cell r="AR310"/>
          <cell r="AS310"/>
          <cell r="AT310"/>
          <cell r="AU310"/>
          <cell r="AV310"/>
          <cell r="AW310"/>
          <cell r="AX310"/>
          <cell r="AY310"/>
          <cell r="AZ310"/>
          <cell r="BA310"/>
          <cell r="BB310"/>
          <cell r="BC310"/>
          <cell r="BD310"/>
          <cell r="BE310"/>
          <cell r="BF310"/>
          <cell r="BG310"/>
          <cell r="BH310"/>
          <cell r="BI310"/>
          <cell r="BJ310"/>
          <cell r="BK310"/>
          <cell r="BL310"/>
          <cell r="BM310"/>
          <cell r="BN310"/>
          <cell r="BO310"/>
          <cell r="BP310"/>
          <cell r="BQ310"/>
          <cell r="BR310"/>
          <cell r="BS310"/>
          <cell r="BT310"/>
          <cell r="BU310"/>
          <cell r="BV310"/>
          <cell r="BW310"/>
          <cell r="BX310"/>
          <cell r="BY310"/>
          <cell r="BZ310"/>
          <cell r="CA310"/>
          <cell r="CB310"/>
          <cell r="CC310"/>
          <cell r="CD310"/>
          <cell r="CE310"/>
          <cell r="CF310"/>
          <cell r="CG310"/>
          <cell r="CH310"/>
          <cell r="CI310"/>
          <cell r="CJ310"/>
          <cell r="CK310"/>
          <cell r="CL310"/>
          <cell r="CM310"/>
          <cell r="CN310"/>
          <cell r="CO310"/>
          <cell r="CP310"/>
          <cell r="CQ310"/>
          <cell r="CR310"/>
          <cell r="CS310"/>
          <cell r="CT310"/>
          <cell r="CU310"/>
          <cell r="CV310"/>
          <cell r="CW310"/>
          <cell r="CX310"/>
          <cell r="CY310"/>
          <cell r="CZ310"/>
          <cell r="DA310"/>
        </row>
        <row r="311">
          <cell r="F311" t="str">
            <v>06</v>
          </cell>
          <cell r="G311" t="str">
            <v>0</v>
          </cell>
          <cell r="H311" t="str">
            <v>0</v>
          </cell>
          <cell r="I311" t="str">
            <v>1</v>
          </cell>
          <cell r="J311" t="str">
            <v>0</v>
          </cell>
          <cell r="K311"/>
          <cell r="L311" t="str">
            <v>0010</v>
          </cell>
          <cell r="M311" t="str">
            <v>03</v>
          </cell>
          <cell r="N311" t="str">
            <v>26905916District Design and Led 19-22</v>
          </cell>
          <cell r="O311"/>
          <cell r="P311" t="str">
            <v>5010</v>
          </cell>
          <cell r="Q311" t="str">
            <v>70*C</v>
          </cell>
          <cell r="R311"/>
          <cell r="S311"/>
          <cell r="T311"/>
          <cell r="U311"/>
          <cell r="V311"/>
          <cell r="W311"/>
          <cell r="X311"/>
          <cell r="Y311"/>
          <cell r="Z311"/>
          <cell r="AA311"/>
          <cell r="AB311"/>
          <cell r="AC311"/>
          <cell r="AD311"/>
          <cell r="AE311"/>
          <cell r="AF311"/>
          <cell r="AG311"/>
          <cell r="AH311"/>
          <cell r="AI311"/>
          <cell r="AJ311"/>
          <cell r="AK311"/>
          <cell r="AL311"/>
          <cell r="AM311"/>
          <cell r="AN311"/>
          <cell r="AO311"/>
          <cell r="AP311"/>
          <cell r="AQ311"/>
          <cell r="AR311"/>
          <cell r="AS311">
            <v>0</v>
          </cell>
          <cell r="AT311">
            <v>0</v>
          </cell>
          <cell r="AU311">
            <v>0</v>
          </cell>
          <cell r="AV311"/>
          <cell r="AW311"/>
          <cell r="AX311"/>
          <cell r="AY311"/>
          <cell r="AZ311"/>
          <cell r="BA311"/>
          <cell r="BB311"/>
          <cell r="BC311"/>
          <cell r="BD311"/>
          <cell r="BE311"/>
          <cell r="BF311"/>
          <cell r="BG311"/>
          <cell r="BH311"/>
          <cell r="BI311"/>
          <cell r="BJ311"/>
          <cell r="BK311"/>
          <cell r="BL311"/>
          <cell r="BM311"/>
          <cell r="BN311"/>
          <cell r="BO311"/>
          <cell r="BP311"/>
          <cell r="BQ311"/>
          <cell r="BR311"/>
          <cell r="BS311"/>
          <cell r="BT311"/>
          <cell r="BU311"/>
          <cell r="BV311"/>
          <cell r="BW311">
            <v>0</v>
          </cell>
          <cell r="BX311">
            <v>0</v>
          </cell>
          <cell r="BY311">
            <v>0</v>
          </cell>
          <cell r="BZ311"/>
          <cell r="CA311"/>
          <cell r="CB311"/>
          <cell r="CC311"/>
          <cell r="CD311">
            <v>4790.7</v>
          </cell>
          <cell r="CE311"/>
          <cell r="CF311"/>
          <cell r="CG311"/>
          <cell r="CH311"/>
          <cell r="CI311"/>
          <cell r="CJ311"/>
          <cell r="CK311"/>
          <cell r="CL311"/>
          <cell r="CM311"/>
          <cell r="CN311"/>
          <cell r="CO311"/>
          <cell r="CP311"/>
          <cell r="CQ311"/>
          <cell r="CR311"/>
          <cell r="CS311"/>
          <cell r="CT311"/>
          <cell r="CU311"/>
          <cell r="CV311"/>
          <cell r="CW311"/>
          <cell r="CX311"/>
          <cell r="CY311"/>
          <cell r="CZ311"/>
          <cell r="DA311"/>
        </row>
        <row r="312">
          <cell r="F312" t="str">
            <v>06</v>
          </cell>
          <cell r="G312" t="str">
            <v>0</v>
          </cell>
          <cell r="H312" t="str">
            <v>0</v>
          </cell>
          <cell r="I312" t="str">
            <v>1</v>
          </cell>
          <cell r="J312" t="str">
            <v>0</v>
          </cell>
          <cell r="K312"/>
          <cell r="L312" t="str">
            <v>0010</v>
          </cell>
          <cell r="M312" t="str">
            <v>03</v>
          </cell>
          <cell r="N312" t="str">
            <v>26907481District Design and Led 19-22</v>
          </cell>
          <cell r="O312"/>
          <cell r="P312" t="str">
            <v>5010</v>
          </cell>
          <cell r="Q312" t="str">
            <v>70*C</v>
          </cell>
          <cell r="R312"/>
          <cell r="S312"/>
          <cell r="T312"/>
          <cell r="U312"/>
          <cell r="V312"/>
          <cell r="W312"/>
          <cell r="X312"/>
          <cell r="Y312"/>
          <cell r="Z312"/>
          <cell r="AA312"/>
          <cell r="AB312"/>
          <cell r="AC312"/>
          <cell r="AD312"/>
          <cell r="AE312"/>
          <cell r="AF312"/>
          <cell r="AG312"/>
          <cell r="AH312"/>
          <cell r="AI312"/>
          <cell r="AJ312"/>
          <cell r="AK312"/>
          <cell r="AL312"/>
          <cell r="AM312"/>
          <cell r="AN312"/>
          <cell r="AO312"/>
          <cell r="AP312"/>
          <cell r="AQ312"/>
          <cell r="AR312"/>
          <cell r="AS312">
            <v>0</v>
          </cell>
          <cell r="AT312">
            <v>0</v>
          </cell>
          <cell r="AU312">
            <v>0</v>
          </cell>
          <cell r="AV312"/>
          <cell r="AW312"/>
          <cell r="AX312"/>
          <cell r="AY312"/>
          <cell r="AZ312"/>
          <cell r="BA312"/>
          <cell r="BB312"/>
          <cell r="BC312"/>
          <cell r="BD312"/>
          <cell r="BE312"/>
          <cell r="BF312"/>
          <cell r="BG312"/>
          <cell r="BH312"/>
          <cell r="BI312"/>
          <cell r="BJ312"/>
          <cell r="BK312"/>
          <cell r="BL312"/>
          <cell r="BM312"/>
          <cell r="BN312"/>
          <cell r="BO312"/>
          <cell r="BP312"/>
          <cell r="BQ312"/>
          <cell r="BR312"/>
          <cell r="BS312"/>
          <cell r="BT312"/>
          <cell r="BU312"/>
          <cell r="BV312"/>
          <cell r="BW312">
            <v>0</v>
          </cell>
          <cell r="BX312">
            <v>0</v>
          </cell>
          <cell r="BY312">
            <v>0</v>
          </cell>
          <cell r="BZ312"/>
          <cell r="CA312"/>
          <cell r="CB312"/>
          <cell r="CC312"/>
          <cell r="CD312">
            <v>4790.7</v>
          </cell>
          <cell r="CE312"/>
          <cell r="CF312"/>
          <cell r="CG312"/>
          <cell r="CH312"/>
          <cell r="CI312"/>
          <cell r="CJ312"/>
          <cell r="CK312"/>
          <cell r="CL312"/>
          <cell r="CM312"/>
          <cell r="CN312"/>
          <cell r="CO312"/>
          <cell r="CP312"/>
          <cell r="CQ312"/>
          <cell r="CR312"/>
          <cell r="CS312"/>
          <cell r="CT312"/>
          <cell r="CU312"/>
          <cell r="CV312"/>
          <cell r="CW312"/>
          <cell r="CX312"/>
          <cell r="CY312"/>
          <cell r="CZ312"/>
          <cell r="DA312"/>
        </row>
        <row r="313">
          <cell r="F313" t="str">
            <v>06</v>
          </cell>
          <cell r="G313" t="str">
            <v>1</v>
          </cell>
          <cell r="H313" t="str">
            <v>0</v>
          </cell>
          <cell r="I313" t="str">
            <v>0</v>
          </cell>
          <cell r="J313" t="str">
            <v>0</v>
          </cell>
          <cell r="K313"/>
          <cell r="L313" t="str">
            <v>1000</v>
          </cell>
          <cell r="M313" t="str">
            <v>01</v>
          </cell>
          <cell r="N313" t="str">
            <v>2690N/ADistrict Design and Led 17-20</v>
          </cell>
          <cell r="O313" t="str">
            <v>S010A170006</v>
          </cell>
          <cell r="P313" t="str">
            <v>5010</v>
          </cell>
          <cell r="Q313" t="str">
            <v>70*C</v>
          </cell>
          <cell r="R313">
            <v>43168</v>
          </cell>
          <cell r="S313">
            <v>43168</v>
          </cell>
          <cell r="T313">
            <v>281696</v>
          </cell>
          <cell r="AS313">
            <v>0</v>
          </cell>
          <cell r="AT313">
            <v>0</v>
          </cell>
          <cell r="AU313">
            <v>281696</v>
          </cell>
          <cell r="AV313"/>
          <cell r="AW313"/>
          <cell r="BE313">
            <v>-114000</v>
          </cell>
          <cell r="BK313">
            <v>-1088</v>
          </cell>
          <cell r="BU313">
            <v>-40800</v>
          </cell>
          <cell r="BW313">
            <v>-155888</v>
          </cell>
          <cell r="BX313">
            <v>0</v>
          </cell>
          <cell r="BY313">
            <v>125808</v>
          </cell>
          <cell r="BZ313"/>
          <cell r="CU313">
            <v>-11077</v>
          </cell>
          <cell r="DA313">
            <v>-114731</v>
          </cell>
        </row>
        <row r="314">
          <cell r="F314" t="str">
            <v>06</v>
          </cell>
          <cell r="G314" t="str">
            <v>0</v>
          </cell>
          <cell r="H314" t="str">
            <v>1</v>
          </cell>
          <cell r="I314" t="str">
            <v>0</v>
          </cell>
          <cell r="J314" t="str">
            <v>0</v>
          </cell>
          <cell r="K314"/>
          <cell r="L314" t="str">
            <v>0100</v>
          </cell>
          <cell r="M314" t="str">
            <v>02</v>
          </cell>
          <cell r="N314" t="str">
            <v>2690N/ADistrict Design and Led 18-21</v>
          </cell>
          <cell r="P314" t="str">
            <v>5010</v>
          </cell>
          <cell r="Q314" t="str">
            <v>70*C</v>
          </cell>
          <cell r="R314"/>
          <cell r="S314"/>
          <cell r="AS314">
            <v>0</v>
          </cell>
          <cell r="AT314">
            <v>0</v>
          </cell>
          <cell r="AU314">
            <v>0</v>
          </cell>
          <cell r="AV314" t="str">
            <v>S010A180006</v>
          </cell>
          <cell r="AW314"/>
          <cell r="AX314">
            <v>12846</v>
          </cell>
          <cell r="BW314">
            <v>0</v>
          </cell>
          <cell r="BX314">
            <v>0</v>
          </cell>
          <cell r="BY314">
            <v>12846</v>
          </cell>
          <cell r="BZ314" t="str">
            <v>S010A190006</v>
          </cell>
          <cell r="CB314">
            <v>256200</v>
          </cell>
          <cell r="CS314">
            <v>-51339.61</v>
          </cell>
          <cell r="CU314">
            <v>-39943.229999999996</v>
          </cell>
          <cell r="DA314">
            <v>-1161.68</v>
          </cell>
        </row>
        <row r="315">
          <cell r="F315"/>
          <cell r="G315"/>
          <cell r="H315"/>
          <cell r="I315"/>
          <cell r="J315"/>
          <cell r="K315"/>
          <cell r="L315"/>
          <cell r="M315"/>
          <cell r="N315" t="str">
            <v>2690N/ADistrict Design and Led 20-23</v>
          </cell>
          <cell r="O315"/>
          <cell r="P315" t="str">
            <v>5010</v>
          </cell>
          <cell r="Q315"/>
          <cell r="R315"/>
          <cell r="S315"/>
          <cell r="T315"/>
          <cell r="U315"/>
          <cell r="V315"/>
          <cell r="W315"/>
          <cell r="X315"/>
          <cell r="Y315"/>
          <cell r="Z315"/>
          <cell r="AA315"/>
          <cell r="AB315"/>
          <cell r="AC315"/>
          <cell r="AD315"/>
          <cell r="AE315"/>
          <cell r="AF315"/>
          <cell r="AG315"/>
          <cell r="AH315"/>
          <cell r="AI315"/>
          <cell r="AJ315"/>
          <cell r="AK315"/>
          <cell r="AL315"/>
          <cell r="AM315"/>
          <cell r="AN315"/>
          <cell r="AO315"/>
          <cell r="AP315"/>
          <cell r="AQ315"/>
          <cell r="AR315"/>
          <cell r="AS315"/>
          <cell r="AT315"/>
          <cell r="AU315"/>
          <cell r="AV315"/>
          <cell r="AW315"/>
          <cell r="AX315"/>
          <cell r="AY315"/>
          <cell r="AZ315"/>
          <cell r="BA315"/>
          <cell r="BB315"/>
          <cell r="BC315"/>
          <cell r="BD315"/>
          <cell r="BE315"/>
          <cell r="BF315"/>
          <cell r="BG315"/>
          <cell r="BH315"/>
          <cell r="BI315"/>
          <cell r="BJ315"/>
          <cell r="BK315"/>
          <cell r="BL315"/>
          <cell r="BM315"/>
          <cell r="BN315"/>
          <cell r="BO315"/>
          <cell r="BP315"/>
          <cell r="BQ315"/>
          <cell r="BR315"/>
          <cell r="BS315"/>
          <cell r="BT315"/>
          <cell r="BU315"/>
          <cell r="BV315"/>
          <cell r="BW315"/>
          <cell r="BX315"/>
          <cell r="BY315"/>
          <cell r="BZ315"/>
          <cell r="CA315"/>
          <cell r="CB315"/>
          <cell r="CC315"/>
          <cell r="CD315"/>
          <cell r="CE315"/>
          <cell r="CF315"/>
          <cell r="CG315"/>
          <cell r="CH315"/>
          <cell r="CI315"/>
          <cell r="CJ315"/>
          <cell r="CK315"/>
          <cell r="CL315"/>
          <cell r="CM315"/>
          <cell r="CN315"/>
          <cell r="CO315"/>
          <cell r="CP315"/>
          <cell r="CQ315"/>
          <cell r="CR315"/>
          <cell r="CS315"/>
          <cell r="CT315"/>
          <cell r="CU315"/>
          <cell r="CV315"/>
          <cell r="CW315"/>
          <cell r="CX315"/>
          <cell r="CY315"/>
          <cell r="CZ315"/>
          <cell r="DA315"/>
        </row>
        <row r="316">
          <cell r="F316"/>
          <cell r="G316"/>
          <cell r="H316"/>
          <cell r="I316"/>
          <cell r="J316"/>
          <cell r="K316"/>
          <cell r="L316"/>
          <cell r="M316"/>
          <cell r="N316" t="str">
            <v>27602522District Design and Led 20-23</v>
          </cell>
          <cell r="P316" t="str">
            <v>5010</v>
          </cell>
          <cell r="Q316"/>
          <cell r="R316"/>
          <cell r="S316"/>
          <cell r="T316"/>
          <cell r="U316"/>
          <cell r="V316"/>
          <cell r="W316"/>
          <cell r="X316"/>
          <cell r="Y316"/>
          <cell r="Z316"/>
          <cell r="AA316"/>
          <cell r="AB316"/>
          <cell r="AC316"/>
          <cell r="AD316"/>
          <cell r="AE316"/>
          <cell r="AF316"/>
          <cell r="AG316"/>
          <cell r="AH316"/>
          <cell r="AI316"/>
          <cell r="AJ316"/>
          <cell r="AK316"/>
          <cell r="AL316"/>
          <cell r="AM316"/>
          <cell r="AN316"/>
          <cell r="AO316"/>
          <cell r="AP316"/>
          <cell r="AQ316"/>
          <cell r="AR316"/>
          <cell r="AS316"/>
          <cell r="AT316"/>
          <cell r="AU316"/>
          <cell r="AV316"/>
          <cell r="AW316"/>
          <cell r="AX316"/>
          <cell r="AY316"/>
          <cell r="AZ316"/>
          <cell r="BA316"/>
          <cell r="BB316"/>
          <cell r="BC316"/>
          <cell r="BD316"/>
          <cell r="BE316"/>
          <cell r="BF316"/>
          <cell r="BG316"/>
          <cell r="BH316"/>
          <cell r="BI316"/>
          <cell r="BJ316"/>
          <cell r="BK316"/>
          <cell r="BL316"/>
          <cell r="BM316"/>
          <cell r="BN316"/>
          <cell r="BO316"/>
          <cell r="BP316"/>
          <cell r="BQ316"/>
          <cell r="BR316"/>
          <cell r="BS316"/>
          <cell r="BT316"/>
          <cell r="BU316"/>
          <cell r="BV316"/>
          <cell r="BW316"/>
          <cell r="BX316"/>
          <cell r="BY316"/>
          <cell r="BZ316"/>
          <cell r="CA316"/>
          <cell r="CB316"/>
          <cell r="CC316"/>
          <cell r="CD316"/>
          <cell r="CE316"/>
          <cell r="CF316"/>
          <cell r="CG316"/>
          <cell r="CH316"/>
          <cell r="CI316"/>
          <cell r="CJ316"/>
          <cell r="CK316"/>
          <cell r="CL316"/>
          <cell r="CM316"/>
          <cell r="CN316"/>
          <cell r="CO316"/>
          <cell r="CP316"/>
          <cell r="CQ316"/>
          <cell r="CR316"/>
          <cell r="CS316"/>
          <cell r="CT316"/>
          <cell r="CU316"/>
          <cell r="CV316"/>
          <cell r="CW316"/>
          <cell r="CX316"/>
          <cell r="CY316"/>
          <cell r="CZ316"/>
          <cell r="DA316"/>
        </row>
        <row r="317">
          <cell r="F317" t="str">
            <v>06</v>
          </cell>
          <cell r="G317" t="str">
            <v>0</v>
          </cell>
          <cell r="H317" t="str">
            <v>0</v>
          </cell>
          <cell r="I317" t="str">
            <v>1</v>
          </cell>
          <cell r="J317" t="str">
            <v>0</v>
          </cell>
          <cell r="K317"/>
          <cell r="L317" t="str">
            <v>0010</v>
          </cell>
          <cell r="M317" t="str">
            <v>03</v>
          </cell>
          <cell r="N317" t="str">
            <v>30008376District Design and Led 19-22</v>
          </cell>
          <cell r="O317"/>
          <cell r="P317" t="str">
            <v>5010</v>
          </cell>
          <cell r="Q317" t="str">
            <v>70*C</v>
          </cell>
          <cell r="R317"/>
          <cell r="S317"/>
          <cell r="T317"/>
          <cell r="U317"/>
          <cell r="V317"/>
          <cell r="W317"/>
          <cell r="X317"/>
          <cell r="Y317"/>
          <cell r="Z317"/>
          <cell r="AA317"/>
          <cell r="AB317"/>
          <cell r="AC317"/>
          <cell r="AD317"/>
          <cell r="AE317"/>
          <cell r="AF317"/>
          <cell r="AG317"/>
          <cell r="AH317"/>
          <cell r="AI317"/>
          <cell r="AJ317"/>
          <cell r="AK317"/>
          <cell r="AL317"/>
          <cell r="AM317"/>
          <cell r="AN317"/>
          <cell r="AO317"/>
          <cell r="AP317"/>
          <cell r="AQ317"/>
          <cell r="AR317"/>
          <cell r="AS317">
            <v>0</v>
          </cell>
          <cell r="AT317">
            <v>0</v>
          </cell>
          <cell r="AU317">
            <v>0</v>
          </cell>
          <cell r="AV317"/>
          <cell r="AW317"/>
          <cell r="AX317"/>
          <cell r="AY317"/>
          <cell r="AZ317"/>
          <cell r="BA317"/>
          <cell r="BB317"/>
          <cell r="BC317"/>
          <cell r="BD317"/>
          <cell r="BE317"/>
          <cell r="BF317"/>
          <cell r="BG317"/>
          <cell r="BH317"/>
          <cell r="BI317"/>
          <cell r="BJ317"/>
          <cell r="BK317"/>
          <cell r="BL317"/>
          <cell r="BM317"/>
          <cell r="BN317"/>
          <cell r="BO317"/>
          <cell r="BP317"/>
          <cell r="BQ317"/>
          <cell r="BR317"/>
          <cell r="BS317"/>
          <cell r="BT317"/>
          <cell r="BU317"/>
          <cell r="BV317"/>
          <cell r="BW317">
            <v>0</v>
          </cell>
          <cell r="BX317">
            <v>0</v>
          </cell>
          <cell r="BY317">
            <v>0</v>
          </cell>
          <cell r="BZ317"/>
          <cell r="CA317"/>
          <cell r="CB317"/>
          <cell r="CC317"/>
          <cell r="CD317">
            <v>74250</v>
          </cell>
          <cell r="CE317"/>
          <cell r="CF317"/>
          <cell r="CG317"/>
          <cell r="CH317"/>
          <cell r="CI317"/>
          <cell r="CJ317"/>
          <cell r="CK317"/>
          <cell r="CL317"/>
          <cell r="CM317"/>
          <cell r="CN317"/>
          <cell r="CO317"/>
          <cell r="CP317"/>
          <cell r="CQ317"/>
          <cell r="CR317"/>
          <cell r="CS317"/>
          <cell r="CT317"/>
          <cell r="CU317"/>
          <cell r="CV317"/>
          <cell r="CW317"/>
          <cell r="CX317"/>
          <cell r="CY317"/>
          <cell r="CZ317"/>
          <cell r="DA317"/>
        </row>
        <row r="318">
          <cell r="F318" t="str">
            <v>06</v>
          </cell>
          <cell r="G318" t="str">
            <v>1</v>
          </cell>
          <cell r="H318" t="str">
            <v>0</v>
          </cell>
          <cell r="I318" t="str">
            <v>0</v>
          </cell>
          <cell r="J318" t="str">
            <v>0</v>
          </cell>
          <cell r="K318"/>
          <cell r="L318" t="str">
            <v>1000</v>
          </cell>
          <cell r="M318" t="str">
            <v>01</v>
          </cell>
          <cell r="N318" t="str">
            <v>30506582District Design and Led 17-20</v>
          </cell>
          <cell r="O318" t="str">
            <v>S010A170006</v>
          </cell>
          <cell r="P318" t="str">
            <v>5010</v>
          </cell>
          <cell r="Q318" t="str">
            <v>70*C</v>
          </cell>
          <cell r="R318">
            <v>43173</v>
          </cell>
          <cell r="S318">
            <v>43173</v>
          </cell>
          <cell r="T318">
            <v>50000</v>
          </cell>
          <cell r="AM318">
            <v>-15210</v>
          </cell>
          <cell r="AO318">
            <v>-6376</v>
          </cell>
          <cell r="AQ318">
            <v>-2700</v>
          </cell>
          <cell r="AS318">
            <v>-24286</v>
          </cell>
          <cell r="AT318">
            <v>0</v>
          </cell>
          <cell r="AU318">
            <v>25714</v>
          </cell>
          <cell r="AV318" t="str">
            <v>S010A170006</v>
          </cell>
          <cell r="AW318">
            <v>52626</v>
          </cell>
          <cell r="BC318">
            <v>-25714</v>
          </cell>
          <cell r="BO318">
            <v>-35822</v>
          </cell>
          <cell r="BW318">
            <v>-61536</v>
          </cell>
          <cell r="BX318">
            <v>0</v>
          </cell>
          <cell r="BY318">
            <v>16804</v>
          </cell>
          <cell r="CK318">
            <v>-2310.13</v>
          </cell>
          <cell r="CM318">
            <v>-8626.18</v>
          </cell>
          <cell r="CO318">
            <v>-5867.69</v>
          </cell>
        </row>
        <row r="319">
          <cell r="F319" t="str">
            <v>06</v>
          </cell>
          <cell r="G319" t="str">
            <v>0</v>
          </cell>
          <cell r="H319" t="str">
            <v>0</v>
          </cell>
          <cell r="I319" t="str">
            <v>0</v>
          </cell>
          <cell r="J319" t="str">
            <v>0</v>
          </cell>
          <cell r="K319"/>
          <cell r="L319" t="str">
            <v>0000</v>
          </cell>
          <cell r="M319" t="str">
            <v>X</v>
          </cell>
          <cell r="N319" t="str">
            <v>3050N/ADistrict Design and Led 18-21</v>
          </cell>
          <cell r="P319" t="str">
            <v>5010</v>
          </cell>
          <cell r="Q319" t="str">
            <v>70*C</v>
          </cell>
          <cell r="R319"/>
          <cell r="S319"/>
          <cell r="AS319">
            <v>0</v>
          </cell>
          <cell r="AT319">
            <v>0</v>
          </cell>
          <cell r="AU319">
            <v>0</v>
          </cell>
          <cell r="AV319" t="str">
            <v>S010A180006</v>
          </cell>
          <cell r="AW319"/>
          <cell r="BW319">
            <v>0</v>
          </cell>
          <cell r="BX319">
            <v>0</v>
          </cell>
          <cell r="BY319">
            <v>0</v>
          </cell>
          <cell r="BZ319" t="str">
            <v>S010A190006</v>
          </cell>
          <cell r="CB319">
            <v>57750</v>
          </cell>
          <cell r="CW319">
            <v>-17279.400000000001</v>
          </cell>
        </row>
        <row r="320">
          <cell r="F320" t="str">
            <v>06</v>
          </cell>
          <cell r="G320" t="str">
            <v>0</v>
          </cell>
          <cell r="H320" t="str">
            <v>1</v>
          </cell>
          <cell r="I320" t="str">
            <v>0</v>
          </cell>
          <cell r="J320" t="str">
            <v>0</v>
          </cell>
          <cell r="K320"/>
          <cell r="L320" t="str">
            <v>0100</v>
          </cell>
          <cell r="M320" t="str">
            <v>02</v>
          </cell>
          <cell r="N320" t="str">
            <v>31200052District Design and Led 18-21</v>
          </cell>
          <cell r="P320" t="str">
            <v>5010</v>
          </cell>
          <cell r="Q320" t="str">
            <v>70*C</v>
          </cell>
          <cell r="R320"/>
          <cell r="S320"/>
          <cell r="AS320">
            <v>0</v>
          </cell>
          <cell r="AT320">
            <v>0</v>
          </cell>
          <cell r="AU320">
            <v>0</v>
          </cell>
          <cell r="AV320" t="str">
            <v>S010A180006</v>
          </cell>
          <cell r="AW320"/>
          <cell r="AX320">
            <v>25000</v>
          </cell>
          <cell r="BQ320">
            <v>-13115</v>
          </cell>
          <cell r="BS320">
            <v>-6815.53</v>
          </cell>
          <cell r="BU320">
            <v>-441.86</v>
          </cell>
          <cell r="BW320">
            <v>-20372.39</v>
          </cell>
          <cell r="BX320">
            <v>0</v>
          </cell>
          <cell r="BY320">
            <v>4627.6100000000006</v>
          </cell>
          <cell r="BZ320" t="str">
            <v>S010A190006</v>
          </cell>
          <cell r="CB320">
            <v>50000</v>
          </cell>
          <cell r="CI320">
            <v>-4627.6099999999997</v>
          </cell>
          <cell r="CK320">
            <v>-7954.63</v>
          </cell>
        </row>
        <row r="321">
          <cell r="F321" t="str">
            <v>06</v>
          </cell>
          <cell r="G321" t="str">
            <v>0</v>
          </cell>
          <cell r="H321" t="str">
            <v>1</v>
          </cell>
          <cell r="I321" t="str">
            <v>0</v>
          </cell>
          <cell r="J321" t="str">
            <v>0</v>
          </cell>
          <cell r="K321"/>
          <cell r="L321" t="str">
            <v>0100</v>
          </cell>
          <cell r="M321" t="str">
            <v>02</v>
          </cell>
          <cell r="N321" t="str">
            <v>31201384District Design and Led 18-21</v>
          </cell>
          <cell r="P321" t="str">
            <v>5010</v>
          </cell>
          <cell r="Q321" t="str">
            <v>70*C</v>
          </cell>
          <cell r="R321"/>
          <cell r="S321"/>
          <cell r="AS321">
            <v>0</v>
          </cell>
          <cell r="AT321">
            <v>0</v>
          </cell>
          <cell r="AU321">
            <v>0</v>
          </cell>
          <cell r="AV321" t="str">
            <v>S010A180006</v>
          </cell>
          <cell r="AW321"/>
          <cell r="AX321">
            <v>25000</v>
          </cell>
          <cell r="BQ321">
            <v>-5005</v>
          </cell>
          <cell r="BS321">
            <v>-5416.12</v>
          </cell>
          <cell r="BU321">
            <v>-3637.09</v>
          </cell>
          <cell r="BW321">
            <v>-14058.21</v>
          </cell>
          <cell r="BX321">
            <v>0</v>
          </cell>
          <cell r="BY321">
            <v>10941.79</v>
          </cell>
          <cell r="BZ321" t="str">
            <v>S010A190006</v>
          </cell>
          <cell r="CB321">
            <v>50000</v>
          </cell>
          <cell r="CI321">
            <v>-10941.79</v>
          </cell>
          <cell r="CK321">
            <v>-28355.64</v>
          </cell>
        </row>
        <row r="322">
          <cell r="F322"/>
          <cell r="G322"/>
          <cell r="H322"/>
          <cell r="I322"/>
          <cell r="J322"/>
          <cell r="K322"/>
          <cell r="L322"/>
          <cell r="M322"/>
          <cell r="N322" t="str">
            <v>31208647District Design and Led 20-23</v>
          </cell>
          <cell r="P322" t="str">
            <v>5010</v>
          </cell>
          <cell r="Q322"/>
          <cell r="R322"/>
          <cell r="S322"/>
          <cell r="T322"/>
          <cell r="U322"/>
          <cell r="V322"/>
          <cell r="W322"/>
          <cell r="X322"/>
          <cell r="Y322"/>
          <cell r="Z322"/>
          <cell r="AA322"/>
          <cell r="AB322"/>
          <cell r="AC322"/>
          <cell r="AD322"/>
          <cell r="AE322"/>
          <cell r="AF322"/>
          <cell r="AG322"/>
          <cell r="AH322"/>
          <cell r="AI322"/>
          <cell r="AJ322"/>
          <cell r="AK322"/>
          <cell r="AL322"/>
          <cell r="AM322"/>
          <cell r="AN322"/>
          <cell r="AO322"/>
          <cell r="AP322"/>
          <cell r="AQ322"/>
          <cell r="AR322"/>
          <cell r="AS322"/>
          <cell r="AT322"/>
          <cell r="AU322"/>
          <cell r="AV322"/>
          <cell r="AW322"/>
          <cell r="AX322"/>
          <cell r="AY322"/>
          <cell r="AZ322"/>
          <cell r="BA322"/>
          <cell r="BB322"/>
          <cell r="BC322"/>
          <cell r="BD322"/>
          <cell r="BE322"/>
          <cell r="BF322"/>
          <cell r="BG322"/>
          <cell r="BH322"/>
          <cell r="BI322"/>
          <cell r="BJ322"/>
          <cell r="BK322"/>
          <cell r="BL322"/>
          <cell r="BM322"/>
          <cell r="BN322"/>
          <cell r="BO322"/>
          <cell r="BP322"/>
          <cell r="BQ322"/>
          <cell r="BR322"/>
          <cell r="BS322"/>
          <cell r="BT322"/>
          <cell r="BU322"/>
          <cell r="BV322"/>
          <cell r="BW322"/>
          <cell r="BX322"/>
          <cell r="BY322"/>
          <cell r="BZ322"/>
          <cell r="CA322"/>
          <cell r="CB322"/>
          <cell r="CC322"/>
          <cell r="CD322"/>
          <cell r="CE322"/>
          <cell r="CF322"/>
          <cell r="CG322"/>
          <cell r="CH322"/>
          <cell r="CI322"/>
          <cell r="CJ322"/>
          <cell r="CK322"/>
          <cell r="CL322"/>
          <cell r="CM322"/>
          <cell r="CN322"/>
          <cell r="CO322"/>
          <cell r="CP322"/>
          <cell r="CQ322"/>
          <cell r="CR322"/>
          <cell r="CS322"/>
          <cell r="CT322"/>
          <cell r="CU322"/>
          <cell r="CV322"/>
          <cell r="CW322"/>
          <cell r="CX322"/>
          <cell r="CY322"/>
          <cell r="CZ322"/>
          <cell r="DA322"/>
        </row>
        <row r="323">
          <cell r="F323" t="str">
            <v>06</v>
          </cell>
          <cell r="G323" t="str">
            <v>0</v>
          </cell>
          <cell r="H323" t="str">
            <v>1</v>
          </cell>
          <cell r="I323" t="str">
            <v>0</v>
          </cell>
          <cell r="J323" t="str">
            <v>0</v>
          </cell>
          <cell r="K323"/>
          <cell r="L323" t="str">
            <v>0100</v>
          </cell>
          <cell r="M323" t="str">
            <v>02</v>
          </cell>
          <cell r="N323" t="str">
            <v>3120N/ADistrict Design and Led 18-21</v>
          </cell>
          <cell r="P323" t="str">
            <v>5010</v>
          </cell>
          <cell r="Q323" t="str">
            <v>70*C</v>
          </cell>
          <cell r="R323"/>
          <cell r="S323"/>
          <cell r="AS323">
            <v>0</v>
          </cell>
          <cell r="AT323">
            <v>0</v>
          </cell>
          <cell r="AU323">
            <v>0</v>
          </cell>
          <cell r="AV323" t="str">
            <v>S010A180006</v>
          </cell>
          <cell r="AW323"/>
          <cell r="AX323">
            <v>184749</v>
          </cell>
          <cell r="BS323">
            <v>-485.42</v>
          </cell>
          <cell r="BU323">
            <v>-77000</v>
          </cell>
          <cell r="BW323">
            <v>-77485.42</v>
          </cell>
          <cell r="BX323">
            <v>0</v>
          </cell>
          <cell r="BY323">
            <v>107263.58</v>
          </cell>
          <cell r="BZ323" t="str">
            <v>S010A190006</v>
          </cell>
          <cell r="CB323">
            <v>1285203</v>
          </cell>
          <cell r="CI323">
            <v>-21293.39</v>
          </cell>
          <cell r="CK323">
            <v>-140338.26</v>
          </cell>
          <cell r="CW323">
            <v>-503030.47</v>
          </cell>
        </row>
        <row r="324">
          <cell r="F324" t="str">
            <v>06</v>
          </cell>
          <cell r="G324" t="str">
            <v>0</v>
          </cell>
          <cell r="H324" t="str">
            <v>0</v>
          </cell>
          <cell r="I324" t="str">
            <v>1</v>
          </cell>
          <cell r="J324" t="str">
            <v>0</v>
          </cell>
          <cell r="K324"/>
          <cell r="L324" t="str">
            <v>0010</v>
          </cell>
          <cell r="M324" t="str">
            <v>03</v>
          </cell>
          <cell r="N324" t="str">
            <v>91701550District Design and Led 19-22</v>
          </cell>
          <cell r="O324"/>
          <cell r="P324" t="str">
            <v>5010</v>
          </cell>
          <cell r="Q324" t="str">
            <v>70*C</v>
          </cell>
          <cell r="R324"/>
          <cell r="S324"/>
          <cell r="T324"/>
          <cell r="U324"/>
          <cell r="V324"/>
          <cell r="W324"/>
          <cell r="X324"/>
          <cell r="Y324"/>
          <cell r="Z324"/>
          <cell r="AA324"/>
          <cell r="AB324"/>
          <cell r="AC324"/>
          <cell r="AD324"/>
          <cell r="AE324"/>
          <cell r="AF324"/>
          <cell r="AG324"/>
          <cell r="AH324"/>
          <cell r="AI324"/>
          <cell r="AJ324"/>
          <cell r="AK324"/>
          <cell r="AL324"/>
          <cell r="AM324"/>
          <cell r="AN324"/>
          <cell r="AO324"/>
          <cell r="AP324"/>
          <cell r="AQ324"/>
          <cell r="AR324"/>
          <cell r="AS324">
            <v>0</v>
          </cell>
          <cell r="AT324">
            <v>0</v>
          </cell>
          <cell r="AU324">
            <v>0</v>
          </cell>
          <cell r="AV324"/>
          <cell r="AW324"/>
          <cell r="AX324"/>
          <cell r="AY324"/>
          <cell r="AZ324"/>
          <cell r="BA324"/>
          <cell r="BB324"/>
          <cell r="BC324"/>
          <cell r="BD324"/>
          <cell r="BE324"/>
          <cell r="BF324"/>
          <cell r="BG324"/>
          <cell r="BH324"/>
          <cell r="BI324"/>
          <cell r="BJ324"/>
          <cell r="BK324"/>
          <cell r="BL324"/>
          <cell r="BM324"/>
          <cell r="BN324"/>
          <cell r="BO324"/>
          <cell r="BP324"/>
          <cell r="BQ324"/>
          <cell r="BR324"/>
          <cell r="BS324"/>
          <cell r="BT324"/>
          <cell r="BU324"/>
          <cell r="BV324"/>
          <cell r="BW324">
            <v>0</v>
          </cell>
          <cell r="BX324">
            <v>0</v>
          </cell>
          <cell r="BY324">
            <v>0</v>
          </cell>
          <cell r="BZ324"/>
          <cell r="CA324"/>
          <cell r="CB324"/>
          <cell r="CC324"/>
          <cell r="CD324">
            <v>28333.33</v>
          </cell>
          <cell r="CE324"/>
          <cell r="CF324"/>
          <cell r="CG324"/>
          <cell r="CH324"/>
          <cell r="CI324"/>
          <cell r="CJ324"/>
          <cell r="CK324"/>
          <cell r="CL324"/>
          <cell r="CM324"/>
          <cell r="CN324"/>
          <cell r="CO324"/>
          <cell r="CP324"/>
          <cell r="CQ324"/>
          <cell r="CR324"/>
          <cell r="CS324"/>
          <cell r="CT324"/>
          <cell r="CU324"/>
          <cell r="CV324"/>
          <cell r="CW324"/>
          <cell r="CX324"/>
          <cell r="CY324"/>
          <cell r="CZ324"/>
          <cell r="DA324"/>
        </row>
        <row r="325">
          <cell r="F325"/>
          <cell r="G325"/>
          <cell r="H325"/>
          <cell r="I325"/>
          <cell r="J325"/>
          <cell r="K325"/>
          <cell r="L325"/>
          <cell r="M325"/>
          <cell r="N325"/>
          <cell r="R325"/>
          <cell r="S325"/>
          <cell r="AW325"/>
        </row>
        <row r="326">
          <cell r="F326"/>
          <cell r="G326"/>
          <cell r="H326"/>
          <cell r="I326"/>
          <cell r="J326"/>
          <cell r="K326"/>
          <cell r="L326"/>
          <cell r="M326"/>
          <cell r="N326"/>
          <cell r="R326"/>
          <cell r="S326"/>
          <cell r="AW326"/>
        </row>
        <row r="327">
          <cell r="F327"/>
          <cell r="G327"/>
          <cell r="H327"/>
          <cell r="I327"/>
          <cell r="J327"/>
          <cell r="K327"/>
          <cell r="L327"/>
          <cell r="M327"/>
          <cell r="N327"/>
          <cell r="R327"/>
          <cell r="S327"/>
          <cell r="AW327"/>
        </row>
        <row r="328">
          <cell r="F328"/>
          <cell r="G328"/>
          <cell r="H328"/>
          <cell r="I328"/>
          <cell r="J328"/>
          <cell r="K328"/>
          <cell r="L328"/>
          <cell r="M328"/>
          <cell r="N328"/>
          <cell r="R328"/>
          <cell r="S328"/>
          <cell r="AW328"/>
        </row>
        <row r="329">
          <cell r="F329"/>
          <cell r="G329"/>
          <cell r="H329"/>
          <cell r="I329"/>
          <cell r="J329"/>
          <cell r="K329"/>
          <cell r="L329"/>
          <cell r="M329"/>
          <cell r="N329"/>
          <cell r="R329"/>
          <cell r="S329"/>
          <cell r="AW329"/>
        </row>
        <row r="330">
          <cell r="F330"/>
          <cell r="G330"/>
          <cell r="H330"/>
          <cell r="I330"/>
          <cell r="J330"/>
          <cell r="K330"/>
          <cell r="L330"/>
          <cell r="M330"/>
          <cell r="N330"/>
          <cell r="R330"/>
          <cell r="S330"/>
          <cell r="AW330"/>
        </row>
        <row r="331">
          <cell r="F331"/>
          <cell r="G331"/>
          <cell r="H331"/>
          <cell r="I331"/>
          <cell r="J331"/>
          <cell r="K331"/>
          <cell r="L331"/>
          <cell r="M331"/>
          <cell r="N331"/>
          <cell r="R331"/>
          <cell r="S331"/>
          <cell r="AW331"/>
        </row>
        <row r="332">
          <cell r="F332"/>
          <cell r="G332"/>
          <cell r="H332"/>
          <cell r="I332"/>
          <cell r="J332"/>
          <cell r="K332"/>
          <cell r="L332"/>
          <cell r="M332"/>
          <cell r="N332"/>
          <cell r="R332"/>
          <cell r="S332"/>
          <cell r="AW332"/>
        </row>
        <row r="333">
          <cell r="F333"/>
          <cell r="G333"/>
          <cell r="H333"/>
          <cell r="I333"/>
          <cell r="J333"/>
          <cell r="K333"/>
          <cell r="L333"/>
          <cell r="M333"/>
          <cell r="N333"/>
          <cell r="O333" t="str">
            <v>S010A170006</v>
          </cell>
          <cell r="R333"/>
          <cell r="S333"/>
          <cell r="AW333"/>
        </row>
        <row r="334">
          <cell r="F334"/>
          <cell r="G334"/>
          <cell r="H334"/>
          <cell r="I334"/>
          <cell r="J334"/>
          <cell r="K334"/>
          <cell r="L334"/>
          <cell r="M334"/>
          <cell r="N334"/>
          <cell r="P334"/>
          <cell r="R334"/>
          <cell r="S334"/>
          <cell r="T334"/>
          <cell r="U334"/>
          <cell r="V334"/>
          <cell r="W334"/>
          <cell r="X334"/>
          <cell r="Y334"/>
          <cell r="Z334"/>
          <cell r="AA334"/>
          <cell r="AB334"/>
          <cell r="AC334"/>
          <cell r="AD334"/>
          <cell r="AE334"/>
          <cell r="AF334"/>
          <cell r="AG334"/>
          <cell r="AH334"/>
          <cell r="AI334"/>
          <cell r="AJ334"/>
          <cell r="AK334"/>
          <cell r="AL334"/>
          <cell r="AM334"/>
          <cell r="AN334"/>
          <cell r="AO334"/>
          <cell r="AP334"/>
          <cell r="AQ334"/>
          <cell r="AR334"/>
          <cell r="AS334"/>
          <cell r="AT334"/>
          <cell r="AU334"/>
          <cell r="AV334"/>
          <cell r="AW334"/>
          <cell r="AX334"/>
          <cell r="AY334"/>
          <cell r="AZ334"/>
          <cell r="BA334"/>
          <cell r="BB334"/>
          <cell r="BC334"/>
          <cell r="BD334"/>
          <cell r="BE334"/>
          <cell r="BF334"/>
          <cell r="BG334"/>
          <cell r="BH334"/>
          <cell r="BI334"/>
          <cell r="BJ334"/>
          <cell r="BK334"/>
          <cell r="BL334"/>
          <cell r="BM334"/>
          <cell r="BN334"/>
          <cell r="BO334"/>
          <cell r="BP334"/>
          <cell r="BQ334"/>
          <cell r="BR334"/>
          <cell r="BS334"/>
          <cell r="BT334"/>
          <cell r="BU334"/>
          <cell r="BV334"/>
          <cell r="BW334"/>
          <cell r="BX334"/>
          <cell r="BY334"/>
          <cell r="BZ334"/>
          <cell r="CA334"/>
          <cell r="CB334"/>
          <cell r="CC334"/>
          <cell r="CD334"/>
          <cell r="CE334"/>
          <cell r="CF334"/>
          <cell r="CG334"/>
          <cell r="CH334"/>
          <cell r="CI334"/>
          <cell r="CJ334"/>
          <cell r="CK334"/>
          <cell r="CL334"/>
          <cell r="CM334"/>
          <cell r="CN334"/>
          <cell r="CO334"/>
          <cell r="CP334"/>
          <cell r="CQ334"/>
          <cell r="CR334"/>
          <cell r="CS334"/>
          <cell r="CT334"/>
          <cell r="CU334"/>
          <cell r="CV334"/>
          <cell r="CW334"/>
          <cell r="CX334"/>
          <cell r="CY334"/>
          <cell r="CZ334"/>
          <cell r="DA334"/>
        </row>
        <row r="335">
          <cell r="F335"/>
          <cell r="G335"/>
          <cell r="H335"/>
          <cell r="I335"/>
          <cell r="J335"/>
          <cell r="K335"/>
          <cell r="L335"/>
          <cell r="M335"/>
          <cell r="N335"/>
          <cell r="R335"/>
          <cell r="S335"/>
          <cell r="AW335"/>
        </row>
        <row r="336">
          <cell r="F336"/>
          <cell r="G336"/>
          <cell r="H336"/>
          <cell r="I336"/>
          <cell r="J336"/>
          <cell r="K336"/>
          <cell r="L336"/>
          <cell r="M336"/>
          <cell r="N336"/>
          <cell r="R336"/>
          <cell r="S336"/>
          <cell r="AW336"/>
        </row>
        <row r="337">
          <cell r="F337"/>
          <cell r="G337"/>
          <cell r="H337"/>
          <cell r="I337"/>
          <cell r="J337"/>
          <cell r="K337"/>
          <cell r="L337"/>
          <cell r="M337"/>
          <cell r="N337"/>
          <cell r="R337"/>
          <cell r="S337"/>
          <cell r="AW337"/>
        </row>
        <row r="338">
          <cell r="F338" t="str">
            <v>06</v>
          </cell>
          <cell r="G338" t="str">
            <v>0</v>
          </cell>
          <cell r="H338" t="str">
            <v>0</v>
          </cell>
          <cell r="I338" t="str">
            <v>1</v>
          </cell>
          <cell r="J338" t="str">
            <v>0</v>
          </cell>
          <cell r="K338"/>
          <cell r="L338" t="str">
            <v>0010</v>
          </cell>
          <cell r="M338" t="str">
            <v>03</v>
          </cell>
          <cell r="N338" t="str">
            <v>91706971District Design and Led 19-22</v>
          </cell>
          <cell r="O338"/>
          <cell r="P338" t="str">
            <v>5010</v>
          </cell>
          <cell r="Q338" t="str">
            <v>70*C</v>
          </cell>
          <cell r="R338"/>
          <cell r="S338"/>
          <cell r="T338"/>
          <cell r="U338"/>
          <cell r="V338"/>
          <cell r="W338"/>
          <cell r="X338"/>
          <cell r="Y338"/>
          <cell r="Z338"/>
          <cell r="AA338"/>
          <cell r="AB338"/>
          <cell r="AC338"/>
          <cell r="AD338"/>
          <cell r="AE338"/>
          <cell r="AF338"/>
          <cell r="AG338"/>
          <cell r="AH338"/>
          <cell r="AI338"/>
          <cell r="AJ338"/>
          <cell r="AK338"/>
          <cell r="AL338"/>
          <cell r="AM338"/>
          <cell r="AN338"/>
          <cell r="AO338"/>
          <cell r="AP338"/>
          <cell r="AQ338"/>
          <cell r="AR338"/>
          <cell r="AS338">
            <v>0</v>
          </cell>
          <cell r="AT338">
            <v>0</v>
          </cell>
          <cell r="AU338">
            <v>0</v>
          </cell>
          <cell r="AV338"/>
          <cell r="AW338"/>
          <cell r="AX338"/>
          <cell r="AY338"/>
          <cell r="AZ338"/>
          <cell r="BA338"/>
          <cell r="BB338"/>
          <cell r="BC338"/>
          <cell r="BD338"/>
          <cell r="BE338"/>
          <cell r="BF338"/>
          <cell r="BG338"/>
          <cell r="BH338"/>
          <cell r="BI338"/>
          <cell r="BJ338"/>
          <cell r="BK338"/>
          <cell r="BL338"/>
          <cell r="BM338"/>
          <cell r="BN338"/>
          <cell r="BO338"/>
          <cell r="BP338"/>
          <cell r="BQ338"/>
          <cell r="BR338"/>
          <cell r="BS338"/>
          <cell r="BT338"/>
          <cell r="BU338"/>
          <cell r="BV338"/>
          <cell r="BW338">
            <v>0</v>
          </cell>
          <cell r="BX338">
            <v>0</v>
          </cell>
          <cell r="BY338">
            <v>0</v>
          </cell>
          <cell r="BZ338"/>
          <cell r="CA338"/>
          <cell r="CB338"/>
          <cell r="CC338"/>
          <cell r="CD338">
            <v>28333.34</v>
          </cell>
          <cell r="CE338"/>
          <cell r="CF338"/>
          <cell r="CG338"/>
          <cell r="CH338"/>
          <cell r="CI338"/>
          <cell r="CJ338"/>
          <cell r="CK338"/>
          <cell r="CL338"/>
          <cell r="CM338"/>
          <cell r="CN338"/>
          <cell r="CO338"/>
          <cell r="CP338"/>
          <cell r="CQ338"/>
          <cell r="CR338"/>
          <cell r="CS338"/>
          <cell r="CT338"/>
          <cell r="CU338"/>
          <cell r="CV338"/>
          <cell r="CW338"/>
          <cell r="CX338"/>
          <cell r="CY338"/>
          <cell r="CZ338"/>
          <cell r="DA338"/>
        </row>
        <row r="339">
          <cell r="F339" t="str">
            <v>06</v>
          </cell>
          <cell r="G339" t="str">
            <v>1</v>
          </cell>
          <cell r="H339" t="str">
            <v>0</v>
          </cell>
          <cell r="I339" t="str">
            <v>0</v>
          </cell>
          <cell r="J339" t="str">
            <v>0</v>
          </cell>
          <cell r="K339"/>
          <cell r="L339" t="str">
            <v>1000</v>
          </cell>
          <cell r="M339" t="str">
            <v>01</v>
          </cell>
          <cell r="N339" t="str">
            <v>9170N/ADistrict Design and Led 17-20</v>
          </cell>
          <cell r="O339" t="str">
            <v>S010A170006</v>
          </cell>
          <cell r="P339" t="str">
            <v>5010</v>
          </cell>
          <cell r="Q339" t="str">
            <v>70*C</v>
          </cell>
          <cell r="R339">
            <v>43173</v>
          </cell>
          <cell r="S339">
            <v>43173</v>
          </cell>
          <cell r="T339">
            <v>41517</v>
          </cell>
          <cell r="AQ339">
            <v>-25686</v>
          </cell>
          <cell r="AS339">
            <v>-25686</v>
          </cell>
          <cell r="AT339">
            <v>0</v>
          </cell>
          <cell r="AU339">
            <v>15831</v>
          </cell>
          <cell r="AV339"/>
          <cell r="AW339"/>
          <cell r="BW339">
            <v>0</v>
          </cell>
          <cell r="BX339">
            <v>0</v>
          </cell>
          <cell r="BY339">
            <v>15831</v>
          </cell>
          <cell r="BZ339"/>
        </row>
        <row r="340">
          <cell r="G340"/>
          <cell r="H340"/>
          <cell r="I340"/>
          <cell r="J340"/>
          <cell r="K340"/>
          <cell r="L340"/>
          <cell r="M340" t="str">
            <v xml:space="preserve"> </v>
          </cell>
          <cell r="N340" t="str">
            <v/>
          </cell>
          <cell r="Q340" t="str">
            <v>DDL Total</v>
          </cell>
          <cell r="R340"/>
          <cell r="S340"/>
          <cell r="T340">
            <v>2506539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-15210</v>
          </cell>
          <cell r="AN340">
            <v>0</v>
          </cell>
          <cell r="AO340">
            <v>-56248</v>
          </cell>
          <cell r="AP340">
            <v>0</v>
          </cell>
          <cell r="AQ340">
            <v>-53643</v>
          </cell>
          <cell r="AR340">
            <v>0</v>
          </cell>
          <cell r="AS340">
            <v>-125101</v>
          </cell>
          <cell r="AT340">
            <v>0</v>
          </cell>
          <cell r="AU340">
            <v>2381438</v>
          </cell>
          <cell r="AV340"/>
          <cell r="AW340">
            <v>2667151</v>
          </cell>
          <cell r="AX340">
            <v>2470812.6269999999</v>
          </cell>
          <cell r="AY340">
            <v>-65109</v>
          </cell>
          <cell r="AZ340">
            <v>0</v>
          </cell>
          <cell r="BA340">
            <v>-41067</v>
          </cell>
          <cell r="BB340">
            <v>0</v>
          </cell>
          <cell r="BC340">
            <v>-33234</v>
          </cell>
          <cell r="BD340">
            <v>0</v>
          </cell>
          <cell r="BE340">
            <v>-193389</v>
          </cell>
          <cell r="BF340">
            <v>0</v>
          </cell>
          <cell r="BG340">
            <v>-190968</v>
          </cell>
          <cell r="BH340">
            <v>0</v>
          </cell>
          <cell r="BI340">
            <v>-95601</v>
          </cell>
          <cell r="BJ340">
            <v>0</v>
          </cell>
          <cell r="BK340">
            <v>-217608</v>
          </cell>
          <cell r="BL340">
            <v>0</v>
          </cell>
          <cell r="BM340">
            <v>-227844</v>
          </cell>
          <cell r="BN340">
            <v>0</v>
          </cell>
          <cell r="BO340">
            <v>-172570</v>
          </cell>
          <cell r="BP340">
            <v>0</v>
          </cell>
          <cell r="BQ340">
            <v>-440153</v>
          </cell>
          <cell r="BR340">
            <v>0</v>
          </cell>
          <cell r="BS340">
            <v>-321472.07</v>
          </cell>
          <cell r="BT340">
            <v>0</v>
          </cell>
          <cell r="BU340">
            <v>-386185.95</v>
          </cell>
          <cell r="BV340">
            <v>0</v>
          </cell>
          <cell r="BW340">
            <v>-2385201.02</v>
          </cell>
          <cell r="BX340">
            <v>0</v>
          </cell>
          <cell r="BY340">
            <v>5134200.6070000008</v>
          </cell>
          <cell r="BZ340"/>
          <cell r="CA340">
            <v>1893870</v>
          </cell>
          <cell r="CB340">
            <v>4628613</v>
          </cell>
          <cell r="CC340"/>
          <cell r="CD340">
            <v>412409.75883243012</v>
          </cell>
          <cell r="CE340">
            <v>-382729.17</v>
          </cell>
          <cell r="CF340">
            <v>0</v>
          </cell>
          <cell r="CG340">
            <v>-43060.28</v>
          </cell>
          <cell r="CH340">
            <v>-52199</v>
          </cell>
          <cell r="CI340">
            <v>-97351.64</v>
          </cell>
          <cell r="CJ340">
            <v>0</v>
          </cell>
          <cell r="CK340">
            <v>-432018.08</v>
          </cell>
          <cell r="CL340">
            <v>0</v>
          </cell>
          <cell r="CM340">
            <v>-424455.62999999995</v>
          </cell>
          <cell r="CN340">
            <v>0</v>
          </cell>
          <cell r="CO340">
            <v>-221830.78999999998</v>
          </cell>
          <cell r="CP340">
            <v>0</v>
          </cell>
          <cell r="CQ340">
            <v>-496404.85</v>
          </cell>
          <cell r="CR340">
            <v>0</v>
          </cell>
          <cell r="CS340">
            <v>-132219.12</v>
          </cell>
          <cell r="CT340">
            <v>0</v>
          </cell>
          <cell r="CU340">
            <v>-608730.80000000005</v>
          </cell>
          <cell r="CV340">
            <v>0</v>
          </cell>
          <cell r="CW340">
            <v>-1155768.3900000001</v>
          </cell>
          <cell r="CX340">
            <v>0</v>
          </cell>
          <cell r="CY340">
            <v>-184815.61000000002</v>
          </cell>
          <cell r="CZ340">
            <v>0</v>
          </cell>
          <cell r="DA340">
            <v>-409892.31000000006</v>
          </cell>
        </row>
        <row r="341">
          <cell r="F341"/>
          <cell r="G341"/>
          <cell r="H341"/>
          <cell r="I341"/>
          <cell r="J341"/>
          <cell r="K341"/>
          <cell r="L341"/>
          <cell r="M341" t="str">
            <v xml:space="preserve"> </v>
          </cell>
          <cell r="N341" t="str">
            <v/>
          </cell>
          <cell r="R341"/>
          <cell r="S341"/>
          <cell r="AW341"/>
        </row>
        <row r="342">
          <cell r="F342"/>
          <cell r="G342"/>
          <cell r="H342"/>
          <cell r="I342"/>
          <cell r="J342"/>
          <cell r="K342"/>
          <cell r="L342"/>
          <cell r="M342"/>
          <cell r="N342" t="str">
            <v>08802209Engagement Planning</v>
          </cell>
          <cell r="O342"/>
          <cell r="P342" t="str">
            <v>5010</v>
          </cell>
          <cell r="Q342"/>
          <cell r="R342"/>
          <cell r="S342"/>
          <cell r="T342"/>
          <cell r="U342"/>
          <cell r="V342"/>
          <cell r="W342"/>
          <cell r="X342"/>
          <cell r="Y342"/>
          <cell r="Z342"/>
          <cell r="AA342"/>
          <cell r="AB342"/>
          <cell r="AC342"/>
          <cell r="AD342"/>
          <cell r="AE342"/>
          <cell r="AF342"/>
          <cell r="AG342"/>
          <cell r="AH342"/>
          <cell r="AI342"/>
          <cell r="AJ342"/>
          <cell r="AK342"/>
          <cell r="AL342"/>
          <cell r="AM342"/>
          <cell r="AN342"/>
          <cell r="AO342"/>
          <cell r="AP342"/>
          <cell r="AQ342"/>
          <cell r="AR342"/>
          <cell r="AS342"/>
          <cell r="AT342"/>
          <cell r="AU342"/>
          <cell r="AV342"/>
          <cell r="AW342"/>
          <cell r="AX342"/>
          <cell r="AY342"/>
          <cell r="AZ342"/>
          <cell r="BA342"/>
          <cell r="BB342"/>
          <cell r="BC342"/>
          <cell r="BD342"/>
          <cell r="BE342"/>
          <cell r="BF342"/>
          <cell r="BG342"/>
          <cell r="BH342"/>
          <cell r="BI342"/>
          <cell r="BJ342"/>
          <cell r="BK342"/>
          <cell r="BL342"/>
          <cell r="BM342"/>
          <cell r="BN342"/>
          <cell r="BO342"/>
          <cell r="BP342"/>
          <cell r="BQ342"/>
          <cell r="BR342"/>
          <cell r="BS342"/>
          <cell r="BT342"/>
          <cell r="BU342"/>
          <cell r="BV342"/>
          <cell r="BW342"/>
          <cell r="BX342"/>
          <cell r="BY342"/>
          <cell r="BZ342"/>
          <cell r="CA342"/>
          <cell r="CB342"/>
          <cell r="CC342"/>
          <cell r="CD342"/>
          <cell r="CE342"/>
          <cell r="CF342"/>
          <cell r="CG342"/>
          <cell r="CH342"/>
          <cell r="CI342"/>
          <cell r="CJ342"/>
          <cell r="CK342"/>
          <cell r="CL342"/>
          <cell r="CM342"/>
          <cell r="CN342"/>
          <cell r="CO342"/>
          <cell r="CP342"/>
          <cell r="CQ342"/>
          <cell r="CR342"/>
          <cell r="CS342"/>
          <cell r="CT342"/>
          <cell r="CU342"/>
          <cell r="CV342"/>
          <cell r="CW342"/>
          <cell r="CX342"/>
          <cell r="CY342"/>
          <cell r="CZ342"/>
          <cell r="DA342"/>
        </row>
        <row r="343">
          <cell r="F343"/>
          <cell r="G343"/>
          <cell r="H343"/>
          <cell r="I343"/>
          <cell r="J343"/>
          <cell r="K343"/>
          <cell r="L343"/>
          <cell r="M343"/>
          <cell r="N343" t="str">
            <v>08806239Engagement Planning</v>
          </cell>
          <cell r="P343" t="str">
            <v>5010</v>
          </cell>
          <cell r="Q343"/>
          <cell r="R343"/>
          <cell r="S343"/>
          <cell r="T343"/>
          <cell r="U343"/>
          <cell r="V343"/>
          <cell r="W343"/>
          <cell r="X343"/>
          <cell r="Y343"/>
          <cell r="Z343"/>
          <cell r="AA343"/>
          <cell r="AB343"/>
          <cell r="AC343"/>
          <cell r="AD343"/>
          <cell r="AE343"/>
          <cell r="AF343"/>
          <cell r="AG343"/>
          <cell r="AH343"/>
          <cell r="AI343"/>
          <cell r="AJ343"/>
          <cell r="AK343"/>
          <cell r="AL343"/>
          <cell r="AM343"/>
          <cell r="AN343"/>
          <cell r="AO343"/>
          <cell r="AP343"/>
          <cell r="AQ343"/>
          <cell r="AR343"/>
          <cell r="AS343"/>
          <cell r="AT343"/>
          <cell r="AU343"/>
          <cell r="AV343"/>
          <cell r="AW343"/>
          <cell r="AX343"/>
          <cell r="AY343"/>
          <cell r="AZ343"/>
          <cell r="BA343"/>
          <cell r="BB343"/>
          <cell r="BC343"/>
          <cell r="BD343"/>
          <cell r="BE343"/>
          <cell r="BF343"/>
          <cell r="BG343"/>
          <cell r="BH343"/>
          <cell r="BI343"/>
          <cell r="BJ343"/>
          <cell r="BK343"/>
          <cell r="BL343"/>
          <cell r="BM343"/>
          <cell r="BN343"/>
          <cell r="BO343"/>
          <cell r="BP343"/>
          <cell r="BQ343"/>
          <cell r="BR343"/>
          <cell r="BS343"/>
          <cell r="BT343"/>
          <cell r="BU343"/>
          <cell r="BV343"/>
          <cell r="BW343"/>
          <cell r="BX343"/>
          <cell r="BY343"/>
          <cell r="BZ343"/>
          <cell r="CA343"/>
          <cell r="CB343"/>
          <cell r="CC343"/>
          <cell r="CD343"/>
          <cell r="CE343"/>
          <cell r="CF343"/>
          <cell r="CG343"/>
          <cell r="CH343"/>
          <cell r="CI343"/>
          <cell r="CJ343"/>
          <cell r="CK343"/>
          <cell r="CL343"/>
          <cell r="CM343"/>
          <cell r="CN343"/>
          <cell r="CO343"/>
          <cell r="CP343"/>
          <cell r="CQ343"/>
          <cell r="CR343"/>
          <cell r="CS343"/>
          <cell r="CT343"/>
          <cell r="CU343"/>
          <cell r="CV343"/>
          <cell r="CW343"/>
          <cell r="CX343"/>
          <cell r="CY343"/>
          <cell r="CZ343"/>
          <cell r="DA343"/>
        </row>
        <row r="344">
          <cell r="F344" t="str">
            <v>XX</v>
          </cell>
          <cell r="G344" t="str">
            <v>1</v>
          </cell>
          <cell r="H344" t="str">
            <v>0</v>
          </cell>
          <cell r="I344" t="str">
            <v>0</v>
          </cell>
          <cell r="J344" t="str">
            <v>0</v>
          </cell>
          <cell r="K344"/>
          <cell r="L344" t="str">
            <v>1000</v>
          </cell>
          <cell r="M344" t="str">
            <v>01</v>
          </cell>
          <cell r="N344" t="str">
            <v>21809149Engagement Planning</v>
          </cell>
          <cell r="O344" t="str">
            <v>S010A170006</v>
          </cell>
          <cell r="P344" t="str">
            <v>5010</v>
          </cell>
          <cell r="Q344" t="str">
            <v>70*C</v>
          </cell>
          <cell r="R344">
            <v>43168</v>
          </cell>
          <cell r="S344">
            <v>43168</v>
          </cell>
          <cell r="T344">
            <v>10478</v>
          </cell>
          <cell r="U344"/>
          <cell r="V344"/>
          <cell r="W344"/>
          <cell r="X344"/>
          <cell r="Y344"/>
          <cell r="Z344"/>
          <cell r="AA344"/>
          <cell r="AB344"/>
          <cell r="AC344"/>
          <cell r="AD344"/>
          <cell r="AE344"/>
          <cell r="AF344"/>
          <cell r="AG344"/>
          <cell r="AH344"/>
          <cell r="AI344"/>
          <cell r="AJ344"/>
          <cell r="AK344"/>
          <cell r="AL344"/>
          <cell r="AM344"/>
          <cell r="AN344"/>
          <cell r="AO344"/>
          <cell r="AP344"/>
          <cell r="AQ344"/>
          <cell r="AR344"/>
          <cell r="AS344">
            <v>0</v>
          </cell>
          <cell r="AT344">
            <v>0</v>
          </cell>
          <cell r="AU344">
            <v>10478</v>
          </cell>
          <cell r="AV344"/>
          <cell r="AW344"/>
          <cell r="AX344"/>
          <cell r="AY344"/>
          <cell r="AZ344"/>
          <cell r="BA344"/>
          <cell r="BB344"/>
          <cell r="BC344"/>
          <cell r="BD344"/>
          <cell r="BE344">
            <v>-10478</v>
          </cell>
          <cell r="BF344"/>
          <cell r="BG344"/>
          <cell r="BH344"/>
          <cell r="BI344"/>
          <cell r="BJ344"/>
          <cell r="BK344"/>
          <cell r="BL344"/>
          <cell r="BM344"/>
          <cell r="BN344"/>
          <cell r="BO344"/>
          <cell r="BP344"/>
          <cell r="BQ344"/>
          <cell r="BR344"/>
          <cell r="BS344"/>
          <cell r="BT344"/>
          <cell r="BU344"/>
          <cell r="BV344"/>
          <cell r="BW344">
            <v>-10478</v>
          </cell>
          <cell r="BX344">
            <v>0</v>
          </cell>
          <cell r="BY344">
            <v>0</v>
          </cell>
          <cell r="BZ344"/>
          <cell r="CA344"/>
          <cell r="CB344"/>
          <cell r="CC344"/>
          <cell r="CD344"/>
          <cell r="CE344"/>
          <cell r="CF344"/>
          <cell r="CG344"/>
          <cell r="CH344"/>
          <cell r="CI344"/>
          <cell r="CJ344"/>
          <cell r="CK344"/>
          <cell r="CL344"/>
          <cell r="CM344"/>
          <cell r="CN344"/>
          <cell r="CO344"/>
          <cell r="CP344"/>
          <cell r="CQ344"/>
          <cell r="CR344"/>
          <cell r="CS344"/>
          <cell r="CT344"/>
          <cell r="CU344"/>
          <cell r="CV344"/>
          <cell r="CW344"/>
          <cell r="CX344"/>
          <cell r="CY344"/>
          <cell r="CZ344"/>
          <cell r="DA344"/>
        </row>
        <row r="345">
          <cell r="F345" t="str">
            <v>XX</v>
          </cell>
          <cell r="G345" t="str">
            <v>1</v>
          </cell>
          <cell r="H345" t="str">
            <v>1</v>
          </cell>
          <cell r="I345" t="str">
            <v>0</v>
          </cell>
          <cell r="J345" t="str">
            <v>0</v>
          </cell>
          <cell r="K345"/>
          <cell r="L345" t="str">
            <v>1100</v>
          </cell>
          <cell r="M345" t="str">
            <v>X</v>
          </cell>
          <cell r="N345" t="str">
            <v>31203880Engagement Planning</v>
          </cell>
          <cell r="O345" t="str">
            <v>S010A170006</v>
          </cell>
          <cell r="P345" t="str">
            <v>5010</v>
          </cell>
          <cell r="Q345" t="str">
            <v>70*C</v>
          </cell>
          <cell r="R345"/>
          <cell r="S345"/>
          <cell r="T345">
            <v>11906</v>
          </cell>
          <cell r="AO345">
            <v>-1245</v>
          </cell>
          <cell r="AS345">
            <v>-1245</v>
          </cell>
          <cell r="AT345">
            <v>0</v>
          </cell>
          <cell r="AU345">
            <v>10661</v>
          </cell>
          <cell r="AV345" t="str">
            <v>S010A180006</v>
          </cell>
          <cell r="AW345"/>
          <cell r="AX345">
            <v>10000</v>
          </cell>
          <cell r="BC345">
            <v>-2363</v>
          </cell>
          <cell r="BG345">
            <v>-2414</v>
          </cell>
          <cell r="BI345">
            <v>-4751</v>
          </cell>
          <cell r="BK345">
            <v>-1133</v>
          </cell>
          <cell r="BU345">
            <v>-4879.8999999999996</v>
          </cell>
          <cell r="BW345">
            <v>-15540.9</v>
          </cell>
          <cell r="BX345">
            <v>0</v>
          </cell>
          <cell r="BY345">
            <v>5120.1000000000004</v>
          </cell>
          <cell r="CI345">
            <v>-340.62</v>
          </cell>
          <cell r="CW345">
            <v>-4779.4799999999996</v>
          </cell>
        </row>
        <row r="346">
          <cell r="G346"/>
          <cell r="H346"/>
          <cell r="I346"/>
          <cell r="J346"/>
          <cell r="K346"/>
          <cell r="L346"/>
          <cell r="M346" t="str">
            <v xml:space="preserve"> </v>
          </cell>
          <cell r="N346" t="str">
            <v/>
          </cell>
          <cell r="Q346" t="str">
            <v xml:space="preserve"> Engagement Total</v>
          </cell>
          <cell r="R346"/>
          <cell r="S346"/>
          <cell r="T346">
            <v>22384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-1245</v>
          </cell>
          <cell r="AP346">
            <v>0</v>
          </cell>
          <cell r="AQ346">
            <v>0</v>
          </cell>
          <cell r="AR346">
            <v>0</v>
          </cell>
          <cell r="AS346">
            <v>-1245</v>
          </cell>
          <cell r="AT346">
            <v>0</v>
          </cell>
          <cell r="AU346">
            <v>21139</v>
          </cell>
          <cell r="AV346"/>
          <cell r="AW346">
            <v>0</v>
          </cell>
          <cell r="AX346">
            <v>10000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-2363</v>
          </cell>
          <cell r="BD346">
            <v>0</v>
          </cell>
          <cell r="BE346">
            <v>-10478</v>
          </cell>
          <cell r="BF346">
            <v>0</v>
          </cell>
          <cell r="BG346">
            <v>-2414</v>
          </cell>
          <cell r="BH346">
            <v>0</v>
          </cell>
          <cell r="BI346">
            <v>-4751</v>
          </cell>
          <cell r="BJ346">
            <v>0</v>
          </cell>
          <cell r="BK346">
            <v>-1133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-4879.8999999999996</v>
          </cell>
          <cell r="BV346">
            <v>0</v>
          </cell>
          <cell r="BW346">
            <v>-26018.9</v>
          </cell>
          <cell r="BX346">
            <v>0</v>
          </cell>
          <cell r="BY346">
            <v>5120.1000000000004</v>
          </cell>
          <cell r="BZ346"/>
          <cell r="CA346">
            <v>0</v>
          </cell>
          <cell r="CB346">
            <v>0</v>
          </cell>
          <cell r="CC346"/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-340.62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-4779.4799999999996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</row>
        <row r="347">
          <cell r="G347"/>
          <cell r="H347"/>
          <cell r="I347"/>
          <cell r="J347"/>
          <cell r="K347"/>
          <cell r="L347"/>
          <cell r="M347" t="str">
            <v xml:space="preserve"> </v>
          </cell>
          <cell r="N347" t="str">
            <v/>
          </cell>
          <cell r="Q347"/>
          <cell r="R347"/>
          <cell r="S347"/>
          <cell r="T347"/>
          <cell r="U347"/>
          <cell r="V347"/>
          <cell r="W347"/>
          <cell r="X347"/>
          <cell r="Y347"/>
          <cell r="Z347"/>
          <cell r="AA347"/>
          <cell r="AB347"/>
          <cell r="AC347"/>
          <cell r="AD347"/>
          <cell r="AE347"/>
          <cell r="AF347"/>
          <cell r="AG347"/>
          <cell r="AH347"/>
          <cell r="AI347"/>
          <cell r="AJ347"/>
          <cell r="AK347"/>
          <cell r="AL347"/>
          <cell r="AM347"/>
          <cell r="AN347"/>
          <cell r="AO347"/>
          <cell r="AP347"/>
          <cell r="AQ347"/>
          <cell r="AR347"/>
          <cell r="AS347"/>
          <cell r="AT347"/>
          <cell r="AU347"/>
          <cell r="AV347"/>
          <cell r="AW347"/>
          <cell r="AX347"/>
          <cell r="AY347"/>
          <cell r="AZ347"/>
          <cell r="BA347"/>
          <cell r="BB347"/>
          <cell r="BC347"/>
          <cell r="BD347"/>
          <cell r="BE347"/>
          <cell r="BF347"/>
          <cell r="BG347"/>
          <cell r="BH347"/>
          <cell r="BI347"/>
          <cell r="BJ347"/>
          <cell r="BK347"/>
          <cell r="BL347"/>
          <cell r="BM347"/>
          <cell r="BN347"/>
          <cell r="BO347"/>
          <cell r="BP347"/>
          <cell r="BQ347"/>
          <cell r="BR347"/>
          <cell r="BS347"/>
          <cell r="BT347"/>
          <cell r="BU347"/>
          <cell r="BV347"/>
          <cell r="BW347"/>
          <cell r="BX347"/>
          <cell r="BY347"/>
          <cell r="BZ347"/>
          <cell r="CA347"/>
          <cell r="CB347"/>
          <cell r="CC347"/>
          <cell r="CD347"/>
          <cell r="CE347"/>
          <cell r="CF347"/>
          <cell r="CG347"/>
          <cell r="CH347"/>
          <cell r="CI347"/>
          <cell r="CJ347"/>
          <cell r="CK347"/>
          <cell r="CL347"/>
          <cell r="CM347"/>
          <cell r="CN347"/>
          <cell r="CO347"/>
          <cell r="CP347"/>
          <cell r="CQ347"/>
          <cell r="CR347"/>
          <cell r="CS347"/>
          <cell r="CT347"/>
          <cell r="CU347"/>
          <cell r="CV347"/>
          <cell r="CW347"/>
          <cell r="CX347"/>
          <cell r="CY347"/>
          <cell r="CZ347"/>
          <cell r="DA347"/>
        </row>
        <row r="348">
          <cell r="F348" t="str">
            <v>07</v>
          </cell>
          <cell r="G348" t="str">
            <v>0</v>
          </cell>
          <cell r="H348" t="str">
            <v>1</v>
          </cell>
          <cell r="I348" t="str">
            <v>0</v>
          </cell>
          <cell r="J348" t="str">
            <v>0</v>
          </cell>
          <cell r="K348"/>
          <cell r="L348" t="str">
            <v>0100</v>
          </cell>
          <cell r="M348" t="str">
            <v>02</v>
          </cell>
          <cell r="N348" t="str">
            <v>0180N/AEASI MTSS</v>
          </cell>
          <cell r="P348" t="str">
            <v>5010</v>
          </cell>
          <cell r="Q348" t="str">
            <v>70*C</v>
          </cell>
          <cell r="R348"/>
          <cell r="S348"/>
          <cell r="T348"/>
          <cell r="U348"/>
          <cell r="V348"/>
          <cell r="W348"/>
          <cell r="X348"/>
          <cell r="Y348"/>
          <cell r="Z348"/>
          <cell r="AA348"/>
          <cell r="AB348"/>
          <cell r="AC348"/>
          <cell r="AD348"/>
          <cell r="AE348"/>
          <cell r="AF348"/>
          <cell r="AG348"/>
          <cell r="AH348"/>
          <cell r="AI348"/>
          <cell r="AJ348"/>
          <cell r="AK348"/>
          <cell r="AL348"/>
          <cell r="AM348"/>
          <cell r="AN348"/>
          <cell r="AO348"/>
          <cell r="AP348"/>
          <cell r="AQ348"/>
          <cell r="AR348"/>
          <cell r="AS348"/>
          <cell r="AT348"/>
          <cell r="AU348"/>
          <cell r="AV348" t="str">
            <v>S010A180006</v>
          </cell>
          <cell r="AW348"/>
          <cell r="AX348">
            <v>59854</v>
          </cell>
          <cell r="AY348"/>
          <cell r="AZ348"/>
          <cell r="BA348"/>
          <cell r="BB348"/>
          <cell r="BC348"/>
          <cell r="BD348"/>
          <cell r="BE348"/>
          <cell r="BF348"/>
          <cell r="BG348"/>
          <cell r="BH348"/>
          <cell r="BI348"/>
          <cell r="BJ348"/>
          <cell r="BK348"/>
          <cell r="BL348"/>
          <cell r="BM348"/>
          <cell r="BN348"/>
          <cell r="BO348"/>
          <cell r="BP348"/>
          <cell r="BQ348"/>
          <cell r="BR348"/>
          <cell r="BS348"/>
          <cell r="BT348"/>
          <cell r="BU348"/>
          <cell r="BV348"/>
          <cell r="BW348">
            <v>0</v>
          </cell>
          <cell r="BX348">
            <v>0</v>
          </cell>
          <cell r="BY348">
            <v>59854</v>
          </cell>
          <cell r="BZ348" t="str">
            <v>S010A180006</v>
          </cell>
          <cell r="CA348"/>
          <cell r="CB348">
            <v>65000</v>
          </cell>
          <cell r="CC348"/>
          <cell r="CD348"/>
          <cell r="CE348"/>
          <cell r="CF348"/>
          <cell r="CG348"/>
          <cell r="CH348"/>
          <cell r="CI348"/>
          <cell r="CJ348"/>
          <cell r="CK348"/>
          <cell r="CL348"/>
          <cell r="CM348"/>
          <cell r="CN348"/>
          <cell r="CO348"/>
          <cell r="CP348"/>
          <cell r="CQ348"/>
          <cell r="CR348"/>
          <cell r="CS348"/>
          <cell r="CT348"/>
          <cell r="CU348"/>
          <cell r="CV348"/>
          <cell r="CW348"/>
          <cell r="CX348"/>
          <cell r="CY348"/>
          <cell r="CZ348"/>
          <cell r="DA348"/>
        </row>
        <row r="349">
          <cell r="F349" t="str">
            <v>07</v>
          </cell>
          <cell r="G349" t="str">
            <v>0</v>
          </cell>
          <cell r="H349" t="str">
            <v>1</v>
          </cell>
          <cell r="I349" t="str">
            <v>0</v>
          </cell>
          <cell r="J349" t="str">
            <v>0</v>
          </cell>
          <cell r="K349"/>
          <cell r="L349" t="str">
            <v>0100</v>
          </cell>
          <cell r="M349" t="str">
            <v>02</v>
          </cell>
          <cell r="N349" t="str">
            <v>0900N/AEASI MTSS</v>
          </cell>
          <cell r="P349" t="str">
            <v>5010</v>
          </cell>
          <cell r="Q349" t="str">
            <v>70*C</v>
          </cell>
          <cell r="R349"/>
          <cell r="S349"/>
          <cell r="T349"/>
          <cell r="U349"/>
          <cell r="V349"/>
          <cell r="W349"/>
          <cell r="X349"/>
          <cell r="Y349"/>
          <cell r="Z349"/>
          <cell r="AA349"/>
          <cell r="AB349"/>
          <cell r="AC349"/>
          <cell r="AD349"/>
          <cell r="AE349"/>
          <cell r="AF349"/>
          <cell r="AG349"/>
          <cell r="AH349"/>
          <cell r="AI349"/>
          <cell r="AJ349"/>
          <cell r="AK349"/>
          <cell r="AL349"/>
          <cell r="AM349"/>
          <cell r="AN349"/>
          <cell r="AO349"/>
          <cell r="AP349"/>
          <cell r="AQ349"/>
          <cell r="AR349"/>
          <cell r="AS349"/>
          <cell r="AT349"/>
          <cell r="AU349"/>
          <cell r="AV349" t="str">
            <v>S010A180006</v>
          </cell>
          <cell r="AW349"/>
          <cell r="AX349">
            <v>26073</v>
          </cell>
          <cell r="AY349"/>
          <cell r="AZ349"/>
          <cell r="BA349"/>
          <cell r="BB349"/>
          <cell r="BC349"/>
          <cell r="BD349"/>
          <cell r="BE349"/>
          <cell r="BF349"/>
          <cell r="BG349"/>
          <cell r="BH349"/>
          <cell r="BI349"/>
          <cell r="BJ349"/>
          <cell r="BK349"/>
          <cell r="BL349"/>
          <cell r="BM349"/>
          <cell r="BN349"/>
          <cell r="BO349"/>
          <cell r="BP349"/>
          <cell r="BQ349">
            <v>-4490</v>
          </cell>
          <cell r="BR349"/>
          <cell r="BS349"/>
          <cell r="BT349"/>
          <cell r="BU349"/>
          <cell r="BV349"/>
          <cell r="BW349">
            <v>-4490</v>
          </cell>
          <cell r="BX349">
            <v>0</v>
          </cell>
          <cell r="BY349">
            <v>21583</v>
          </cell>
          <cell r="BZ349" t="str">
            <v>S010A190006</v>
          </cell>
          <cell r="CA349"/>
          <cell r="CB349">
            <v>44508</v>
          </cell>
          <cell r="CC349"/>
          <cell r="CD349"/>
          <cell r="CE349"/>
          <cell r="CF349"/>
          <cell r="CG349"/>
          <cell r="CH349"/>
          <cell r="CI349"/>
          <cell r="CJ349"/>
          <cell r="CK349"/>
          <cell r="CL349"/>
          <cell r="CM349">
            <v>-2107.34</v>
          </cell>
          <cell r="CN349"/>
          <cell r="CO349">
            <v>-616.13</v>
          </cell>
          <cell r="CP349"/>
          <cell r="CQ349">
            <v>-5217.2700000000004</v>
          </cell>
          <cell r="CR349"/>
          <cell r="CS349"/>
          <cell r="CT349"/>
          <cell r="CU349">
            <v>-10396.870000000001</v>
          </cell>
          <cell r="CV349"/>
          <cell r="CW349">
            <v>-6695.76</v>
          </cell>
          <cell r="CX349"/>
          <cell r="CY349">
            <v>-7593.26</v>
          </cell>
          <cell r="CZ349"/>
          <cell r="DA349">
            <v>-21155.09</v>
          </cell>
        </row>
        <row r="350">
          <cell r="F350" t="str">
            <v>07</v>
          </cell>
          <cell r="G350" t="str">
            <v>0</v>
          </cell>
          <cell r="H350" t="str">
            <v>1</v>
          </cell>
          <cell r="I350" t="str">
            <v>0</v>
          </cell>
          <cell r="J350" t="str">
            <v>0</v>
          </cell>
          <cell r="K350"/>
          <cell r="L350" t="str">
            <v>0100</v>
          </cell>
          <cell r="M350" t="str">
            <v>02</v>
          </cell>
          <cell r="N350" t="str">
            <v>0910N/AEASI MTSS</v>
          </cell>
          <cell r="P350" t="str">
            <v>5010</v>
          </cell>
          <cell r="Q350" t="str">
            <v>70*C</v>
          </cell>
          <cell r="R350"/>
          <cell r="S350"/>
          <cell r="AV350" t="str">
            <v>S010A180006</v>
          </cell>
          <cell r="AW350"/>
          <cell r="AX350">
            <v>5000</v>
          </cell>
          <cell r="BW350">
            <v>0</v>
          </cell>
          <cell r="BX350">
            <v>0</v>
          </cell>
          <cell r="BY350">
            <v>5000</v>
          </cell>
          <cell r="BZ350" t="str">
            <v>S010A190006</v>
          </cell>
          <cell r="CB350">
            <v>67156</v>
          </cell>
          <cell r="CW350">
            <v>-5000</v>
          </cell>
        </row>
        <row r="351">
          <cell r="G351"/>
          <cell r="H351"/>
          <cell r="I351"/>
          <cell r="J351"/>
          <cell r="K351"/>
          <cell r="L351"/>
          <cell r="M351"/>
          <cell r="N351" t="str">
            <v>1050N/AEASI MTSS</v>
          </cell>
          <cell r="P351" t="str">
            <v>5010</v>
          </cell>
          <cell r="Q351"/>
          <cell r="R351"/>
          <cell r="S351"/>
          <cell r="T351"/>
          <cell r="U351"/>
          <cell r="V351"/>
          <cell r="W351"/>
          <cell r="X351"/>
          <cell r="Y351"/>
          <cell r="Z351"/>
          <cell r="AA351"/>
          <cell r="AB351"/>
          <cell r="AC351"/>
          <cell r="AD351"/>
          <cell r="AE351"/>
          <cell r="AF351"/>
          <cell r="AG351"/>
          <cell r="AH351"/>
          <cell r="AI351"/>
          <cell r="AJ351"/>
          <cell r="AK351"/>
          <cell r="AL351"/>
          <cell r="AM351"/>
          <cell r="AN351"/>
          <cell r="AO351"/>
          <cell r="AP351"/>
          <cell r="AQ351"/>
          <cell r="AR351"/>
          <cell r="AS351"/>
          <cell r="AT351"/>
          <cell r="AU351"/>
          <cell r="AV351"/>
          <cell r="AW351"/>
          <cell r="AX351"/>
          <cell r="AY351"/>
          <cell r="AZ351"/>
          <cell r="BA351"/>
          <cell r="BB351"/>
          <cell r="BC351"/>
          <cell r="BD351"/>
          <cell r="BE351"/>
          <cell r="BF351"/>
          <cell r="BG351"/>
          <cell r="BH351"/>
          <cell r="BI351"/>
          <cell r="BJ351"/>
          <cell r="BK351"/>
          <cell r="BL351"/>
          <cell r="BM351"/>
          <cell r="BN351"/>
          <cell r="BO351"/>
          <cell r="BP351"/>
          <cell r="BQ351"/>
          <cell r="BR351"/>
          <cell r="BS351"/>
          <cell r="BT351"/>
          <cell r="BU351"/>
          <cell r="BV351"/>
          <cell r="BW351"/>
          <cell r="BX351"/>
          <cell r="BY351"/>
          <cell r="BZ351"/>
          <cell r="CA351"/>
          <cell r="CB351"/>
          <cell r="CC351"/>
          <cell r="CD351"/>
          <cell r="CE351"/>
          <cell r="CF351"/>
          <cell r="CG351"/>
          <cell r="CH351"/>
          <cell r="CI351"/>
          <cell r="CJ351"/>
          <cell r="CK351"/>
          <cell r="CL351"/>
          <cell r="CM351"/>
          <cell r="CN351"/>
          <cell r="CO351"/>
          <cell r="CP351"/>
          <cell r="CQ351"/>
          <cell r="CR351"/>
          <cell r="CS351"/>
          <cell r="CT351"/>
          <cell r="CU351"/>
          <cell r="CV351"/>
          <cell r="CW351"/>
          <cell r="CX351"/>
          <cell r="CY351"/>
          <cell r="CZ351"/>
          <cell r="DA351"/>
        </row>
        <row r="352">
          <cell r="F352" t="str">
            <v>07</v>
          </cell>
          <cell r="G352" t="str">
            <v>0</v>
          </cell>
          <cell r="H352" t="str">
            <v>1</v>
          </cell>
          <cell r="I352" t="str">
            <v>0</v>
          </cell>
          <cell r="J352" t="str">
            <v>0</v>
          </cell>
          <cell r="K352"/>
          <cell r="L352" t="str">
            <v>0100</v>
          </cell>
          <cell r="M352" t="str">
            <v>02</v>
          </cell>
          <cell r="N352" t="str">
            <v>1560N/AEASI MTSS</v>
          </cell>
          <cell r="P352" t="str">
            <v>5010</v>
          </cell>
          <cell r="Q352" t="str">
            <v>70*C</v>
          </cell>
          <cell r="R352"/>
          <cell r="S352"/>
          <cell r="AS352">
            <v>0</v>
          </cell>
          <cell r="AT352">
            <v>0</v>
          </cell>
          <cell r="AU352">
            <v>0</v>
          </cell>
          <cell r="AV352" t="str">
            <v>S010A180006</v>
          </cell>
          <cell r="AW352"/>
          <cell r="AX352">
            <v>34142</v>
          </cell>
          <cell r="BW352">
            <v>0</v>
          </cell>
          <cell r="BX352">
            <v>0</v>
          </cell>
          <cell r="BY352">
            <v>34142</v>
          </cell>
          <cell r="BZ352" t="str">
            <v>S010A190006</v>
          </cell>
          <cell r="CB352">
            <v>65000</v>
          </cell>
          <cell r="DA352">
            <v>-47063.49</v>
          </cell>
        </row>
        <row r="353">
          <cell r="G353"/>
          <cell r="H353"/>
          <cell r="I353"/>
          <cell r="J353"/>
          <cell r="K353"/>
          <cell r="L353"/>
          <cell r="M353"/>
          <cell r="N353" t="str">
            <v>2640N/AEASI MTSS</v>
          </cell>
          <cell r="P353" t="str">
            <v>5010</v>
          </cell>
          <cell r="Q353"/>
          <cell r="R353"/>
          <cell r="S353"/>
          <cell r="T353"/>
          <cell r="U353"/>
          <cell r="V353"/>
          <cell r="W353"/>
          <cell r="X353"/>
          <cell r="Y353"/>
          <cell r="Z353"/>
          <cell r="AA353"/>
          <cell r="AB353"/>
          <cell r="AC353"/>
          <cell r="AD353"/>
          <cell r="AE353"/>
          <cell r="AF353"/>
          <cell r="AG353"/>
          <cell r="AH353"/>
          <cell r="AI353"/>
          <cell r="AJ353"/>
          <cell r="AK353"/>
          <cell r="AL353"/>
          <cell r="AM353"/>
          <cell r="AN353"/>
          <cell r="AO353"/>
          <cell r="AP353"/>
          <cell r="AQ353"/>
          <cell r="AR353"/>
          <cell r="AS353"/>
          <cell r="AT353"/>
          <cell r="AU353"/>
          <cell r="AV353"/>
          <cell r="AW353"/>
          <cell r="AX353"/>
          <cell r="AY353"/>
          <cell r="AZ353"/>
          <cell r="BA353"/>
          <cell r="BB353"/>
          <cell r="BC353"/>
          <cell r="BD353"/>
          <cell r="BE353"/>
          <cell r="BF353"/>
          <cell r="BG353"/>
          <cell r="BH353"/>
          <cell r="BI353"/>
          <cell r="BJ353"/>
          <cell r="BK353"/>
          <cell r="BL353"/>
          <cell r="BM353"/>
          <cell r="BN353"/>
          <cell r="BO353"/>
          <cell r="BP353"/>
          <cell r="BQ353"/>
          <cell r="BR353"/>
          <cell r="BS353"/>
          <cell r="BT353"/>
          <cell r="BU353"/>
          <cell r="BV353"/>
          <cell r="BW353"/>
          <cell r="BX353"/>
          <cell r="BY353"/>
          <cell r="BZ353"/>
          <cell r="CA353"/>
          <cell r="CB353"/>
          <cell r="CC353"/>
          <cell r="CD353"/>
          <cell r="CE353"/>
          <cell r="CF353"/>
          <cell r="CG353"/>
          <cell r="CH353"/>
          <cell r="CI353"/>
          <cell r="CJ353"/>
          <cell r="CK353"/>
          <cell r="CL353"/>
          <cell r="CM353"/>
          <cell r="CN353"/>
          <cell r="CO353"/>
          <cell r="CP353"/>
          <cell r="CQ353"/>
          <cell r="CR353"/>
          <cell r="CS353"/>
          <cell r="CT353"/>
          <cell r="CU353"/>
          <cell r="CV353"/>
          <cell r="CW353"/>
          <cell r="CX353"/>
          <cell r="CY353"/>
          <cell r="CZ353"/>
          <cell r="DA353"/>
        </row>
        <row r="354">
          <cell r="G354"/>
          <cell r="H354"/>
          <cell r="I354"/>
          <cell r="J354"/>
          <cell r="K354"/>
          <cell r="L354"/>
          <cell r="M354"/>
          <cell r="N354" t="str">
            <v>3140N/AEASI MTSS</v>
          </cell>
          <cell r="P354"/>
          <cell r="Q354"/>
          <cell r="R354"/>
          <cell r="S354"/>
          <cell r="T354"/>
          <cell r="U354"/>
          <cell r="V354"/>
          <cell r="W354"/>
          <cell r="X354"/>
          <cell r="Y354"/>
          <cell r="Z354"/>
          <cell r="AA354"/>
          <cell r="AB354"/>
          <cell r="AC354"/>
          <cell r="AD354"/>
          <cell r="AE354"/>
          <cell r="AF354"/>
          <cell r="AG354"/>
          <cell r="AH354"/>
          <cell r="AI354"/>
          <cell r="AJ354"/>
          <cell r="AK354"/>
          <cell r="AL354"/>
          <cell r="AM354"/>
          <cell r="AN354"/>
          <cell r="AO354"/>
          <cell r="AP354"/>
          <cell r="AQ354"/>
          <cell r="AR354"/>
          <cell r="AS354"/>
          <cell r="AT354"/>
          <cell r="AU354"/>
          <cell r="AV354"/>
          <cell r="AW354"/>
          <cell r="AX354"/>
          <cell r="AY354"/>
          <cell r="AZ354"/>
          <cell r="BA354"/>
          <cell r="BB354"/>
          <cell r="BC354"/>
          <cell r="BD354"/>
          <cell r="BE354"/>
          <cell r="BF354"/>
          <cell r="BG354"/>
          <cell r="BH354"/>
          <cell r="BI354"/>
          <cell r="BJ354"/>
          <cell r="BK354"/>
          <cell r="BL354"/>
          <cell r="BM354"/>
          <cell r="BN354"/>
          <cell r="BO354"/>
          <cell r="BP354"/>
          <cell r="BQ354"/>
          <cell r="BR354"/>
          <cell r="BS354"/>
          <cell r="BT354"/>
          <cell r="BU354"/>
          <cell r="BV354"/>
          <cell r="BW354"/>
          <cell r="BX354"/>
          <cell r="BY354"/>
          <cell r="BZ354"/>
          <cell r="CA354"/>
          <cell r="CB354"/>
          <cell r="CC354"/>
          <cell r="CD354"/>
          <cell r="CE354"/>
          <cell r="CF354"/>
          <cell r="CG354"/>
          <cell r="CH354"/>
          <cell r="CI354"/>
          <cell r="CJ354"/>
          <cell r="CK354"/>
          <cell r="CL354"/>
          <cell r="CM354"/>
          <cell r="CN354"/>
          <cell r="CO354"/>
          <cell r="CP354"/>
          <cell r="CQ354"/>
          <cell r="CR354"/>
          <cell r="CS354"/>
          <cell r="CT354"/>
          <cell r="CU354"/>
          <cell r="CV354"/>
          <cell r="CW354"/>
          <cell r="CX354"/>
          <cell r="CY354"/>
          <cell r="CZ354"/>
          <cell r="DA354"/>
        </row>
        <row r="355">
          <cell r="F355" t="str">
            <v>07</v>
          </cell>
          <cell r="G355" t="str">
            <v>0</v>
          </cell>
          <cell r="H355" t="str">
            <v>1</v>
          </cell>
          <cell r="I355" t="str">
            <v>0</v>
          </cell>
          <cell r="J355" t="str">
            <v>0</v>
          </cell>
          <cell r="K355"/>
          <cell r="L355" t="str">
            <v>0100</v>
          </cell>
          <cell r="M355" t="str">
            <v>02</v>
          </cell>
          <cell r="N355" t="str">
            <v>3140N/AEASI MTSS</v>
          </cell>
          <cell r="P355" t="str">
            <v>5010</v>
          </cell>
          <cell r="Q355" t="str">
            <v>70*C</v>
          </cell>
          <cell r="R355"/>
          <cell r="S355"/>
          <cell r="T355"/>
          <cell r="U355"/>
          <cell r="V355"/>
          <cell r="W355"/>
          <cell r="X355"/>
          <cell r="Y355"/>
          <cell r="Z355"/>
          <cell r="AA355"/>
          <cell r="AB355"/>
          <cell r="AC355"/>
          <cell r="AD355"/>
          <cell r="AE355"/>
          <cell r="AF355"/>
          <cell r="AG355"/>
          <cell r="AH355"/>
          <cell r="AI355"/>
          <cell r="AJ355"/>
          <cell r="AK355"/>
          <cell r="AL355"/>
          <cell r="AM355"/>
          <cell r="AN355"/>
          <cell r="AO355"/>
          <cell r="AP355"/>
          <cell r="AQ355"/>
          <cell r="AR355"/>
          <cell r="AS355"/>
          <cell r="AT355"/>
          <cell r="AU355"/>
          <cell r="AV355" t="str">
            <v>S010A180006</v>
          </cell>
          <cell r="AW355"/>
          <cell r="AX355">
            <v>5480</v>
          </cell>
          <cell r="AY355"/>
          <cell r="AZ355"/>
          <cell r="BA355"/>
          <cell r="BB355"/>
          <cell r="BC355"/>
          <cell r="BD355"/>
          <cell r="BE355"/>
          <cell r="BF355"/>
          <cell r="BG355"/>
          <cell r="BH355"/>
          <cell r="BI355"/>
          <cell r="BJ355"/>
          <cell r="BK355"/>
          <cell r="BL355"/>
          <cell r="BM355"/>
          <cell r="BN355"/>
          <cell r="BO355"/>
          <cell r="BP355"/>
          <cell r="BQ355"/>
          <cell r="BR355"/>
          <cell r="BS355"/>
          <cell r="BT355"/>
          <cell r="BU355"/>
          <cell r="BV355"/>
          <cell r="BW355">
            <v>0</v>
          </cell>
          <cell r="BX355">
            <v>0</v>
          </cell>
          <cell r="BY355">
            <v>5480</v>
          </cell>
          <cell r="BZ355" t="str">
            <v>S010A190006</v>
          </cell>
          <cell r="CA355"/>
          <cell r="CB355">
            <v>70930</v>
          </cell>
          <cell r="CC355"/>
          <cell r="CD355"/>
          <cell r="CE355"/>
          <cell r="CF355"/>
          <cell r="CG355"/>
          <cell r="CH355"/>
          <cell r="CI355"/>
          <cell r="CJ355"/>
          <cell r="CK355">
            <v>-145.08000000000001</v>
          </cell>
          <cell r="CL355"/>
          <cell r="CM355"/>
          <cell r="CN355"/>
          <cell r="CO355"/>
          <cell r="CP355"/>
          <cell r="CQ355"/>
          <cell r="CR355"/>
          <cell r="CS355"/>
          <cell r="CT355"/>
          <cell r="CU355">
            <v>-28371.360000000001</v>
          </cell>
          <cell r="CV355"/>
          <cell r="CW355">
            <v>-923.67</v>
          </cell>
          <cell r="CX355"/>
          <cell r="CY355"/>
          <cell r="CZ355"/>
          <cell r="DA355">
            <v>-22552.04</v>
          </cell>
        </row>
        <row r="356">
          <cell r="G356"/>
          <cell r="H356"/>
          <cell r="I356"/>
          <cell r="J356"/>
          <cell r="K356"/>
          <cell r="L356"/>
          <cell r="M356"/>
          <cell r="N356"/>
          <cell r="P356"/>
          <cell r="Q356"/>
          <cell r="R356"/>
          <cell r="S356"/>
          <cell r="T356"/>
          <cell r="U356"/>
          <cell r="V356"/>
          <cell r="W356"/>
          <cell r="X356"/>
          <cell r="Y356"/>
          <cell r="Z356"/>
          <cell r="AA356"/>
          <cell r="AB356"/>
          <cell r="AC356"/>
          <cell r="AD356"/>
          <cell r="AE356"/>
          <cell r="AF356"/>
          <cell r="AG356"/>
          <cell r="AH356"/>
          <cell r="AI356"/>
          <cell r="AJ356"/>
          <cell r="AK356"/>
          <cell r="AL356"/>
          <cell r="AM356"/>
          <cell r="AN356"/>
          <cell r="AO356"/>
          <cell r="AP356"/>
          <cell r="AQ356"/>
          <cell r="AR356"/>
          <cell r="AS356"/>
          <cell r="AT356"/>
          <cell r="AU356"/>
          <cell r="AW356"/>
          <cell r="AX356"/>
          <cell r="AY356"/>
          <cell r="AZ356"/>
          <cell r="BA356"/>
          <cell r="BB356"/>
          <cell r="BC356"/>
          <cell r="BD356"/>
          <cell r="BE356"/>
          <cell r="BF356"/>
          <cell r="BG356"/>
          <cell r="BH356"/>
          <cell r="BI356"/>
          <cell r="BJ356"/>
          <cell r="BK356"/>
          <cell r="BL356"/>
          <cell r="BM356"/>
          <cell r="BN356"/>
          <cell r="BO356"/>
          <cell r="BP356"/>
          <cell r="BQ356"/>
          <cell r="BR356"/>
          <cell r="BS356"/>
          <cell r="BT356"/>
          <cell r="BU356"/>
          <cell r="BV356"/>
          <cell r="BW356"/>
          <cell r="BX356"/>
          <cell r="BY356"/>
          <cell r="CA356"/>
          <cell r="CB356"/>
          <cell r="CC356"/>
          <cell r="CD356"/>
          <cell r="CE356"/>
          <cell r="CF356"/>
          <cell r="CG356"/>
          <cell r="CH356"/>
          <cell r="CI356"/>
          <cell r="CJ356"/>
          <cell r="CK356"/>
          <cell r="CL356"/>
          <cell r="CM356"/>
          <cell r="CN356"/>
          <cell r="CO356"/>
          <cell r="CP356"/>
          <cell r="CQ356"/>
          <cell r="CR356"/>
          <cell r="CS356"/>
          <cell r="CT356"/>
          <cell r="CU356"/>
          <cell r="CV356"/>
          <cell r="CW356"/>
          <cell r="CX356"/>
          <cell r="CY356"/>
          <cell r="CZ356"/>
          <cell r="DA356"/>
        </row>
        <row r="357">
          <cell r="F357" t="str">
            <v>07</v>
          </cell>
          <cell r="G357" t="str">
            <v>0</v>
          </cell>
          <cell r="H357" t="str">
            <v>1</v>
          </cell>
          <cell r="I357" t="str">
            <v>0</v>
          </cell>
          <cell r="J357" t="str">
            <v>0</v>
          </cell>
          <cell r="K357"/>
          <cell r="L357" t="str">
            <v>0100</v>
          </cell>
          <cell r="M357" t="str">
            <v>02</v>
          </cell>
          <cell r="N357" t="str">
            <v>8001N/AEASI MTSS</v>
          </cell>
          <cell r="P357" t="str">
            <v>5010</v>
          </cell>
          <cell r="Q357" t="str">
            <v>70*C</v>
          </cell>
          <cell r="R357"/>
          <cell r="S357"/>
          <cell r="AV357" t="str">
            <v>S010A180006</v>
          </cell>
          <cell r="AW357"/>
          <cell r="AX357">
            <v>21000</v>
          </cell>
          <cell r="BW357">
            <v>0</v>
          </cell>
          <cell r="BX357">
            <v>0</v>
          </cell>
          <cell r="BY357">
            <v>21000</v>
          </cell>
          <cell r="BZ357" t="str">
            <v>S010A180006</v>
          </cell>
          <cell r="CB357">
            <v>49125</v>
          </cell>
          <cell r="CG357">
            <v>-9413</v>
          </cell>
          <cell r="CY357">
            <v>-16046</v>
          </cell>
        </row>
        <row r="358">
          <cell r="G358"/>
          <cell r="H358"/>
          <cell r="I358"/>
          <cell r="J358"/>
          <cell r="K358"/>
          <cell r="L358"/>
          <cell r="M358" t="str">
            <v xml:space="preserve"> </v>
          </cell>
          <cell r="N358" t="str">
            <v/>
          </cell>
          <cell r="Q358" t="str">
            <v>MTSS Total</v>
          </cell>
          <cell r="R358"/>
          <cell r="S358"/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/>
          <cell r="AW358">
            <v>0</v>
          </cell>
          <cell r="AX358">
            <v>151549</v>
          </cell>
          <cell r="AY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O358">
            <v>0</v>
          </cell>
          <cell r="BP358">
            <v>0</v>
          </cell>
          <cell r="BQ358">
            <v>-4490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-4490</v>
          </cell>
          <cell r="BX358">
            <v>0</v>
          </cell>
          <cell r="BY358">
            <v>147059</v>
          </cell>
          <cell r="BZ358"/>
          <cell r="CA358">
            <v>0</v>
          </cell>
          <cell r="CB358">
            <v>361719</v>
          </cell>
          <cell r="CC358"/>
          <cell r="CD358">
            <v>0</v>
          </cell>
          <cell r="CE358">
            <v>0</v>
          </cell>
          <cell r="CF358">
            <v>0</v>
          </cell>
          <cell r="CG358">
            <v>-9413</v>
          </cell>
          <cell r="CH358">
            <v>0</v>
          </cell>
          <cell r="CI358">
            <v>0</v>
          </cell>
          <cell r="CJ358">
            <v>0</v>
          </cell>
          <cell r="CK358">
            <v>-145.08000000000001</v>
          </cell>
          <cell r="CL358">
            <v>0</v>
          </cell>
          <cell r="CM358">
            <v>-2107.34</v>
          </cell>
          <cell r="CN358">
            <v>0</v>
          </cell>
          <cell r="CO358">
            <v>-616.13</v>
          </cell>
          <cell r="CP358">
            <v>0</v>
          </cell>
          <cell r="CQ358">
            <v>-5217.2700000000004</v>
          </cell>
          <cell r="CR358">
            <v>0</v>
          </cell>
          <cell r="CS358">
            <v>0</v>
          </cell>
          <cell r="CT358">
            <v>0</v>
          </cell>
          <cell r="CU358">
            <v>-38768.230000000003</v>
          </cell>
          <cell r="CV358">
            <v>0</v>
          </cell>
          <cell r="CW358">
            <v>-12619.43</v>
          </cell>
          <cell r="CX358">
            <v>0</v>
          </cell>
          <cell r="CY358">
            <v>-23639.260000000002</v>
          </cell>
          <cell r="CZ358">
            <v>0</v>
          </cell>
          <cell r="DA358">
            <v>-90770.62</v>
          </cell>
        </row>
        <row r="359">
          <cell r="G359"/>
          <cell r="H359"/>
          <cell r="I359"/>
          <cell r="J359"/>
          <cell r="K359"/>
          <cell r="L359"/>
          <cell r="M359" t="str">
            <v xml:space="preserve"> </v>
          </cell>
          <cell r="N359" t="str">
            <v/>
          </cell>
          <cell r="Q359"/>
          <cell r="R359"/>
          <cell r="S359"/>
          <cell r="T359"/>
          <cell r="U359"/>
          <cell r="V359"/>
          <cell r="W359"/>
          <cell r="X359"/>
          <cell r="Y359"/>
          <cell r="Z359"/>
          <cell r="AA359"/>
          <cell r="AB359"/>
          <cell r="AC359"/>
          <cell r="AD359"/>
          <cell r="AE359"/>
          <cell r="AF359"/>
          <cell r="AG359"/>
          <cell r="AH359"/>
          <cell r="AI359"/>
          <cell r="AJ359"/>
          <cell r="AK359"/>
          <cell r="AL359"/>
          <cell r="AM359"/>
          <cell r="AN359"/>
          <cell r="AO359"/>
          <cell r="AP359"/>
          <cell r="AQ359"/>
          <cell r="AR359"/>
          <cell r="AS359"/>
          <cell r="AT359"/>
          <cell r="AU359"/>
          <cell r="AV359"/>
          <cell r="AW359"/>
          <cell r="AX359"/>
          <cell r="AY359"/>
          <cell r="AZ359"/>
          <cell r="BA359"/>
          <cell r="BB359"/>
          <cell r="BC359"/>
          <cell r="BD359"/>
          <cell r="BE359"/>
          <cell r="BF359"/>
          <cell r="BG359"/>
          <cell r="BH359"/>
          <cell r="BI359"/>
          <cell r="BJ359"/>
          <cell r="BK359"/>
          <cell r="BL359"/>
          <cell r="BM359"/>
          <cell r="BN359"/>
          <cell r="BO359"/>
          <cell r="BP359"/>
          <cell r="BQ359"/>
          <cell r="BR359"/>
          <cell r="BS359"/>
          <cell r="BT359"/>
          <cell r="BU359"/>
          <cell r="BV359"/>
          <cell r="BW359"/>
          <cell r="BX359"/>
          <cell r="BY359"/>
          <cell r="BZ359"/>
          <cell r="CA359"/>
          <cell r="CB359"/>
          <cell r="CC359"/>
          <cell r="CD359"/>
          <cell r="CE359"/>
          <cell r="CF359"/>
          <cell r="CG359"/>
          <cell r="CH359"/>
          <cell r="CI359"/>
          <cell r="CJ359"/>
          <cell r="CK359"/>
          <cell r="CL359"/>
          <cell r="CM359"/>
          <cell r="CN359"/>
          <cell r="CO359"/>
          <cell r="CP359"/>
          <cell r="CQ359"/>
          <cell r="CR359"/>
          <cell r="CS359"/>
          <cell r="CT359"/>
          <cell r="CU359"/>
          <cell r="CV359"/>
          <cell r="CW359"/>
          <cell r="CX359"/>
          <cell r="CY359"/>
          <cell r="CZ359"/>
          <cell r="DA359"/>
        </row>
        <row r="360">
          <cell r="F360"/>
          <cell r="G360"/>
          <cell r="H360"/>
          <cell r="I360"/>
          <cell r="J360"/>
          <cell r="K360"/>
          <cell r="L360"/>
          <cell r="M360"/>
          <cell r="N360" t="str">
            <v>00100263School Turnaround Leaders Program</v>
          </cell>
          <cell r="O360"/>
          <cell r="P360" t="str">
            <v>5010</v>
          </cell>
          <cell r="Q360"/>
          <cell r="R360"/>
          <cell r="S360"/>
          <cell r="T360"/>
          <cell r="U360"/>
          <cell r="V360"/>
          <cell r="W360"/>
          <cell r="X360"/>
          <cell r="Y360"/>
          <cell r="Z360"/>
          <cell r="AA360"/>
          <cell r="AB360"/>
          <cell r="AC360"/>
          <cell r="AD360"/>
          <cell r="AE360"/>
          <cell r="AF360"/>
          <cell r="AG360"/>
          <cell r="AH360"/>
          <cell r="AI360"/>
          <cell r="AJ360"/>
          <cell r="AK360"/>
          <cell r="AL360"/>
          <cell r="AM360"/>
          <cell r="AN360"/>
          <cell r="AO360"/>
          <cell r="AP360"/>
          <cell r="AQ360"/>
          <cell r="AR360"/>
          <cell r="AS360"/>
          <cell r="AT360"/>
          <cell r="AU360"/>
          <cell r="AV360"/>
          <cell r="AW360"/>
          <cell r="AX360"/>
          <cell r="AY360"/>
          <cell r="AZ360"/>
          <cell r="BA360"/>
          <cell r="BB360"/>
          <cell r="BC360"/>
          <cell r="BD360"/>
          <cell r="BE360"/>
          <cell r="BF360"/>
          <cell r="BG360"/>
          <cell r="BH360"/>
          <cell r="BI360"/>
          <cell r="BJ360"/>
          <cell r="BK360"/>
          <cell r="BL360"/>
          <cell r="BM360"/>
          <cell r="BN360"/>
          <cell r="BO360"/>
          <cell r="BP360"/>
          <cell r="BQ360"/>
          <cell r="BR360"/>
          <cell r="BS360"/>
          <cell r="BT360"/>
          <cell r="BU360"/>
          <cell r="BV360"/>
          <cell r="BW360"/>
          <cell r="BX360"/>
          <cell r="BY360"/>
          <cell r="BZ360"/>
          <cell r="CA360"/>
          <cell r="CB360"/>
          <cell r="CC360"/>
          <cell r="CD360"/>
          <cell r="CE360"/>
          <cell r="CF360"/>
          <cell r="CG360"/>
          <cell r="CH360"/>
          <cell r="CI360"/>
          <cell r="CJ360"/>
          <cell r="CK360"/>
          <cell r="CL360"/>
          <cell r="CM360"/>
          <cell r="CN360"/>
          <cell r="CO360"/>
          <cell r="CP360"/>
          <cell r="CQ360"/>
          <cell r="CR360"/>
          <cell r="CS360"/>
          <cell r="CT360"/>
          <cell r="CU360"/>
          <cell r="CV360"/>
          <cell r="CW360"/>
          <cell r="CX360"/>
          <cell r="CY360"/>
          <cell r="CZ360"/>
          <cell r="DA360"/>
        </row>
        <row r="361">
          <cell r="G361"/>
          <cell r="H361"/>
          <cell r="I361"/>
          <cell r="J361"/>
          <cell r="K361"/>
          <cell r="L361"/>
          <cell r="M361"/>
          <cell r="N361" t="str">
            <v>01408064School Turnaround Leaders Program</v>
          </cell>
          <cell r="P361" t="str">
            <v>5010</v>
          </cell>
          <cell r="Q361"/>
          <cell r="R361"/>
          <cell r="S361"/>
          <cell r="T361"/>
          <cell r="U361"/>
          <cell r="V361"/>
          <cell r="W361"/>
          <cell r="X361"/>
          <cell r="Y361"/>
          <cell r="Z361"/>
          <cell r="AA361"/>
          <cell r="AB361"/>
          <cell r="AC361"/>
          <cell r="AD361"/>
          <cell r="AE361"/>
          <cell r="AF361"/>
          <cell r="AG361"/>
          <cell r="AH361"/>
          <cell r="AI361"/>
          <cell r="AJ361"/>
          <cell r="AK361"/>
          <cell r="AL361"/>
          <cell r="AM361"/>
          <cell r="AN361"/>
          <cell r="AO361"/>
          <cell r="AP361"/>
          <cell r="AQ361"/>
          <cell r="AR361"/>
          <cell r="AS361"/>
          <cell r="AT361"/>
          <cell r="AU361"/>
          <cell r="AV361"/>
          <cell r="AW361"/>
          <cell r="AX361"/>
          <cell r="AY361"/>
          <cell r="AZ361"/>
          <cell r="BA361"/>
          <cell r="BB361"/>
          <cell r="BC361"/>
          <cell r="BD361"/>
          <cell r="BE361"/>
          <cell r="BF361"/>
          <cell r="BG361"/>
          <cell r="BH361"/>
          <cell r="BI361"/>
          <cell r="BJ361"/>
          <cell r="BK361"/>
          <cell r="BL361"/>
          <cell r="BM361"/>
          <cell r="BN361"/>
          <cell r="BO361"/>
          <cell r="BP361"/>
          <cell r="BQ361"/>
          <cell r="BR361"/>
          <cell r="BS361"/>
          <cell r="BT361"/>
          <cell r="BU361"/>
          <cell r="BV361"/>
          <cell r="BW361"/>
          <cell r="BX361"/>
          <cell r="BY361"/>
          <cell r="BZ361"/>
          <cell r="CA361"/>
          <cell r="CB361"/>
          <cell r="CC361"/>
          <cell r="CD361"/>
          <cell r="CE361"/>
          <cell r="CF361"/>
          <cell r="CG361"/>
          <cell r="CH361"/>
          <cell r="CI361"/>
          <cell r="CJ361"/>
          <cell r="CK361"/>
          <cell r="CL361"/>
          <cell r="CM361"/>
          <cell r="CN361"/>
          <cell r="CO361"/>
          <cell r="CP361"/>
          <cell r="CQ361"/>
          <cell r="CR361"/>
          <cell r="CS361"/>
          <cell r="CT361"/>
          <cell r="CU361"/>
          <cell r="CV361"/>
          <cell r="CW361"/>
          <cell r="CX361"/>
          <cell r="CY361"/>
          <cell r="CZ361"/>
          <cell r="DA361"/>
        </row>
        <row r="362">
          <cell r="G362"/>
          <cell r="H362"/>
          <cell r="I362"/>
          <cell r="J362"/>
          <cell r="K362"/>
          <cell r="L362"/>
          <cell r="M362"/>
          <cell r="N362" t="str">
            <v>02900443School Turnaround Leaders Program</v>
          </cell>
          <cell r="P362" t="str">
            <v>5010</v>
          </cell>
          <cell r="Q362"/>
          <cell r="R362"/>
          <cell r="S362"/>
          <cell r="T362"/>
          <cell r="U362"/>
          <cell r="V362"/>
          <cell r="W362"/>
          <cell r="X362"/>
          <cell r="Y362"/>
          <cell r="Z362"/>
          <cell r="AA362"/>
          <cell r="AB362"/>
          <cell r="AC362"/>
          <cell r="AD362"/>
          <cell r="AE362"/>
          <cell r="AF362"/>
          <cell r="AG362"/>
          <cell r="AH362"/>
          <cell r="AI362"/>
          <cell r="AJ362"/>
          <cell r="AK362"/>
          <cell r="AL362"/>
          <cell r="AM362"/>
          <cell r="AN362"/>
          <cell r="AO362"/>
          <cell r="AP362"/>
          <cell r="AQ362"/>
          <cell r="AR362"/>
          <cell r="AS362"/>
          <cell r="AT362"/>
          <cell r="AU362"/>
          <cell r="AV362"/>
          <cell r="AW362"/>
          <cell r="AX362"/>
          <cell r="AY362"/>
          <cell r="AZ362"/>
          <cell r="BA362"/>
          <cell r="BB362"/>
          <cell r="BC362"/>
          <cell r="BD362"/>
          <cell r="BE362"/>
          <cell r="BF362"/>
          <cell r="BG362"/>
          <cell r="BH362"/>
          <cell r="BI362"/>
          <cell r="BJ362"/>
          <cell r="BK362"/>
          <cell r="BL362"/>
          <cell r="BM362"/>
          <cell r="BN362"/>
          <cell r="BO362"/>
          <cell r="BP362"/>
          <cell r="BQ362"/>
          <cell r="BR362"/>
          <cell r="BS362"/>
          <cell r="BT362"/>
          <cell r="BU362"/>
          <cell r="BV362"/>
          <cell r="BW362"/>
          <cell r="BX362"/>
          <cell r="BY362"/>
          <cell r="BZ362"/>
          <cell r="CA362"/>
          <cell r="CB362"/>
          <cell r="CC362"/>
          <cell r="CD362"/>
          <cell r="CE362"/>
          <cell r="CF362"/>
          <cell r="CG362"/>
          <cell r="CH362"/>
          <cell r="CI362"/>
          <cell r="CJ362"/>
          <cell r="CK362"/>
          <cell r="CL362"/>
          <cell r="CM362"/>
          <cell r="CN362"/>
          <cell r="CO362"/>
          <cell r="CP362"/>
          <cell r="CQ362"/>
          <cell r="CR362"/>
          <cell r="CS362"/>
          <cell r="CT362"/>
          <cell r="CU362"/>
          <cell r="CV362"/>
          <cell r="CW362"/>
          <cell r="CX362"/>
          <cell r="CY362"/>
          <cell r="CZ362"/>
          <cell r="DA362"/>
        </row>
        <row r="363">
          <cell r="G363"/>
          <cell r="H363"/>
          <cell r="I363"/>
          <cell r="J363"/>
          <cell r="K363"/>
          <cell r="L363"/>
          <cell r="M363"/>
          <cell r="N363" t="str">
            <v>04804792School Turnaround Leaders Program</v>
          </cell>
          <cell r="P363" t="str">
            <v>5010</v>
          </cell>
          <cell r="Q363"/>
          <cell r="R363"/>
          <cell r="S363"/>
          <cell r="T363"/>
          <cell r="U363"/>
          <cell r="V363"/>
          <cell r="W363"/>
          <cell r="X363"/>
          <cell r="Y363"/>
          <cell r="Z363"/>
          <cell r="AA363"/>
          <cell r="AB363"/>
          <cell r="AC363"/>
          <cell r="AD363"/>
          <cell r="AE363"/>
          <cell r="AF363"/>
          <cell r="AG363"/>
          <cell r="AH363"/>
          <cell r="AI363"/>
          <cell r="AJ363"/>
          <cell r="AK363"/>
          <cell r="AL363"/>
          <cell r="AM363"/>
          <cell r="AN363"/>
          <cell r="AO363"/>
          <cell r="AP363"/>
          <cell r="AQ363"/>
          <cell r="AR363"/>
          <cell r="AS363"/>
          <cell r="AT363"/>
          <cell r="AU363"/>
          <cell r="AV363"/>
          <cell r="AW363"/>
          <cell r="AX363"/>
          <cell r="AY363"/>
          <cell r="AZ363"/>
          <cell r="BA363"/>
          <cell r="BB363"/>
          <cell r="BC363"/>
          <cell r="BD363"/>
          <cell r="BE363"/>
          <cell r="BF363"/>
          <cell r="BG363"/>
          <cell r="BH363"/>
          <cell r="BI363"/>
          <cell r="BJ363"/>
          <cell r="BK363"/>
          <cell r="BL363"/>
          <cell r="BM363"/>
          <cell r="BN363"/>
          <cell r="BO363"/>
          <cell r="BP363"/>
          <cell r="BQ363"/>
          <cell r="BR363"/>
          <cell r="BS363"/>
          <cell r="BT363"/>
          <cell r="BU363"/>
          <cell r="BV363"/>
          <cell r="BW363"/>
          <cell r="BX363"/>
          <cell r="BY363"/>
          <cell r="BZ363"/>
          <cell r="CA363"/>
          <cell r="CB363"/>
          <cell r="CC363"/>
          <cell r="CD363"/>
          <cell r="CE363"/>
          <cell r="CF363"/>
          <cell r="CG363"/>
          <cell r="CH363"/>
          <cell r="CI363"/>
          <cell r="CJ363"/>
          <cell r="CK363"/>
          <cell r="CL363"/>
          <cell r="CM363"/>
          <cell r="CN363"/>
          <cell r="CO363"/>
          <cell r="CP363"/>
          <cell r="CQ363"/>
          <cell r="CR363"/>
          <cell r="CS363"/>
          <cell r="CT363"/>
          <cell r="CU363"/>
          <cell r="CV363"/>
          <cell r="CW363"/>
          <cell r="CX363"/>
          <cell r="CY363"/>
          <cell r="CZ363"/>
          <cell r="DA363"/>
        </row>
        <row r="364">
          <cell r="F364" t="str">
            <v>09</v>
          </cell>
          <cell r="G364" t="str">
            <v>0</v>
          </cell>
          <cell r="H364" t="str">
            <v>0</v>
          </cell>
          <cell r="I364" t="str">
            <v>0</v>
          </cell>
          <cell r="J364" t="str">
            <v>0</v>
          </cell>
          <cell r="K364"/>
          <cell r="L364" t="str">
            <v>0000</v>
          </cell>
          <cell r="M364" t="str">
            <v>X</v>
          </cell>
          <cell r="N364" t="str">
            <v>0480N/ASchool Turnaround Leaders Program</v>
          </cell>
          <cell r="O364"/>
          <cell r="P364" t="str">
            <v>5010</v>
          </cell>
          <cell r="Q364" t="str">
            <v>70*C</v>
          </cell>
          <cell r="R364">
            <v>43168</v>
          </cell>
          <cell r="S364">
            <v>43168</v>
          </cell>
          <cell r="T364"/>
          <cell r="U364"/>
          <cell r="V364"/>
          <cell r="W364"/>
          <cell r="X364"/>
          <cell r="Y364"/>
          <cell r="Z364"/>
          <cell r="AA364"/>
          <cell r="AB364"/>
          <cell r="AC364"/>
          <cell r="AD364"/>
          <cell r="AE364"/>
          <cell r="AF364"/>
          <cell r="AG364"/>
          <cell r="AH364"/>
          <cell r="AI364"/>
          <cell r="AJ364"/>
          <cell r="AK364"/>
          <cell r="AL364"/>
          <cell r="AM364"/>
          <cell r="AN364"/>
          <cell r="AO364"/>
          <cell r="AP364"/>
          <cell r="AQ364"/>
          <cell r="AR364"/>
          <cell r="AS364">
            <v>0</v>
          </cell>
          <cell r="AT364">
            <v>0</v>
          </cell>
          <cell r="AU364">
            <v>0</v>
          </cell>
          <cell r="AV364" t="str">
            <v>S010A170006</v>
          </cell>
          <cell r="AW364"/>
          <cell r="AX364"/>
          <cell r="AY364"/>
          <cell r="AZ364"/>
          <cell r="BA364"/>
          <cell r="BB364"/>
          <cell r="BC364"/>
          <cell r="BD364"/>
          <cell r="BE364"/>
          <cell r="BF364"/>
          <cell r="BG364"/>
          <cell r="BH364"/>
          <cell r="BI364"/>
          <cell r="BJ364"/>
          <cell r="BK364"/>
          <cell r="BL364"/>
          <cell r="BM364"/>
          <cell r="BN364"/>
          <cell r="BO364"/>
          <cell r="BP364"/>
          <cell r="BQ364"/>
          <cell r="BR364"/>
          <cell r="BS364"/>
          <cell r="BT364"/>
          <cell r="BU364"/>
          <cell r="BV364"/>
          <cell r="BW364">
            <v>0</v>
          </cell>
          <cell r="BX364">
            <v>0</v>
          </cell>
          <cell r="BY364">
            <v>0</v>
          </cell>
          <cell r="BZ364" t="str">
            <v>S010A180006</v>
          </cell>
          <cell r="CA364"/>
          <cell r="CB364">
            <v>96161</v>
          </cell>
          <cell r="CC364"/>
          <cell r="CD364"/>
          <cell r="CE364"/>
          <cell r="CF364"/>
          <cell r="CG364"/>
          <cell r="CH364"/>
          <cell r="CI364"/>
          <cell r="CJ364"/>
          <cell r="CK364"/>
          <cell r="CL364"/>
          <cell r="CM364"/>
          <cell r="CN364"/>
          <cell r="CO364"/>
          <cell r="CP364"/>
          <cell r="CQ364"/>
          <cell r="CR364"/>
          <cell r="CS364">
            <v>-14920</v>
          </cell>
          <cell r="CT364"/>
          <cell r="CU364"/>
          <cell r="CV364"/>
          <cell r="CW364"/>
          <cell r="CX364"/>
          <cell r="CY364">
            <v>-38005.440000000002</v>
          </cell>
          <cell r="CZ364"/>
          <cell r="DA364"/>
        </row>
        <row r="365">
          <cell r="F365" t="str">
            <v>09</v>
          </cell>
          <cell r="G365" t="str">
            <v>0</v>
          </cell>
          <cell r="H365" t="str">
            <v>1</v>
          </cell>
          <cell r="I365" t="str">
            <v>0</v>
          </cell>
          <cell r="J365" t="str">
            <v>0</v>
          </cell>
          <cell r="K365"/>
          <cell r="L365" t="str">
            <v>0100</v>
          </cell>
          <cell r="M365" t="str">
            <v>02</v>
          </cell>
          <cell r="N365" t="str">
            <v>08800067School Turnaround Leaders Program</v>
          </cell>
          <cell r="P365" t="str">
            <v>5010</v>
          </cell>
          <cell r="Q365" t="str">
            <v>70*C</v>
          </cell>
          <cell r="R365"/>
          <cell r="S365"/>
          <cell r="T365"/>
          <cell r="U365"/>
          <cell r="V365"/>
          <cell r="W365"/>
          <cell r="X365"/>
          <cell r="Y365"/>
          <cell r="Z365"/>
          <cell r="AA365"/>
          <cell r="AB365"/>
          <cell r="AC365"/>
          <cell r="AD365"/>
          <cell r="AE365"/>
          <cell r="AF365"/>
          <cell r="AG365"/>
          <cell r="AH365"/>
          <cell r="AI365"/>
          <cell r="AJ365"/>
          <cell r="AK365"/>
          <cell r="AL365"/>
          <cell r="AM365"/>
          <cell r="AN365"/>
          <cell r="AO365"/>
          <cell r="AP365"/>
          <cell r="AQ365"/>
          <cell r="AR365"/>
          <cell r="AS365"/>
          <cell r="AT365"/>
          <cell r="AU365"/>
          <cell r="AV365" t="str">
            <v>S010A180006</v>
          </cell>
          <cell r="AW365"/>
          <cell r="AX365">
            <v>21560</v>
          </cell>
          <cell r="AY365"/>
          <cell r="AZ365"/>
          <cell r="BA365"/>
          <cell r="BB365"/>
          <cell r="BC365"/>
          <cell r="BD365"/>
          <cell r="BE365"/>
          <cell r="BF365"/>
          <cell r="BG365"/>
          <cell r="BH365"/>
          <cell r="BI365"/>
          <cell r="BJ365"/>
          <cell r="BK365"/>
          <cell r="BL365"/>
          <cell r="BM365"/>
          <cell r="BN365"/>
          <cell r="BO365"/>
          <cell r="BP365"/>
          <cell r="BQ365"/>
          <cell r="BR365"/>
          <cell r="BS365"/>
          <cell r="BT365"/>
          <cell r="BU365"/>
          <cell r="BV365"/>
          <cell r="BW365">
            <v>0</v>
          </cell>
          <cell r="BX365">
            <v>0</v>
          </cell>
          <cell r="BY365">
            <v>21560</v>
          </cell>
          <cell r="CA365"/>
          <cell r="CB365"/>
          <cell r="CC365"/>
          <cell r="CD365"/>
          <cell r="CE365"/>
          <cell r="CF365"/>
          <cell r="CG365"/>
          <cell r="CH365"/>
          <cell r="CI365"/>
          <cell r="CJ365"/>
          <cell r="CK365"/>
          <cell r="CL365"/>
          <cell r="CM365"/>
          <cell r="CN365"/>
          <cell r="CO365"/>
          <cell r="CP365"/>
          <cell r="CQ365"/>
          <cell r="CR365"/>
          <cell r="CS365"/>
          <cell r="CT365"/>
          <cell r="CU365"/>
          <cell r="CV365"/>
          <cell r="CW365"/>
          <cell r="CX365"/>
          <cell r="CY365"/>
          <cell r="CZ365"/>
          <cell r="DA365"/>
        </row>
        <row r="366">
          <cell r="G366"/>
          <cell r="H366"/>
          <cell r="I366"/>
          <cell r="J366"/>
          <cell r="K366"/>
          <cell r="L366"/>
          <cell r="M366"/>
          <cell r="N366" t="str">
            <v>08800067School Turnaround Leaders Program</v>
          </cell>
          <cell r="P366" t="str">
            <v>5010</v>
          </cell>
          <cell r="Q366"/>
          <cell r="R366"/>
          <cell r="S366"/>
          <cell r="T366"/>
          <cell r="U366"/>
          <cell r="V366"/>
          <cell r="W366"/>
          <cell r="X366"/>
          <cell r="Y366"/>
          <cell r="Z366"/>
          <cell r="AA366"/>
          <cell r="AB366"/>
          <cell r="AC366"/>
          <cell r="AD366"/>
          <cell r="AE366"/>
          <cell r="AF366"/>
          <cell r="AG366"/>
          <cell r="AH366"/>
          <cell r="AI366"/>
          <cell r="AJ366"/>
          <cell r="AK366"/>
          <cell r="AL366"/>
          <cell r="AM366"/>
          <cell r="AN366"/>
          <cell r="AO366"/>
          <cell r="AP366"/>
          <cell r="AQ366"/>
          <cell r="AR366"/>
          <cell r="AS366"/>
          <cell r="AT366"/>
          <cell r="AU366"/>
          <cell r="AV366"/>
          <cell r="AW366"/>
          <cell r="AX366"/>
          <cell r="AY366"/>
          <cell r="AZ366"/>
          <cell r="BA366"/>
          <cell r="BB366"/>
          <cell r="BC366"/>
          <cell r="BD366"/>
          <cell r="BE366"/>
          <cell r="BF366"/>
          <cell r="BG366"/>
          <cell r="BH366"/>
          <cell r="BI366"/>
          <cell r="BJ366"/>
          <cell r="BK366"/>
          <cell r="BL366"/>
          <cell r="BM366"/>
          <cell r="BN366"/>
          <cell r="BO366"/>
          <cell r="BP366"/>
          <cell r="BQ366"/>
          <cell r="BR366"/>
          <cell r="BS366"/>
          <cell r="BT366"/>
          <cell r="BU366"/>
          <cell r="BV366"/>
          <cell r="BW366"/>
          <cell r="BX366"/>
          <cell r="BY366"/>
          <cell r="BZ366"/>
          <cell r="CA366"/>
          <cell r="CB366"/>
          <cell r="CC366"/>
          <cell r="CD366"/>
          <cell r="CE366"/>
          <cell r="CF366"/>
          <cell r="CG366"/>
          <cell r="CH366"/>
          <cell r="CI366"/>
          <cell r="CJ366"/>
          <cell r="CK366"/>
          <cell r="CL366"/>
          <cell r="CM366"/>
          <cell r="CN366"/>
          <cell r="CO366"/>
          <cell r="CP366"/>
          <cell r="CQ366"/>
          <cell r="CR366"/>
          <cell r="CS366"/>
          <cell r="CT366"/>
          <cell r="CU366"/>
          <cell r="CV366"/>
          <cell r="CW366"/>
          <cell r="CX366"/>
          <cell r="CY366"/>
          <cell r="CZ366"/>
          <cell r="DA366"/>
        </row>
        <row r="367">
          <cell r="F367" t="str">
            <v>09</v>
          </cell>
          <cell r="G367" t="str">
            <v>0</v>
          </cell>
          <cell r="H367" t="str">
            <v>1</v>
          </cell>
          <cell r="I367" t="str">
            <v>0</v>
          </cell>
          <cell r="J367" t="str">
            <v>0</v>
          </cell>
          <cell r="K367"/>
          <cell r="L367" t="str">
            <v>0100</v>
          </cell>
          <cell r="M367" t="str">
            <v>02</v>
          </cell>
          <cell r="N367" t="str">
            <v>08800220School Turnaround Leaders Program</v>
          </cell>
          <cell r="P367" t="str">
            <v>5010</v>
          </cell>
          <cell r="Q367" t="str">
            <v>70*C</v>
          </cell>
          <cell r="R367"/>
          <cell r="S367"/>
          <cell r="T367"/>
          <cell r="U367"/>
          <cell r="V367"/>
          <cell r="W367"/>
          <cell r="X367"/>
          <cell r="Y367"/>
          <cell r="Z367"/>
          <cell r="AA367"/>
          <cell r="AB367"/>
          <cell r="AC367"/>
          <cell r="AD367"/>
          <cell r="AE367"/>
          <cell r="AF367"/>
          <cell r="AG367"/>
          <cell r="AH367"/>
          <cell r="AI367"/>
          <cell r="AJ367"/>
          <cell r="AK367"/>
          <cell r="AL367"/>
          <cell r="AM367"/>
          <cell r="AN367"/>
          <cell r="AO367"/>
          <cell r="AP367"/>
          <cell r="AQ367"/>
          <cell r="AR367"/>
          <cell r="AS367"/>
          <cell r="AT367"/>
          <cell r="AU367"/>
          <cell r="AV367" t="str">
            <v>S010A180006</v>
          </cell>
          <cell r="AW367"/>
          <cell r="AX367">
            <v>25053</v>
          </cell>
          <cell r="AY367"/>
          <cell r="AZ367"/>
          <cell r="BA367"/>
          <cell r="BB367"/>
          <cell r="BC367"/>
          <cell r="BD367"/>
          <cell r="BE367"/>
          <cell r="BF367"/>
          <cell r="BG367"/>
          <cell r="BH367"/>
          <cell r="BI367"/>
          <cell r="BJ367"/>
          <cell r="BK367"/>
          <cell r="BL367"/>
          <cell r="BM367"/>
          <cell r="BN367"/>
          <cell r="BO367"/>
          <cell r="BP367"/>
          <cell r="BQ367"/>
          <cell r="BR367"/>
          <cell r="BS367"/>
          <cell r="BT367"/>
          <cell r="BU367"/>
          <cell r="BV367"/>
          <cell r="BW367">
            <v>0</v>
          </cell>
          <cell r="BX367">
            <v>0</v>
          </cell>
          <cell r="BY367">
            <v>25053</v>
          </cell>
          <cell r="CA367"/>
          <cell r="CB367"/>
          <cell r="CC367"/>
          <cell r="CD367"/>
          <cell r="CE367"/>
          <cell r="CF367"/>
          <cell r="CG367"/>
          <cell r="CH367"/>
          <cell r="CI367"/>
          <cell r="CJ367"/>
          <cell r="CK367"/>
          <cell r="CL367"/>
          <cell r="CM367">
            <v>-19404</v>
          </cell>
          <cell r="CN367"/>
          <cell r="CO367"/>
          <cell r="CP367"/>
          <cell r="CQ367"/>
          <cell r="CR367"/>
          <cell r="CS367"/>
          <cell r="CT367"/>
          <cell r="CU367"/>
          <cell r="CV367"/>
          <cell r="CW367"/>
          <cell r="CX367"/>
          <cell r="CY367"/>
          <cell r="CZ367"/>
          <cell r="DA367"/>
        </row>
        <row r="368">
          <cell r="F368" t="str">
            <v>09</v>
          </cell>
          <cell r="G368" t="str">
            <v>0</v>
          </cell>
          <cell r="H368" t="str">
            <v>1</v>
          </cell>
          <cell r="I368" t="str">
            <v>0</v>
          </cell>
          <cell r="J368" t="str">
            <v>0</v>
          </cell>
          <cell r="K368"/>
          <cell r="L368" t="str">
            <v>0100</v>
          </cell>
          <cell r="M368" t="str">
            <v>02</v>
          </cell>
          <cell r="N368" t="str">
            <v>08800520School Turnaround Leaders Program</v>
          </cell>
          <cell r="P368" t="str">
            <v>5010</v>
          </cell>
          <cell r="Q368" t="str">
            <v>70*C</v>
          </cell>
          <cell r="R368"/>
          <cell r="S368"/>
          <cell r="T368"/>
          <cell r="U368"/>
          <cell r="V368"/>
          <cell r="W368"/>
          <cell r="X368"/>
          <cell r="Y368"/>
          <cell r="Z368"/>
          <cell r="AA368"/>
          <cell r="AB368"/>
          <cell r="AC368"/>
          <cell r="AD368"/>
          <cell r="AE368"/>
          <cell r="AF368"/>
          <cell r="AG368"/>
          <cell r="AH368"/>
          <cell r="AI368"/>
          <cell r="AJ368"/>
          <cell r="AK368"/>
          <cell r="AL368"/>
          <cell r="AM368"/>
          <cell r="AN368"/>
          <cell r="AO368"/>
          <cell r="AP368"/>
          <cell r="AQ368"/>
          <cell r="AR368"/>
          <cell r="AS368"/>
          <cell r="AT368"/>
          <cell r="AU368"/>
          <cell r="AV368" t="str">
            <v>S010A180006</v>
          </cell>
          <cell r="AW368"/>
          <cell r="AX368">
            <v>101437</v>
          </cell>
          <cell r="AY368"/>
          <cell r="AZ368"/>
          <cell r="BA368"/>
          <cell r="BB368"/>
          <cell r="BC368"/>
          <cell r="BD368"/>
          <cell r="BE368"/>
          <cell r="BF368"/>
          <cell r="BG368"/>
          <cell r="BH368"/>
          <cell r="BI368"/>
          <cell r="BJ368"/>
          <cell r="BK368"/>
          <cell r="BL368"/>
          <cell r="BM368"/>
          <cell r="BN368"/>
          <cell r="BO368"/>
          <cell r="BP368"/>
          <cell r="BQ368"/>
          <cell r="BR368"/>
          <cell r="BS368"/>
          <cell r="BT368"/>
          <cell r="BU368"/>
          <cell r="BV368"/>
          <cell r="BW368">
            <v>0</v>
          </cell>
          <cell r="BX368">
            <v>0</v>
          </cell>
          <cell r="BY368">
            <v>101437</v>
          </cell>
          <cell r="CA368"/>
          <cell r="CB368"/>
          <cell r="CC368"/>
          <cell r="CD368"/>
          <cell r="CE368"/>
          <cell r="CF368"/>
          <cell r="CG368"/>
          <cell r="CH368"/>
          <cell r="CI368"/>
          <cell r="CJ368"/>
          <cell r="CK368"/>
          <cell r="CL368"/>
          <cell r="CM368"/>
          <cell r="CN368"/>
          <cell r="CO368"/>
          <cell r="CP368"/>
          <cell r="CQ368"/>
          <cell r="CR368"/>
          <cell r="CS368"/>
          <cell r="CT368"/>
          <cell r="CU368"/>
          <cell r="CV368"/>
          <cell r="CW368"/>
          <cell r="CX368"/>
          <cell r="CY368"/>
          <cell r="CZ368"/>
          <cell r="DA368"/>
        </row>
        <row r="369">
          <cell r="F369" t="str">
            <v>09</v>
          </cell>
          <cell r="G369" t="str">
            <v>0</v>
          </cell>
          <cell r="H369" t="str">
            <v>0</v>
          </cell>
          <cell r="I369" t="str">
            <v>1</v>
          </cell>
          <cell r="J369" t="str">
            <v>0</v>
          </cell>
          <cell r="K369"/>
          <cell r="L369" t="str">
            <v>0010</v>
          </cell>
          <cell r="M369" t="str">
            <v>03</v>
          </cell>
          <cell r="N369" t="str">
            <v>08801748School Turnaround Leaders Program</v>
          </cell>
          <cell r="O369"/>
          <cell r="P369" t="str">
            <v>5010</v>
          </cell>
          <cell r="Q369" t="str">
            <v>70*C</v>
          </cell>
          <cell r="R369"/>
          <cell r="S369"/>
          <cell r="T369"/>
          <cell r="U369"/>
          <cell r="V369"/>
          <cell r="W369"/>
          <cell r="X369"/>
          <cell r="Y369"/>
          <cell r="Z369"/>
          <cell r="AA369"/>
          <cell r="AB369"/>
          <cell r="AC369"/>
          <cell r="AD369"/>
          <cell r="AE369"/>
          <cell r="AF369"/>
          <cell r="AG369"/>
          <cell r="AH369"/>
          <cell r="AI369"/>
          <cell r="AJ369"/>
          <cell r="AK369"/>
          <cell r="AL369"/>
          <cell r="AM369"/>
          <cell r="AN369"/>
          <cell r="AO369"/>
          <cell r="AP369"/>
          <cell r="AQ369"/>
          <cell r="AR369"/>
          <cell r="AS369"/>
          <cell r="AT369"/>
          <cell r="AU369"/>
          <cell r="AV369"/>
          <cell r="AW369"/>
          <cell r="AX369"/>
          <cell r="AY369"/>
          <cell r="AZ369"/>
          <cell r="BA369"/>
          <cell r="BB369"/>
          <cell r="BC369"/>
          <cell r="BD369"/>
          <cell r="BE369"/>
          <cell r="BF369"/>
          <cell r="BG369"/>
          <cell r="BH369"/>
          <cell r="BI369"/>
          <cell r="BJ369"/>
          <cell r="BK369"/>
          <cell r="BL369"/>
          <cell r="BM369"/>
          <cell r="BN369"/>
          <cell r="BO369"/>
          <cell r="BP369"/>
          <cell r="BQ369"/>
          <cell r="BR369"/>
          <cell r="BS369"/>
          <cell r="BT369"/>
          <cell r="BU369"/>
          <cell r="BV369"/>
          <cell r="BW369">
            <v>0</v>
          </cell>
          <cell r="BX369">
            <v>0</v>
          </cell>
          <cell r="BY369">
            <v>0</v>
          </cell>
          <cell r="BZ369"/>
          <cell r="CA369"/>
          <cell r="CB369"/>
          <cell r="CC369"/>
          <cell r="CD369">
            <v>56853.1</v>
          </cell>
          <cell r="CE369"/>
          <cell r="CF369"/>
          <cell r="CG369"/>
          <cell r="CH369"/>
          <cell r="CI369"/>
          <cell r="CJ369"/>
          <cell r="CK369"/>
          <cell r="CL369"/>
          <cell r="CM369"/>
          <cell r="CN369"/>
          <cell r="CO369"/>
          <cell r="CP369"/>
          <cell r="CQ369"/>
          <cell r="CR369"/>
          <cell r="CS369"/>
          <cell r="CT369"/>
          <cell r="CU369"/>
          <cell r="CV369"/>
          <cell r="CW369"/>
          <cell r="CX369"/>
          <cell r="CY369"/>
          <cell r="CZ369"/>
          <cell r="DA369"/>
        </row>
        <row r="370">
          <cell r="G370"/>
          <cell r="H370"/>
          <cell r="I370"/>
          <cell r="J370"/>
          <cell r="K370"/>
          <cell r="L370"/>
          <cell r="M370"/>
          <cell r="N370" t="str">
            <v>08801748School Turnaround Leaders Program</v>
          </cell>
          <cell r="P370" t="str">
            <v>5010</v>
          </cell>
          <cell r="Q370"/>
          <cell r="R370"/>
          <cell r="S370"/>
          <cell r="T370"/>
          <cell r="U370"/>
          <cell r="V370"/>
          <cell r="W370"/>
          <cell r="X370"/>
          <cell r="Y370"/>
          <cell r="Z370"/>
          <cell r="AA370"/>
          <cell r="AB370"/>
          <cell r="AC370"/>
          <cell r="AD370"/>
          <cell r="AE370"/>
          <cell r="AF370"/>
          <cell r="AG370"/>
          <cell r="AH370"/>
          <cell r="AI370"/>
          <cell r="AJ370"/>
          <cell r="AK370"/>
          <cell r="AL370"/>
          <cell r="AM370"/>
          <cell r="AN370"/>
          <cell r="AO370"/>
          <cell r="AP370"/>
          <cell r="AQ370"/>
          <cell r="AR370"/>
          <cell r="AS370"/>
          <cell r="AT370"/>
          <cell r="AU370"/>
          <cell r="AV370"/>
          <cell r="AW370"/>
          <cell r="AX370"/>
          <cell r="AY370"/>
          <cell r="AZ370"/>
          <cell r="BA370"/>
          <cell r="BB370"/>
          <cell r="BC370"/>
          <cell r="BD370"/>
          <cell r="BE370"/>
          <cell r="BF370"/>
          <cell r="BG370"/>
          <cell r="BH370"/>
          <cell r="BI370"/>
          <cell r="BJ370"/>
          <cell r="BK370"/>
          <cell r="BL370"/>
          <cell r="BM370"/>
          <cell r="BN370"/>
          <cell r="BO370"/>
          <cell r="BP370"/>
          <cell r="BQ370"/>
          <cell r="BR370"/>
          <cell r="BS370"/>
          <cell r="BT370"/>
          <cell r="BU370"/>
          <cell r="BV370"/>
          <cell r="BW370"/>
          <cell r="BX370"/>
          <cell r="BY370"/>
          <cell r="BZ370"/>
          <cell r="CA370"/>
          <cell r="CB370"/>
          <cell r="CC370"/>
          <cell r="CD370"/>
          <cell r="CE370"/>
          <cell r="CF370"/>
          <cell r="CG370"/>
          <cell r="CH370"/>
          <cell r="CI370"/>
          <cell r="CJ370"/>
          <cell r="CK370"/>
          <cell r="CL370"/>
          <cell r="CM370"/>
          <cell r="CN370"/>
          <cell r="CO370"/>
          <cell r="CP370"/>
          <cell r="CQ370"/>
          <cell r="CR370"/>
          <cell r="CS370"/>
          <cell r="CT370"/>
          <cell r="CU370"/>
          <cell r="CV370"/>
          <cell r="CW370"/>
          <cell r="CX370"/>
          <cell r="CY370"/>
          <cell r="CZ370"/>
          <cell r="DA370"/>
        </row>
        <row r="371">
          <cell r="F371" t="str">
            <v>09</v>
          </cell>
          <cell r="G371" t="str">
            <v>0</v>
          </cell>
          <cell r="H371" t="str">
            <v>1</v>
          </cell>
          <cell r="I371" t="str">
            <v>0</v>
          </cell>
          <cell r="J371" t="str">
            <v>0</v>
          </cell>
          <cell r="K371"/>
          <cell r="L371" t="str">
            <v>0100</v>
          </cell>
          <cell r="M371" t="str">
            <v>02</v>
          </cell>
          <cell r="N371" t="str">
            <v>08802129School Turnaround Leaders Program</v>
          </cell>
          <cell r="P371" t="str">
            <v>5010</v>
          </cell>
          <cell r="Q371" t="str">
            <v>70*C</v>
          </cell>
          <cell r="R371"/>
          <cell r="S371"/>
          <cell r="T371"/>
          <cell r="U371"/>
          <cell r="V371"/>
          <cell r="W371"/>
          <cell r="X371"/>
          <cell r="Y371"/>
          <cell r="Z371"/>
          <cell r="AA371"/>
          <cell r="AB371"/>
          <cell r="AC371"/>
          <cell r="AD371"/>
          <cell r="AE371"/>
          <cell r="AF371"/>
          <cell r="AG371"/>
          <cell r="AH371"/>
          <cell r="AI371"/>
          <cell r="AJ371"/>
          <cell r="AK371"/>
          <cell r="AL371"/>
          <cell r="AM371"/>
          <cell r="AN371"/>
          <cell r="AO371"/>
          <cell r="AP371"/>
          <cell r="AQ371"/>
          <cell r="AR371"/>
          <cell r="AS371"/>
          <cell r="AT371"/>
          <cell r="AU371"/>
          <cell r="AV371" t="str">
            <v>S010A180006</v>
          </cell>
          <cell r="AW371"/>
          <cell r="AX371">
            <v>25053</v>
          </cell>
          <cell r="AY371"/>
          <cell r="AZ371"/>
          <cell r="BA371"/>
          <cell r="BB371"/>
          <cell r="BC371"/>
          <cell r="BD371"/>
          <cell r="BE371"/>
          <cell r="BF371"/>
          <cell r="BG371"/>
          <cell r="BH371"/>
          <cell r="BI371"/>
          <cell r="BJ371"/>
          <cell r="BK371"/>
          <cell r="BL371"/>
          <cell r="BM371"/>
          <cell r="BN371"/>
          <cell r="BO371"/>
          <cell r="BP371"/>
          <cell r="BQ371"/>
          <cell r="BR371"/>
          <cell r="BS371"/>
          <cell r="BT371"/>
          <cell r="BU371"/>
          <cell r="BV371"/>
          <cell r="BW371">
            <v>0</v>
          </cell>
          <cell r="BX371">
            <v>0</v>
          </cell>
          <cell r="BY371">
            <v>25053</v>
          </cell>
          <cell r="CA371"/>
          <cell r="CB371"/>
          <cell r="CC371"/>
          <cell r="CD371"/>
          <cell r="CE371"/>
          <cell r="CF371"/>
          <cell r="CG371"/>
          <cell r="CH371"/>
          <cell r="CI371"/>
          <cell r="CJ371"/>
          <cell r="CK371"/>
          <cell r="CL371"/>
          <cell r="CM371"/>
          <cell r="CN371"/>
          <cell r="CO371"/>
          <cell r="CP371"/>
          <cell r="CQ371"/>
          <cell r="CR371"/>
          <cell r="CS371"/>
          <cell r="CT371"/>
          <cell r="CU371"/>
          <cell r="CV371"/>
          <cell r="CW371"/>
          <cell r="CX371"/>
          <cell r="CY371"/>
          <cell r="CZ371"/>
          <cell r="DA371"/>
        </row>
        <row r="372">
          <cell r="F372" t="str">
            <v>09</v>
          </cell>
          <cell r="G372" t="str">
            <v>0</v>
          </cell>
          <cell r="H372" t="str">
            <v>1</v>
          </cell>
          <cell r="I372" t="str">
            <v>0</v>
          </cell>
          <cell r="J372" t="str">
            <v>0</v>
          </cell>
          <cell r="K372"/>
          <cell r="L372" t="str">
            <v>0100</v>
          </cell>
          <cell r="M372" t="str">
            <v>02</v>
          </cell>
          <cell r="N372" t="str">
            <v>08802183School Turnaround Leaders Program</v>
          </cell>
          <cell r="P372" t="str">
            <v>5010</v>
          </cell>
          <cell r="Q372" t="str">
            <v>70*C</v>
          </cell>
          <cell r="R372"/>
          <cell r="S372"/>
          <cell r="T372"/>
          <cell r="U372"/>
          <cell r="V372"/>
          <cell r="W372"/>
          <cell r="X372"/>
          <cell r="Y372"/>
          <cell r="Z372"/>
          <cell r="AA372"/>
          <cell r="AB372"/>
          <cell r="AC372"/>
          <cell r="AD372"/>
          <cell r="AE372"/>
          <cell r="AF372"/>
          <cell r="AG372"/>
          <cell r="AH372"/>
          <cell r="AI372"/>
          <cell r="AJ372"/>
          <cell r="AK372"/>
          <cell r="AL372"/>
          <cell r="AM372"/>
          <cell r="AN372"/>
          <cell r="AO372"/>
          <cell r="AP372"/>
          <cell r="AQ372"/>
          <cell r="AR372"/>
          <cell r="AS372"/>
          <cell r="AT372"/>
          <cell r="AU372"/>
          <cell r="AV372" t="str">
            <v>S010A180006</v>
          </cell>
          <cell r="AW372"/>
          <cell r="AX372">
            <v>94153</v>
          </cell>
          <cell r="AY372"/>
          <cell r="AZ372"/>
          <cell r="BA372"/>
          <cell r="BB372"/>
          <cell r="BC372"/>
          <cell r="BD372"/>
          <cell r="BE372"/>
          <cell r="BF372"/>
          <cell r="BG372"/>
          <cell r="BH372"/>
          <cell r="BI372"/>
          <cell r="BJ372"/>
          <cell r="BK372"/>
          <cell r="BL372"/>
          <cell r="BM372"/>
          <cell r="BN372"/>
          <cell r="BO372"/>
          <cell r="BP372"/>
          <cell r="BQ372"/>
          <cell r="BR372"/>
          <cell r="BS372"/>
          <cell r="BT372"/>
          <cell r="BU372"/>
          <cell r="BV372"/>
          <cell r="BW372">
            <v>0</v>
          </cell>
          <cell r="BX372">
            <v>0</v>
          </cell>
          <cell r="BY372">
            <v>94153</v>
          </cell>
          <cell r="CA372"/>
          <cell r="CB372"/>
          <cell r="CC372"/>
          <cell r="CD372"/>
          <cell r="CE372"/>
          <cell r="CF372"/>
          <cell r="CG372"/>
          <cell r="CH372"/>
          <cell r="CI372"/>
          <cell r="CJ372"/>
          <cell r="CK372"/>
          <cell r="CL372"/>
          <cell r="CM372"/>
          <cell r="CN372"/>
          <cell r="CO372"/>
          <cell r="CP372"/>
          <cell r="CQ372"/>
          <cell r="CR372"/>
          <cell r="CS372"/>
          <cell r="CT372"/>
          <cell r="CU372"/>
          <cell r="CV372"/>
          <cell r="CW372"/>
          <cell r="CX372"/>
          <cell r="CY372"/>
          <cell r="CZ372"/>
          <cell r="DA372"/>
        </row>
        <row r="373">
          <cell r="F373" t="str">
            <v>09</v>
          </cell>
          <cell r="G373" t="str">
            <v>0</v>
          </cell>
          <cell r="H373" t="str">
            <v>1</v>
          </cell>
          <cell r="I373" t="str">
            <v>0</v>
          </cell>
          <cell r="J373" t="str">
            <v>0</v>
          </cell>
          <cell r="K373"/>
          <cell r="L373" t="str">
            <v>0100</v>
          </cell>
          <cell r="M373" t="str">
            <v>02</v>
          </cell>
          <cell r="N373" t="str">
            <v>08802209School Turnaround Leaders Program</v>
          </cell>
          <cell r="P373" t="str">
            <v>5010</v>
          </cell>
          <cell r="Q373" t="str">
            <v>70*C</v>
          </cell>
          <cell r="R373"/>
          <cell r="S373"/>
          <cell r="T373"/>
          <cell r="U373"/>
          <cell r="V373"/>
          <cell r="W373"/>
          <cell r="X373"/>
          <cell r="Y373"/>
          <cell r="Z373"/>
          <cell r="AA373"/>
          <cell r="AB373"/>
          <cell r="AC373"/>
          <cell r="AD373"/>
          <cell r="AE373"/>
          <cell r="AF373"/>
          <cell r="AG373"/>
          <cell r="AH373"/>
          <cell r="AI373"/>
          <cell r="AJ373"/>
          <cell r="AK373"/>
          <cell r="AL373"/>
          <cell r="AM373"/>
          <cell r="AN373"/>
          <cell r="AO373"/>
          <cell r="AP373"/>
          <cell r="AQ373"/>
          <cell r="AR373"/>
          <cell r="AS373"/>
          <cell r="AT373"/>
          <cell r="AU373"/>
          <cell r="AV373" t="str">
            <v>S010A180006</v>
          </cell>
          <cell r="AW373"/>
          <cell r="AX373">
            <v>94153</v>
          </cell>
          <cell r="AY373"/>
          <cell r="AZ373"/>
          <cell r="BA373"/>
          <cell r="BB373"/>
          <cell r="BC373"/>
          <cell r="BD373"/>
          <cell r="BE373"/>
          <cell r="BF373"/>
          <cell r="BG373"/>
          <cell r="BH373"/>
          <cell r="BI373"/>
          <cell r="BJ373"/>
          <cell r="BK373"/>
          <cell r="BL373"/>
          <cell r="BM373"/>
          <cell r="BN373"/>
          <cell r="BO373"/>
          <cell r="BP373"/>
          <cell r="BQ373"/>
          <cell r="BR373"/>
          <cell r="BS373"/>
          <cell r="BT373"/>
          <cell r="BU373"/>
          <cell r="BV373"/>
          <cell r="BW373">
            <v>0</v>
          </cell>
          <cell r="BX373">
            <v>0</v>
          </cell>
          <cell r="BY373">
            <v>94153</v>
          </cell>
          <cell r="CA373"/>
          <cell r="CB373"/>
          <cell r="CC373"/>
          <cell r="CD373"/>
          <cell r="CE373"/>
          <cell r="CF373"/>
          <cell r="CG373"/>
          <cell r="CH373"/>
          <cell r="CI373"/>
          <cell r="CJ373"/>
          <cell r="CK373"/>
          <cell r="CL373"/>
          <cell r="CM373">
            <v>-9702</v>
          </cell>
          <cell r="CN373"/>
          <cell r="CO373"/>
          <cell r="CP373"/>
          <cell r="CQ373"/>
          <cell r="CR373"/>
          <cell r="CS373"/>
          <cell r="CT373"/>
          <cell r="CU373"/>
          <cell r="CV373"/>
          <cell r="CW373"/>
          <cell r="CX373"/>
          <cell r="CY373"/>
          <cell r="CZ373"/>
          <cell r="DA373"/>
        </row>
        <row r="374">
          <cell r="G374"/>
          <cell r="H374"/>
          <cell r="I374"/>
          <cell r="J374"/>
          <cell r="K374"/>
          <cell r="L374"/>
          <cell r="M374"/>
          <cell r="N374" t="str">
            <v>08802209School Turnaround Leaders Program</v>
          </cell>
          <cell r="P374" t="str">
            <v>5010</v>
          </cell>
          <cell r="Q374"/>
          <cell r="R374"/>
          <cell r="S374"/>
          <cell r="T374"/>
          <cell r="U374"/>
          <cell r="V374"/>
          <cell r="W374"/>
          <cell r="X374"/>
          <cell r="Y374"/>
          <cell r="Z374"/>
          <cell r="AA374"/>
          <cell r="AB374"/>
          <cell r="AC374"/>
          <cell r="AD374"/>
          <cell r="AE374"/>
          <cell r="AF374"/>
          <cell r="AG374"/>
          <cell r="AH374"/>
          <cell r="AI374"/>
          <cell r="AJ374"/>
          <cell r="AK374"/>
          <cell r="AL374"/>
          <cell r="AM374"/>
          <cell r="AN374"/>
          <cell r="AO374"/>
          <cell r="AP374"/>
          <cell r="AQ374"/>
          <cell r="AR374"/>
          <cell r="AS374"/>
          <cell r="AT374"/>
          <cell r="AU374"/>
          <cell r="AV374"/>
          <cell r="AW374"/>
          <cell r="AX374"/>
          <cell r="AY374"/>
          <cell r="AZ374"/>
          <cell r="BA374"/>
          <cell r="BB374"/>
          <cell r="BC374"/>
          <cell r="BD374"/>
          <cell r="BE374"/>
          <cell r="BF374"/>
          <cell r="BG374"/>
          <cell r="BH374"/>
          <cell r="BI374"/>
          <cell r="BJ374"/>
          <cell r="BK374"/>
          <cell r="BL374"/>
          <cell r="BM374"/>
          <cell r="BN374"/>
          <cell r="BO374"/>
          <cell r="BP374"/>
          <cell r="BQ374"/>
          <cell r="BR374"/>
          <cell r="BS374"/>
          <cell r="BT374"/>
          <cell r="BU374"/>
          <cell r="BV374"/>
          <cell r="BW374"/>
          <cell r="BX374"/>
          <cell r="BY374"/>
          <cell r="BZ374"/>
          <cell r="CA374"/>
          <cell r="CB374"/>
          <cell r="CC374"/>
          <cell r="CD374"/>
          <cell r="CE374"/>
          <cell r="CF374"/>
          <cell r="CG374"/>
          <cell r="CH374"/>
          <cell r="CI374"/>
          <cell r="CJ374"/>
          <cell r="CK374"/>
          <cell r="CL374"/>
          <cell r="CM374"/>
          <cell r="CN374"/>
          <cell r="CO374"/>
          <cell r="CP374"/>
          <cell r="CQ374"/>
          <cell r="CR374"/>
          <cell r="CS374"/>
          <cell r="CT374"/>
          <cell r="CU374"/>
          <cell r="CV374"/>
          <cell r="CW374"/>
          <cell r="CX374"/>
          <cell r="CY374"/>
          <cell r="CZ374"/>
          <cell r="DA374"/>
        </row>
        <row r="375">
          <cell r="G375"/>
          <cell r="H375"/>
          <cell r="I375"/>
          <cell r="J375"/>
          <cell r="K375"/>
          <cell r="L375"/>
          <cell r="M375"/>
          <cell r="N375" t="str">
            <v>08802641School Turnaround Leaders Program</v>
          </cell>
          <cell r="P375" t="str">
            <v>5010</v>
          </cell>
          <cell r="Q375"/>
          <cell r="R375"/>
          <cell r="S375"/>
          <cell r="T375"/>
          <cell r="U375"/>
          <cell r="V375"/>
          <cell r="W375"/>
          <cell r="X375"/>
          <cell r="Y375"/>
          <cell r="Z375"/>
          <cell r="AA375"/>
          <cell r="AB375"/>
          <cell r="AC375"/>
          <cell r="AD375"/>
          <cell r="AE375"/>
          <cell r="AF375"/>
          <cell r="AG375"/>
          <cell r="AH375"/>
          <cell r="AI375"/>
          <cell r="AJ375"/>
          <cell r="AK375"/>
          <cell r="AL375"/>
          <cell r="AM375"/>
          <cell r="AN375"/>
          <cell r="AO375"/>
          <cell r="AP375"/>
          <cell r="AQ375"/>
          <cell r="AR375"/>
          <cell r="AS375"/>
          <cell r="AT375"/>
          <cell r="AU375"/>
          <cell r="AV375"/>
          <cell r="AW375"/>
          <cell r="AX375"/>
          <cell r="AY375"/>
          <cell r="AZ375"/>
          <cell r="BA375"/>
          <cell r="BB375"/>
          <cell r="BC375"/>
          <cell r="BD375"/>
          <cell r="BE375"/>
          <cell r="BF375"/>
          <cell r="BG375"/>
          <cell r="BH375"/>
          <cell r="BI375"/>
          <cell r="BJ375"/>
          <cell r="BK375"/>
          <cell r="BL375"/>
          <cell r="BM375"/>
          <cell r="BN375"/>
          <cell r="BO375"/>
          <cell r="BP375"/>
          <cell r="BQ375"/>
          <cell r="BR375"/>
          <cell r="BS375"/>
          <cell r="BT375"/>
          <cell r="BU375"/>
          <cell r="BV375"/>
          <cell r="BW375"/>
          <cell r="BX375"/>
          <cell r="BY375"/>
          <cell r="BZ375"/>
          <cell r="CA375"/>
          <cell r="CB375"/>
          <cell r="CC375"/>
          <cell r="CD375"/>
          <cell r="CE375"/>
          <cell r="CF375"/>
          <cell r="CG375"/>
          <cell r="CH375"/>
          <cell r="CI375"/>
          <cell r="CJ375"/>
          <cell r="CK375"/>
          <cell r="CL375"/>
          <cell r="CM375"/>
          <cell r="CN375"/>
          <cell r="CO375"/>
          <cell r="CP375"/>
          <cell r="CQ375"/>
          <cell r="CR375"/>
          <cell r="CS375"/>
          <cell r="CT375"/>
          <cell r="CU375"/>
          <cell r="CV375"/>
          <cell r="CW375"/>
          <cell r="CX375"/>
          <cell r="CY375"/>
          <cell r="CZ375"/>
          <cell r="DA375"/>
        </row>
        <row r="376">
          <cell r="F376" t="str">
            <v>09</v>
          </cell>
          <cell r="G376" t="str">
            <v>0</v>
          </cell>
          <cell r="H376" t="str">
            <v>1</v>
          </cell>
          <cell r="I376" t="str">
            <v>0</v>
          </cell>
          <cell r="J376" t="str">
            <v>0</v>
          </cell>
          <cell r="K376"/>
          <cell r="L376" t="str">
            <v>0100</v>
          </cell>
          <cell r="M376" t="str">
            <v>02</v>
          </cell>
          <cell r="N376" t="str">
            <v>08802757School Turnaround Leaders Program</v>
          </cell>
          <cell r="P376" t="str">
            <v>5010</v>
          </cell>
          <cell r="Q376" t="str">
            <v>70*C</v>
          </cell>
          <cell r="R376"/>
          <cell r="S376"/>
          <cell r="T376"/>
          <cell r="U376"/>
          <cell r="V376"/>
          <cell r="W376"/>
          <cell r="X376"/>
          <cell r="Y376"/>
          <cell r="Z376"/>
          <cell r="AA376"/>
          <cell r="AB376"/>
          <cell r="AC376"/>
          <cell r="AD376"/>
          <cell r="AE376"/>
          <cell r="AF376"/>
          <cell r="AG376"/>
          <cell r="AH376"/>
          <cell r="AI376"/>
          <cell r="AJ376"/>
          <cell r="AK376"/>
          <cell r="AL376"/>
          <cell r="AM376"/>
          <cell r="AN376"/>
          <cell r="AO376"/>
          <cell r="AP376"/>
          <cell r="AQ376"/>
          <cell r="AR376"/>
          <cell r="AS376"/>
          <cell r="AT376"/>
          <cell r="AU376"/>
          <cell r="AV376" t="str">
            <v>S010A180006</v>
          </cell>
          <cell r="AW376"/>
          <cell r="AX376">
            <v>25053</v>
          </cell>
          <cell r="AY376"/>
          <cell r="AZ376"/>
          <cell r="BA376"/>
          <cell r="BB376"/>
          <cell r="BC376"/>
          <cell r="BD376"/>
          <cell r="BE376"/>
          <cell r="BF376"/>
          <cell r="BG376"/>
          <cell r="BH376"/>
          <cell r="BI376"/>
          <cell r="BJ376"/>
          <cell r="BK376"/>
          <cell r="BL376"/>
          <cell r="BM376"/>
          <cell r="BN376"/>
          <cell r="BO376"/>
          <cell r="BP376"/>
          <cell r="BQ376"/>
          <cell r="BR376"/>
          <cell r="BS376"/>
          <cell r="BT376"/>
          <cell r="BU376"/>
          <cell r="BV376"/>
          <cell r="BW376">
            <v>0</v>
          </cell>
          <cell r="BX376">
            <v>0</v>
          </cell>
          <cell r="BY376">
            <v>25053</v>
          </cell>
          <cell r="CA376"/>
          <cell r="CB376"/>
          <cell r="CC376"/>
          <cell r="CD376"/>
          <cell r="CE376"/>
          <cell r="CF376"/>
          <cell r="CG376"/>
          <cell r="CH376"/>
          <cell r="CI376"/>
          <cell r="CJ376"/>
          <cell r="CK376"/>
          <cell r="CL376"/>
          <cell r="CM376">
            <v>-19404</v>
          </cell>
          <cell r="CN376"/>
          <cell r="CO376"/>
          <cell r="CP376"/>
          <cell r="CQ376"/>
          <cell r="CR376"/>
          <cell r="CS376"/>
          <cell r="CT376"/>
          <cell r="CU376"/>
          <cell r="CV376"/>
          <cell r="CW376"/>
          <cell r="CX376"/>
          <cell r="CY376"/>
          <cell r="CZ376"/>
          <cell r="DA376"/>
        </row>
        <row r="377">
          <cell r="F377" t="str">
            <v>09</v>
          </cell>
          <cell r="G377" t="str">
            <v>0</v>
          </cell>
          <cell r="H377" t="str">
            <v>1</v>
          </cell>
          <cell r="I377" t="str">
            <v>0</v>
          </cell>
          <cell r="J377" t="str">
            <v>0</v>
          </cell>
          <cell r="K377"/>
          <cell r="L377" t="str">
            <v>0100</v>
          </cell>
          <cell r="M377" t="str">
            <v>02</v>
          </cell>
          <cell r="N377" t="str">
            <v>08804444School Turnaround Leaders Program</v>
          </cell>
          <cell r="P377" t="str">
            <v>5010</v>
          </cell>
          <cell r="Q377" t="str">
            <v>70*C</v>
          </cell>
          <cell r="R377"/>
          <cell r="S377"/>
          <cell r="T377"/>
          <cell r="U377"/>
          <cell r="V377"/>
          <cell r="W377"/>
          <cell r="X377"/>
          <cell r="Y377"/>
          <cell r="Z377"/>
          <cell r="AA377"/>
          <cell r="AB377"/>
          <cell r="AC377"/>
          <cell r="AD377"/>
          <cell r="AE377"/>
          <cell r="AF377"/>
          <cell r="AG377"/>
          <cell r="AH377"/>
          <cell r="AI377"/>
          <cell r="AJ377"/>
          <cell r="AK377"/>
          <cell r="AL377"/>
          <cell r="AM377"/>
          <cell r="AN377"/>
          <cell r="AO377"/>
          <cell r="AP377"/>
          <cell r="AQ377"/>
          <cell r="AR377"/>
          <cell r="AS377"/>
          <cell r="AT377"/>
          <cell r="AU377"/>
          <cell r="AV377" t="str">
            <v>S010A180006</v>
          </cell>
          <cell r="AW377"/>
          <cell r="AX377">
            <v>25053</v>
          </cell>
          <cell r="AY377"/>
          <cell r="AZ377"/>
          <cell r="BA377"/>
          <cell r="BB377"/>
          <cell r="BC377"/>
          <cell r="BD377"/>
          <cell r="BE377"/>
          <cell r="BF377"/>
          <cell r="BG377"/>
          <cell r="BH377"/>
          <cell r="BI377"/>
          <cell r="BJ377"/>
          <cell r="BK377"/>
          <cell r="BL377"/>
          <cell r="BM377"/>
          <cell r="BN377"/>
          <cell r="BO377"/>
          <cell r="BP377"/>
          <cell r="BQ377"/>
          <cell r="BR377"/>
          <cell r="BS377"/>
          <cell r="BT377"/>
          <cell r="BU377"/>
          <cell r="BV377"/>
          <cell r="BW377">
            <v>0</v>
          </cell>
          <cell r="BX377">
            <v>0</v>
          </cell>
          <cell r="BY377">
            <v>25053</v>
          </cell>
          <cell r="CA377"/>
          <cell r="CB377"/>
          <cell r="CC377"/>
          <cell r="CD377"/>
          <cell r="CE377"/>
          <cell r="CF377"/>
          <cell r="CG377"/>
          <cell r="CH377"/>
          <cell r="CI377"/>
          <cell r="CJ377"/>
          <cell r="CK377"/>
          <cell r="CL377"/>
          <cell r="CM377">
            <v>-25053</v>
          </cell>
          <cell r="CN377"/>
          <cell r="CO377"/>
          <cell r="CP377"/>
          <cell r="CQ377"/>
          <cell r="CR377"/>
          <cell r="CS377"/>
          <cell r="CT377"/>
          <cell r="CU377"/>
          <cell r="CV377"/>
          <cell r="CW377"/>
          <cell r="CX377"/>
          <cell r="CY377"/>
          <cell r="CZ377"/>
          <cell r="DA377"/>
        </row>
        <row r="378">
          <cell r="F378" t="str">
            <v>09</v>
          </cell>
          <cell r="G378" t="str">
            <v>0</v>
          </cell>
          <cell r="H378" t="str">
            <v>1</v>
          </cell>
          <cell r="I378" t="str">
            <v>0</v>
          </cell>
          <cell r="J378" t="str">
            <v>0</v>
          </cell>
          <cell r="K378"/>
          <cell r="L378" t="str">
            <v>0100</v>
          </cell>
          <cell r="M378" t="str">
            <v>02</v>
          </cell>
          <cell r="N378" t="str">
            <v>08804795School Turnaround Leaders Program</v>
          </cell>
          <cell r="P378" t="str">
            <v>5010</v>
          </cell>
          <cell r="Q378" t="str">
            <v>70*C</v>
          </cell>
          <cell r="R378"/>
          <cell r="S378"/>
          <cell r="AV378" t="str">
            <v>S010A180006</v>
          </cell>
          <cell r="AW378"/>
          <cell r="AX378">
            <v>7837</v>
          </cell>
          <cell r="BW378">
            <v>0</v>
          </cell>
          <cell r="BX378">
            <v>0</v>
          </cell>
          <cell r="BY378">
            <v>7837</v>
          </cell>
        </row>
        <row r="379">
          <cell r="F379" t="str">
            <v>09</v>
          </cell>
          <cell r="G379" t="str">
            <v>0</v>
          </cell>
          <cell r="H379" t="str">
            <v>0</v>
          </cell>
          <cell r="I379" t="str">
            <v>1</v>
          </cell>
          <cell r="J379" t="str">
            <v>0</v>
          </cell>
          <cell r="K379"/>
          <cell r="L379" t="str">
            <v>0010</v>
          </cell>
          <cell r="M379" t="str">
            <v>03</v>
          </cell>
          <cell r="N379" t="str">
            <v>08805255School Turnaround Leaders Program</v>
          </cell>
          <cell r="O379"/>
          <cell r="P379" t="str">
            <v>5010</v>
          </cell>
          <cell r="Q379" t="str">
            <v>70*C</v>
          </cell>
          <cell r="R379"/>
          <cell r="S379"/>
          <cell r="T379"/>
          <cell r="U379"/>
          <cell r="V379"/>
          <cell r="W379"/>
          <cell r="X379"/>
          <cell r="Y379"/>
          <cell r="Z379"/>
          <cell r="AA379"/>
          <cell r="AB379"/>
          <cell r="AC379"/>
          <cell r="AD379"/>
          <cell r="AE379"/>
          <cell r="AF379"/>
          <cell r="AG379"/>
          <cell r="AH379"/>
          <cell r="AI379"/>
          <cell r="AJ379"/>
          <cell r="AK379"/>
          <cell r="AL379"/>
          <cell r="AM379"/>
          <cell r="AN379"/>
          <cell r="AO379"/>
          <cell r="AP379"/>
          <cell r="AQ379"/>
          <cell r="AR379"/>
          <cell r="AS379"/>
          <cell r="AT379"/>
          <cell r="AU379"/>
          <cell r="AV379"/>
          <cell r="AW379"/>
          <cell r="AX379"/>
          <cell r="AY379"/>
          <cell r="AZ379"/>
          <cell r="BA379"/>
          <cell r="BB379"/>
          <cell r="BC379"/>
          <cell r="BD379"/>
          <cell r="BE379"/>
          <cell r="BF379"/>
          <cell r="BG379"/>
          <cell r="BH379"/>
          <cell r="BI379"/>
          <cell r="BJ379"/>
          <cell r="BK379"/>
          <cell r="BL379"/>
          <cell r="BM379"/>
          <cell r="BN379"/>
          <cell r="BO379"/>
          <cell r="BP379"/>
          <cell r="BQ379"/>
          <cell r="BR379"/>
          <cell r="BS379"/>
          <cell r="BT379"/>
          <cell r="BU379"/>
          <cell r="BV379"/>
          <cell r="BW379">
            <v>0</v>
          </cell>
          <cell r="BX379">
            <v>0</v>
          </cell>
          <cell r="BY379">
            <v>0</v>
          </cell>
          <cell r="BZ379"/>
          <cell r="CA379"/>
          <cell r="CB379"/>
          <cell r="CC379"/>
          <cell r="CD379">
            <v>38617.199999999997</v>
          </cell>
          <cell r="CE379"/>
          <cell r="CF379"/>
          <cell r="CG379"/>
          <cell r="CH379"/>
          <cell r="CI379"/>
          <cell r="CJ379"/>
          <cell r="CK379"/>
          <cell r="CL379"/>
          <cell r="CM379"/>
          <cell r="CN379"/>
          <cell r="CO379"/>
          <cell r="CP379"/>
          <cell r="CQ379"/>
          <cell r="CR379"/>
          <cell r="CS379"/>
          <cell r="CT379"/>
          <cell r="CU379"/>
          <cell r="CV379"/>
          <cell r="CW379"/>
          <cell r="CX379"/>
          <cell r="CY379"/>
          <cell r="CZ379"/>
          <cell r="DA379"/>
        </row>
        <row r="380">
          <cell r="G380"/>
          <cell r="H380"/>
          <cell r="I380"/>
          <cell r="J380"/>
          <cell r="K380"/>
          <cell r="L380"/>
          <cell r="M380"/>
          <cell r="N380" t="str">
            <v>08805255School Turnaround Leaders Program</v>
          </cell>
          <cell r="P380" t="str">
            <v>5010</v>
          </cell>
          <cell r="Q380"/>
          <cell r="R380"/>
          <cell r="S380"/>
          <cell r="T380"/>
          <cell r="U380"/>
          <cell r="V380"/>
          <cell r="W380"/>
          <cell r="X380"/>
          <cell r="Y380"/>
          <cell r="Z380"/>
          <cell r="AA380"/>
          <cell r="AB380"/>
          <cell r="AC380"/>
          <cell r="AD380"/>
          <cell r="AE380"/>
          <cell r="AF380"/>
          <cell r="AG380"/>
          <cell r="AH380"/>
          <cell r="AI380"/>
          <cell r="AJ380"/>
          <cell r="AK380"/>
          <cell r="AL380"/>
          <cell r="AM380"/>
          <cell r="AN380"/>
          <cell r="AO380"/>
          <cell r="AP380"/>
          <cell r="AQ380"/>
          <cell r="AR380"/>
          <cell r="AS380"/>
          <cell r="AT380"/>
          <cell r="AU380"/>
          <cell r="AV380"/>
          <cell r="AW380"/>
          <cell r="AX380"/>
          <cell r="AY380"/>
          <cell r="AZ380"/>
          <cell r="BA380"/>
          <cell r="BB380"/>
          <cell r="BC380"/>
          <cell r="BD380"/>
          <cell r="BE380"/>
          <cell r="BF380"/>
          <cell r="BG380"/>
          <cell r="BH380"/>
          <cell r="BI380"/>
          <cell r="BJ380"/>
          <cell r="BK380"/>
          <cell r="BL380"/>
          <cell r="BM380"/>
          <cell r="BN380"/>
          <cell r="BO380"/>
          <cell r="BP380"/>
          <cell r="BQ380"/>
          <cell r="BR380"/>
          <cell r="BS380"/>
          <cell r="BT380"/>
          <cell r="BU380"/>
          <cell r="BV380"/>
          <cell r="BW380"/>
          <cell r="BX380"/>
          <cell r="BY380"/>
          <cell r="BZ380"/>
          <cell r="CA380"/>
          <cell r="CB380"/>
          <cell r="CC380"/>
          <cell r="CD380"/>
          <cell r="CE380"/>
          <cell r="CF380"/>
          <cell r="CG380"/>
          <cell r="CH380"/>
          <cell r="CI380"/>
          <cell r="CJ380"/>
          <cell r="CK380"/>
          <cell r="CL380"/>
          <cell r="CM380"/>
          <cell r="CN380"/>
          <cell r="CO380"/>
          <cell r="CP380"/>
          <cell r="CQ380"/>
          <cell r="CR380"/>
          <cell r="CS380"/>
          <cell r="CT380"/>
          <cell r="CU380"/>
          <cell r="CV380"/>
          <cell r="CW380"/>
          <cell r="CX380"/>
          <cell r="CY380"/>
          <cell r="CZ380"/>
          <cell r="DA380"/>
        </row>
        <row r="381">
          <cell r="F381" t="str">
            <v>09</v>
          </cell>
          <cell r="G381" t="str">
            <v>0</v>
          </cell>
          <cell r="H381" t="str">
            <v>1</v>
          </cell>
          <cell r="I381" t="str">
            <v>0</v>
          </cell>
          <cell r="J381" t="str">
            <v>0</v>
          </cell>
          <cell r="K381"/>
          <cell r="L381" t="str">
            <v>0100</v>
          </cell>
          <cell r="M381" t="str">
            <v>02</v>
          </cell>
          <cell r="N381" t="str">
            <v>08805448School Turnaround Leaders Program</v>
          </cell>
          <cell r="P381" t="str">
            <v>5010</v>
          </cell>
          <cell r="Q381" t="str">
            <v>70*C</v>
          </cell>
          <cell r="R381"/>
          <cell r="S381"/>
          <cell r="T381"/>
          <cell r="U381"/>
          <cell r="V381"/>
          <cell r="W381"/>
          <cell r="X381"/>
          <cell r="Y381"/>
          <cell r="Z381"/>
          <cell r="AA381"/>
          <cell r="AB381"/>
          <cell r="AC381"/>
          <cell r="AD381"/>
          <cell r="AE381"/>
          <cell r="AF381"/>
          <cell r="AG381"/>
          <cell r="AH381"/>
          <cell r="AI381"/>
          <cell r="AJ381"/>
          <cell r="AK381"/>
          <cell r="AL381"/>
          <cell r="AM381"/>
          <cell r="AN381"/>
          <cell r="AO381"/>
          <cell r="AP381"/>
          <cell r="AQ381"/>
          <cell r="AR381"/>
          <cell r="AS381"/>
          <cell r="AT381"/>
          <cell r="AU381"/>
          <cell r="AV381" t="str">
            <v>S010A180006</v>
          </cell>
          <cell r="AW381"/>
          <cell r="AX381">
            <v>94153</v>
          </cell>
          <cell r="AY381"/>
          <cell r="AZ381"/>
          <cell r="BA381"/>
          <cell r="BB381"/>
          <cell r="BC381"/>
          <cell r="BD381"/>
          <cell r="BE381"/>
          <cell r="BF381"/>
          <cell r="BG381"/>
          <cell r="BH381"/>
          <cell r="BI381"/>
          <cell r="BJ381"/>
          <cell r="BK381"/>
          <cell r="BL381"/>
          <cell r="BM381"/>
          <cell r="BN381"/>
          <cell r="BO381"/>
          <cell r="BP381"/>
          <cell r="BQ381"/>
          <cell r="BR381"/>
          <cell r="BS381"/>
          <cell r="BT381"/>
          <cell r="BU381"/>
          <cell r="BV381"/>
          <cell r="BW381">
            <v>0</v>
          </cell>
          <cell r="BX381">
            <v>0</v>
          </cell>
          <cell r="BY381">
            <v>94153</v>
          </cell>
          <cell r="CA381"/>
          <cell r="CB381"/>
          <cell r="CC381"/>
          <cell r="CD381"/>
          <cell r="CE381"/>
          <cell r="CF381"/>
          <cell r="CG381"/>
          <cell r="CH381"/>
          <cell r="CI381"/>
          <cell r="CJ381"/>
          <cell r="CK381"/>
          <cell r="CL381"/>
          <cell r="CM381">
            <v>-9702</v>
          </cell>
          <cell r="CN381"/>
          <cell r="CO381"/>
          <cell r="CP381"/>
          <cell r="CQ381"/>
          <cell r="CR381"/>
          <cell r="CS381"/>
          <cell r="CT381"/>
          <cell r="CU381"/>
          <cell r="CV381"/>
          <cell r="CW381"/>
          <cell r="CX381"/>
          <cell r="CY381"/>
          <cell r="CZ381"/>
          <cell r="DA381"/>
        </row>
        <row r="382">
          <cell r="F382" t="str">
            <v>09</v>
          </cell>
          <cell r="G382" t="str">
            <v>0</v>
          </cell>
          <cell r="H382" t="str">
            <v>1</v>
          </cell>
          <cell r="I382" t="str">
            <v>0</v>
          </cell>
          <cell r="J382" t="str">
            <v>0</v>
          </cell>
          <cell r="K382"/>
          <cell r="L382" t="str">
            <v>0100</v>
          </cell>
          <cell r="M382" t="str">
            <v>02</v>
          </cell>
          <cell r="N382" t="str">
            <v>08806239School Turnaround Leaders Program</v>
          </cell>
          <cell r="P382" t="str">
            <v>5010</v>
          </cell>
          <cell r="Q382" t="str">
            <v>70*C</v>
          </cell>
          <cell r="R382"/>
          <cell r="S382"/>
          <cell r="T382"/>
          <cell r="U382"/>
          <cell r="V382"/>
          <cell r="W382"/>
          <cell r="X382"/>
          <cell r="Y382"/>
          <cell r="Z382"/>
          <cell r="AA382"/>
          <cell r="AB382"/>
          <cell r="AC382"/>
          <cell r="AD382"/>
          <cell r="AE382"/>
          <cell r="AF382"/>
          <cell r="AG382"/>
          <cell r="AH382"/>
          <cell r="AI382"/>
          <cell r="AJ382"/>
          <cell r="AK382"/>
          <cell r="AL382"/>
          <cell r="AM382"/>
          <cell r="AN382"/>
          <cell r="AO382"/>
          <cell r="AP382"/>
          <cell r="AQ382"/>
          <cell r="AR382"/>
          <cell r="AS382"/>
          <cell r="AT382"/>
          <cell r="AU382"/>
          <cell r="AV382" t="str">
            <v>S010A180006</v>
          </cell>
          <cell r="AW382"/>
          <cell r="AX382">
            <v>94153</v>
          </cell>
          <cell r="AY382"/>
          <cell r="AZ382"/>
          <cell r="BA382"/>
          <cell r="BB382"/>
          <cell r="BC382"/>
          <cell r="BD382"/>
          <cell r="BE382"/>
          <cell r="BF382"/>
          <cell r="BG382"/>
          <cell r="BH382"/>
          <cell r="BI382"/>
          <cell r="BJ382"/>
          <cell r="BK382"/>
          <cell r="BL382"/>
          <cell r="BM382"/>
          <cell r="BN382"/>
          <cell r="BO382"/>
          <cell r="BP382"/>
          <cell r="BQ382"/>
          <cell r="BR382"/>
          <cell r="BS382"/>
          <cell r="BT382"/>
          <cell r="BU382"/>
          <cell r="BV382"/>
          <cell r="BW382">
            <v>0</v>
          </cell>
          <cell r="BX382">
            <v>0</v>
          </cell>
          <cell r="BY382">
            <v>94153</v>
          </cell>
          <cell r="CA382"/>
          <cell r="CB382"/>
          <cell r="CC382"/>
          <cell r="CD382"/>
          <cell r="CE382"/>
          <cell r="CF382"/>
          <cell r="CG382"/>
          <cell r="CH382"/>
          <cell r="CI382"/>
          <cell r="CJ382"/>
          <cell r="CK382"/>
          <cell r="CL382"/>
          <cell r="CM382">
            <v>-9702</v>
          </cell>
          <cell r="CN382"/>
          <cell r="CO382"/>
          <cell r="CP382"/>
          <cell r="CQ382"/>
          <cell r="CR382"/>
          <cell r="CS382"/>
          <cell r="CT382"/>
          <cell r="CU382"/>
          <cell r="CV382"/>
          <cell r="CW382"/>
          <cell r="CX382"/>
          <cell r="CY382"/>
          <cell r="CZ382"/>
          <cell r="DA382"/>
        </row>
        <row r="383">
          <cell r="F383" t="str">
            <v>09</v>
          </cell>
          <cell r="G383" t="str">
            <v>0</v>
          </cell>
          <cell r="H383" t="str">
            <v>1</v>
          </cell>
          <cell r="I383" t="str">
            <v>0</v>
          </cell>
          <cell r="J383" t="str">
            <v>0</v>
          </cell>
          <cell r="K383"/>
          <cell r="L383" t="str">
            <v>0100</v>
          </cell>
          <cell r="M383" t="str">
            <v>02</v>
          </cell>
          <cell r="N383" t="str">
            <v>08806508School Turnaround Leaders Program</v>
          </cell>
          <cell r="P383" t="str">
            <v>5010</v>
          </cell>
          <cell r="Q383" t="str">
            <v>70*C</v>
          </cell>
          <cell r="R383"/>
          <cell r="S383"/>
          <cell r="T383"/>
          <cell r="U383"/>
          <cell r="V383"/>
          <cell r="W383"/>
          <cell r="X383"/>
          <cell r="Y383"/>
          <cell r="Z383"/>
          <cell r="AA383"/>
          <cell r="AB383"/>
          <cell r="AC383"/>
          <cell r="AD383"/>
          <cell r="AE383"/>
          <cell r="AF383"/>
          <cell r="AG383"/>
          <cell r="AH383"/>
          <cell r="AI383"/>
          <cell r="AJ383"/>
          <cell r="AK383"/>
          <cell r="AL383"/>
          <cell r="AM383"/>
          <cell r="AN383"/>
          <cell r="AO383"/>
          <cell r="AP383"/>
          <cell r="AQ383"/>
          <cell r="AR383"/>
          <cell r="AS383"/>
          <cell r="AT383"/>
          <cell r="AU383"/>
          <cell r="AV383" t="str">
            <v>S010A180006</v>
          </cell>
          <cell r="AW383"/>
          <cell r="AX383">
            <v>48510</v>
          </cell>
          <cell r="AY383"/>
          <cell r="AZ383"/>
          <cell r="BA383"/>
          <cell r="BB383"/>
          <cell r="BC383"/>
          <cell r="BD383"/>
          <cell r="BE383"/>
          <cell r="BF383"/>
          <cell r="BG383"/>
          <cell r="BH383"/>
          <cell r="BI383"/>
          <cell r="BJ383"/>
          <cell r="BK383"/>
          <cell r="BL383"/>
          <cell r="BM383"/>
          <cell r="BN383"/>
          <cell r="BO383"/>
          <cell r="BP383"/>
          <cell r="BQ383"/>
          <cell r="BR383"/>
          <cell r="BS383"/>
          <cell r="BT383"/>
          <cell r="BU383"/>
          <cell r="BV383"/>
          <cell r="BW383">
            <v>0</v>
          </cell>
          <cell r="BX383">
            <v>0</v>
          </cell>
          <cell r="BY383">
            <v>48510</v>
          </cell>
          <cell r="CA383"/>
          <cell r="CB383"/>
          <cell r="CC383"/>
          <cell r="CD383"/>
          <cell r="CE383"/>
          <cell r="CF383"/>
          <cell r="CG383"/>
          <cell r="CH383"/>
          <cell r="CI383"/>
          <cell r="CJ383"/>
          <cell r="CK383"/>
          <cell r="CL383"/>
          <cell r="CM383"/>
          <cell r="CN383"/>
          <cell r="CO383"/>
          <cell r="CP383"/>
          <cell r="CQ383"/>
          <cell r="CR383"/>
          <cell r="CS383"/>
          <cell r="CT383"/>
          <cell r="CU383"/>
          <cell r="CV383"/>
          <cell r="CW383"/>
          <cell r="CX383"/>
          <cell r="CY383"/>
          <cell r="CZ383"/>
          <cell r="DA383"/>
        </row>
        <row r="384">
          <cell r="G384"/>
          <cell r="H384"/>
          <cell r="I384"/>
          <cell r="J384"/>
          <cell r="K384"/>
          <cell r="L384"/>
          <cell r="M384"/>
          <cell r="N384" t="str">
            <v>08806970School Turnaround Leaders Program</v>
          </cell>
          <cell r="P384" t="str">
            <v>5010</v>
          </cell>
          <cell r="Q384"/>
          <cell r="R384"/>
          <cell r="S384"/>
          <cell r="T384"/>
          <cell r="U384"/>
          <cell r="V384"/>
          <cell r="W384"/>
          <cell r="X384"/>
          <cell r="Y384"/>
          <cell r="Z384"/>
          <cell r="AA384"/>
          <cell r="AB384"/>
          <cell r="AC384"/>
          <cell r="AD384"/>
          <cell r="AE384"/>
          <cell r="AF384"/>
          <cell r="AG384"/>
          <cell r="AH384"/>
          <cell r="AI384"/>
          <cell r="AJ384"/>
          <cell r="AK384"/>
          <cell r="AL384"/>
          <cell r="AM384"/>
          <cell r="AN384"/>
          <cell r="AO384"/>
          <cell r="AP384"/>
          <cell r="AQ384"/>
          <cell r="AR384"/>
          <cell r="AS384"/>
          <cell r="AT384"/>
          <cell r="AU384"/>
          <cell r="AV384"/>
          <cell r="AW384"/>
          <cell r="AX384"/>
          <cell r="AY384"/>
          <cell r="AZ384"/>
          <cell r="BA384"/>
          <cell r="BB384"/>
          <cell r="BC384"/>
          <cell r="BD384"/>
          <cell r="BE384"/>
          <cell r="BF384"/>
          <cell r="BG384"/>
          <cell r="BH384"/>
          <cell r="BI384"/>
          <cell r="BJ384"/>
          <cell r="BK384"/>
          <cell r="BL384"/>
          <cell r="BM384"/>
          <cell r="BN384"/>
          <cell r="BO384"/>
          <cell r="BP384"/>
          <cell r="BQ384"/>
          <cell r="BR384"/>
          <cell r="BS384"/>
          <cell r="BT384"/>
          <cell r="BU384"/>
          <cell r="BV384"/>
          <cell r="BW384"/>
          <cell r="BX384"/>
          <cell r="BY384"/>
          <cell r="BZ384"/>
          <cell r="CA384"/>
          <cell r="CB384"/>
          <cell r="CC384"/>
          <cell r="CD384"/>
          <cell r="CE384"/>
          <cell r="CF384"/>
          <cell r="CG384"/>
          <cell r="CH384"/>
          <cell r="CI384"/>
          <cell r="CJ384"/>
          <cell r="CK384"/>
          <cell r="CL384"/>
          <cell r="CM384"/>
          <cell r="CN384"/>
          <cell r="CO384"/>
          <cell r="CP384"/>
          <cell r="CQ384"/>
          <cell r="CR384"/>
          <cell r="CS384"/>
          <cell r="CT384"/>
          <cell r="CU384"/>
          <cell r="CV384"/>
          <cell r="CW384"/>
          <cell r="CX384"/>
          <cell r="CY384"/>
          <cell r="CZ384"/>
          <cell r="DA384"/>
        </row>
        <row r="385">
          <cell r="G385"/>
          <cell r="H385"/>
          <cell r="I385"/>
          <cell r="J385"/>
          <cell r="K385"/>
          <cell r="L385"/>
          <cell r="M385"/>
          <cell r="N385" t="str">
            <v>08807361School Turnaround Leaders Program</v>
          </cell>
          <cell r="P385" t="str">
            <v>5010</v>
          </cell>
          <cell r="Q385"/>
          <cell r="R385"/>
          <cell r="S385"/>
          <cell r="T385"/>
          <cell r="U385"/>
          <cell r="V385"/>
          <cell r="W385"/>
          <cell r="X385"/>
          <cell r="Y385"/>
          <cell r="Z385"/>
          <cell r="AA385"/>
          <cell r="AB385"/>
          <cell r="AC385"/>
          <cell r="AD385"/>
          <cell r="AE385"/>
          <cell r="AF385"/>
          <cell r="AG385"/>
          <cell r="AH385"/>
          <cell r="AI385"/>
          <cell r="AJ385"/>
          <cell r="AK385"/>
          <cell r="AL385"/>
          <cell r="AM385"/>
          <cell r="AN385"/>
          <cell r="AO385"/>
          <cell r="AP385"/>
          <cell r="AQ385"/>
          <cell r="AR385"/>
          <cell r="AS385"/>
          <cell r="AT385"/>
          <cell r="AU385"/>
          <cell r="AV385"/>
          <cell r="AW385"/>
          <cell r="AX385"/>
          <cell r="AY385"/>
          <cell r="AZ385"/>
          <cell r="BA385"/>
          <cell r="BB385"/>
          <cell r="BC385"/>
          <cell r="BD385"/>
          <cell r="BE385"/>
          <cell r="BF385"/>
          <cell r="BG385"/>
          <cell r="BH385"/>
          <cell r="BI385"/>
          <cell r="BJ385"/>
          <cell r="BK385"/>
          <cell r="BL385"/>
          <cell r="BM385"/>
          <cell r="BN385"/>
          <cell r="BO385"/>
          <cell r="BP385"/>
          <cell r="BQ385"/>
          <cell r="BR385"/>
          <cell r="BS385"/>
          <cell r="BT385"/>
          <cell r="BU385"/>
          <cell r="BV385"/>
          <cell r="BW385"/>
          <cell r="BX385"/>
          <cell r="BY385"/>
          <cell r="BZ385"/>
          <cell r="CA385"/>
          <cell r="CB385"/>
          <cell r="CC385"/>
          <cell r="CD385"/>
          <cell r="CE385"/>
          <cell r="CF385"/>
          <cell r="CG385"/>
          <cell r="CH385"/>
          <cell r="CI385"/>
          <cell r="CJ385"/>
          <cell r="CK385"/>
          <cell r="CL385"/>
          <cell r="CM385"/>
          <cell r="CN385"/>
          <cell r="CO385"/>
          <cell r="CP385"/>
          <cell r="CQ385"/>
          <cell r="CR385"/>
          <cell r="CS385"/>
          <cell r="CT385"/>
          <cell r="CU385"/>
          <cell r="CV385"/>
          <cell r="CW385"/>
          <cell r="CX385"/>
          <cell r="CY385"/>
          <cell r="CZ385"/>
          <cell r="DA385"/>
        </row>
        <row r="386">
          <cell r="F386" t="str">
            <v>09</v>
          </cell>
          <cell r="G386" t="str">
            <v>0</v>
          </cell>
          <cell r="H386" t="str">
            <v>1</v>
          </cell>
          <cell r="I386" t="str">
            <v>0</v>
          </cell>
          <cell r="J386" t="str">
            <v>0</v>
          </cell>
          <cell r="K386"/>
          <cell r="L386" t="str">
            <v>0100</v>
          </cell>
          <cell r="M386" t="str">
            <v>02</v>
          </cell>
          <cell r="N386" t="str">
            <v>08807694School Turnaround Leaders Program</v>
          </cell>
          <cell r="P386" t="str">
            <v>5010</v>
          </cell>
          <cell r="Q386" t="str">
            <v>70*C</v>
          </cell>
          <cell r="R386"/>
          <cell r="S386"/>
          <cell r="T386"/>
          <cell r="U386"/>
          <cell r="V386"/>
          <cell r="W386"/>
          <cell r="X386"/>
          <cell r="Y386"/>
          <cell r="Z386"/>
          <cell r="AA386"/>
          <cell r="AB386"/>
          <cell r="AC386"/>
          <cell r="AD386"/>
          <cell r="AE386"/>
          <cell r="AF386"/>
          <cell r="AG386"/>
          <cell r="AH386"/>
          <cell r="AI386"/>
          <cell r="AJ386"/>
          <cell r="AK386"/>
          <cell r="AL386"/>
          <cell r="AM386"/>
          <cell r="AN386"/>
          <cell r="AO386"/>
          <cell r="AP386"/>
          <cell r="AQ386"/>
          <cell r="AR386"/>
          <cell r="AS386"/>
          <cell r="AT386"/>
          <cell r="AU386"/>
          <cell r="AV386" t="str">
            <v>S010A180006</v>
          </cell>
          <cell r="AW386"/>
          <cell r="AX386">
            <v>50105</v>
          </cell>
          <cell r="AY386"/>
          <cell r="AZ386"/>
          <cell r="BA386"/>
          <cell r="BB386"/>
          <cell r="BC386"/>
          <cell r="BD386"/>
          <cell r="BE386"/>
          <cell r="BF386"/>
          <cell r="BG386"/>
          <cell r="BH386"/>
          <cell r="BI386"/>
          <cell r="BJ386"/>
          <cell r="BK386"/>
          <cell r="BL386"/>
          <cell r="BM386"/>
          <cell r="BN386"/>
          <cell r="BO386"/>
          <cell r="BP386"/>
          <cell r="BQ386"/>
          <cell r="BR386"/>
          <cell r="BS386"/>
          <cell r="BT386"/>
          <cell r="BU386"/>
          <cell r="BV386"/>
          <cell r="BW386">
            <v>0</v>
          </cell>
          <cell r="BX386">
            <v>0</v>
          </cell>
          <cell r="BY386">
            <v>50105</v>
          </cell>
          <cell r="CA386"/>
          <cell r="CB386"/>
          <cell r="CC386"/>
          <cell r="CD386"/>
          <cell r="CE386"/>
          <cell r="CF386"/>
          <cell r="CG386"/>
          <cell r="CH386"/>
          <cell r="CI386"/>
          <cell r="CJ386"/>
          <cell r="CK386"/>
          <cell r="CL386"/>
          <cell r="CM386">
            <v>-19404</v>
          </cell>
          <cell r="CN386"/>
          <cell r="CO386"/>
          <cell r="CP386"/>
          <cell r="CQ386"/>
          <cell r="CR386"/>
          <cell r="CS386"/>
          <cell r="CT386"/>
          <cell r="CU386"/>
          <cell r="CV386"/>
          <cell r="CW386"/>
          <cell r="CX386"/>
          <cell r="CY386"/>
          <cell r="CZ386"/>
          <cell r="DA386"/>
        </row>
        <row r="387">
          <cell r="F387" t="str">
            <v>09</v>
          </cell>
          <cell r="G387" t="str">
            <v>0</v>
          </cell>
          <cell r="H387" t="str">
            <v>1</v>
          </cell>
          <cell r="I387" t="str">
            <v>0</v>
          </cell>
          <cell r="J387" t="str">
            <v>0</v>
          </cell>
          <cell r="K387"/>
          <cell r="L387" t="str">
            <v>0100</v>
          </cell>
          <cell r="M387" t="str">
            <v>02</v>
          </cell>
          <cell r="N387" t="str">
            <v>08807698School Turnaround Leaders Program</v>
          </cell>
          <cell r="P387" t="str">
            <v>5010</v>
          </cell>
          <cell r="Q387" t="str">
            <v>70*C</v>
          </cell>
          <cell r="R387"/>
          <cell r="S387"/>
          <cell r="T387"/>
          <cell r="U387"/>
          <cell r="V387"/>
          <cell r="W387"/>
          <cell r="X387"/>
          <cell r="Y387"/>
          <cell r="Z387"/>
          <cell r="AA387"/>
          <cell r="AB387"/>
          <cell r="AC387"/>
          <cell r="AD387"/>
          <cell r="AE387"/>
          <cell r="AF387"/>
          <cell r="AG387"/>
          <cell r="AH387"/>
          <cell r="AI387"/>
          <cell r="AJ387"/>
          <cell r="AK387"/>
          <cell r="AL387"/>
          <cell r="AM387"/>
          <cell r="AN387"/>
          <cell r="AO387"/>
          <cell r="AP387"/>
          <cell r="AQ387"/>
          <cell r="AR387"/>
          <cell r="AS387"/>
          <cell r="AT387"/>
          <cell r="AU387"/>
          <cell r="AV387" t="str">
            <v>S010A180006</v>
          </cell>
          <cell r="AW387"/>
          <cell r="AX387">
            <v>25053</v>
          </cell>
          <cell r="AY387"/>
          <cell r="AZ387"/>
          <cell r="BA387"/>
          <cell r="BB387"/>
          <cell r="BC387"/>
          <cell r="BD387"/>
          <cell r="BE387"/>
          <cell r="BF387"/>
          <cell r="BG387"/>
          <cell r="BH387"/>
          <cell r="BI387"/>
          <cell r="BJ387"/>
          <cell r="BK387"/>
          <cell r="BL387"/>
          <cell r="BM387"/>
          <cell r="BN387"/>
          <cell r="BO387"/>
          <cell r="BP387"/>
          <cell r="BQ387"/>
          <cell r="BR387"/>
          <cell r="BS387"/>
          <cell r="BT387"/>
          <cell r="BU387"/>
          <cell r="BV387"/>
          <cell r="BW387">
            <v>0</v>
          </cell>
          <cell r="BX387">
            <v>0</v>
          </cell>
          <cell r="BY387">
            <v>25053</v>
          </cell>
          <cell r="CA387"/>
          <cell r="CB387"/>
          <cell r="CC387"/>
          <cell r="CD387"/>
          <cell r="CE387"/>
          <cell r="CF387"/>
          <cell r="CG387"/>
          <cell r="CH387"/>
          <cell r="CI387"/>
          <cell r="CJ387"/>
          <cell r="CK387"/>
          <cell r="CL387"/>
          <cell r="CM387">
            <v>-19404</v>
          </cell>
          <cell r="CN387"/>
          <cell r="CO387"/>
          <cell r="CP387"/>
          <cell r="CQ387"/>
          <cell r="CR387"/>
          <cell r="CS387"/>
          <cell r="CT387"/>
          <cell r="CU387"/>
          <cell r="CV387"/>
          <cell r="CW387"/>
          <cell r="CX387"/>
          <cell r="CY387"/>
          <cell r="CZ387"/>
          <cell r="DA387"/>
        </row>
        <row r="388">
          <cell r="F388" t="str">
            <v>09</v>
          </cell>
          <cell r="G388" t="str">
            <v>0</v>
          </cell>
          <cell r="H388" t="str">
            <v>0</v>
          </cell>
          <cell r="I388" t="str">
            <v>1</v>
          </cell>
          <cell r="J388" t="str">
            <v>0</v>
          </cell>
          <cell r="K388"/>
          <cell r="L388" t="str">
            <v>0010</v>
          </cell>
          <cell r="M388" t="str">
            <v>03</v>
          </cell>
          <cell r="N388" t="str">
            <v>08808006School Turnaround Leaders Program</v>
          </cell>
          <cell r="O388"/>
          <cell r="P388" t="str">
            <v>5010</v>
          </cell>
          <cell r="Q388" t="str">
            <v>70*C</v>
          </cell>
          <cell r="R388"/>
          <cell r="S388"/>
          <cell r="T388"/>
          <cell r="U388"/>
          <cell r="V388"/>
          <cell r="W388"/>
          <cell r="X388"/>
          <cell r="Y388"/>
          <cell r="Z388"/>
          <cell r="AA388"/>
          <cell r="AB388"/>
          <cell r="AC388"/>
          <cell r="AD388"/>
          <cell r="AE388"/>
          <cell r="AF388"/>
          <cell r="AG388"/>
          <cell r="AH388"/>
          <cell r="AI388"/>
          <cell r="AJ388"/>
          <cell r="AK388"/>
          <cell r="AL388"/>
          <cell r="AM388"/>
          <cell r="AN388"/>
          <cell r="AO388"/>
          <cell r="AP388"/>
          <cell r="AQ388"/>
          <cell r="AR388"/>
          <cell r="AS388"/>
          <cell r="AT388"/>
          <cell r="AU388"/>
          <cell r="AV388"/>
          <cell r="AW388"/>
          <cell r="AX388"/>
          <cell r="AY388"/>
          <cell r="AZ388"/>
          <cell r="BA388"/>
          <cell r="BB388"/>
          <cell r="BC388"/>
          <cell r="BD388"/>
          <cell r="BE388"/>
          <cell r="BF388"/>
          <cell r="BG388"/>
          <cell r="BH388"/>
          <cell r="BI388"/>
          <cell r="BJ388"/>
          <cell r="BK388"/>
          <cell r="BL388"/>
          <cell r="BM388"/>
          <cell r="BN388"/>
          <cell r="BO388"/>
          <cell r="BP388"/>
          <cell r="BQ388"/>
          <cell r="BR388"/>
          <cell r="BS388"/>
          <cell r="BT388"/>
          <cell r="BU388"/>
          <cell r="BV388"/>
          <cell r="BW388">
            <v>0</v>
          </cell>
          <cell r="BX388">
            <v>0</v>
          </cell>
          <cell r="BY388">
            <v>0</v>
          </cell>
          <cell r="BZ388"/>
          <cell r="CA388"/>
          <cell r="CB388"/>
          <cell r="CC388"/>
          <cell r="CD388">
            <v>33253.699999999997</v>
          </cell>
          <cell r="CE388"/>
          <cell r="CF388"/>
          <cell r="CG388"/>
          <cell r="CH388"/>
          <cell r="CI388"/>
          <cell r="CJ388"/>
          <cell r="CK388"/>
          <cell r="CL388"/>
          <cell r="CM388"/>
          <cell r="CN388"/>
          <cell r="CO388"/>
          <cell r="CP388"/>
          <cell r="CQ388"/>
          <cell r="CR388"/>
          <cell r="CS388"/>
          <cell r="CT388"/>
          <cell r="CU388"/>
          <cell r="CV388"/>
          <cell r="CW388"/>
          <cell r="CX388"/>
          <cell r="CY388"/>
          <cell r="CZ388"/>
          <cell r="DA388"/>
        </row>
        <row r="389">
          <cell r="F389" t="str">
            <v>09</v>
          </cell>
          <cell r="G389" t="str">
            <v>0</v>
          </cell>
          <cell r="H389" t="str">
            <v>1</v>
          </cell>
          <cell r="I389" t="str">
            <v>0</v>
          </cell>
          <cell r="J389" t="str">
            <v>0</v>
          </cell>
          <cell r="K389"/>
          <cell r="L389" t="str">
            <v>0100</v>
          </cell>
          <cell r="M389" t="str">
            <v>02</v>
          </cell>
          <cell r="N389" t="str">
            <v>08808006School Turnaround Leaders Program</v>
          </cell>
          <cell r="P389" t="str">
            <v>5010</v>
          </cell>
          <cell r="Q389" t="str">
            <v>70*C</v>
          </cell>
          <cell r="R389"/>
          <cell r="S389"/>
          <cell r="T389"/>
          <cell r="U389"/>
          <cell r="V389"/>
          <cell r="W389"/>
          <cell r="X389"/>
          <cell r="Y389"/>
          <cell r="Z389"/>
          <cell r="AA389"/>
          <cell r="AB389"/>
          <cell r="AC389"/>
          <cell r="AD389"/>
          <cell r="AE389"/>
          <cell r="AF389"/>
          <cell r="AG389"/>
          <cell r="AH389"/>
          <cell r="AI389"/>
          <cell r="AJ389"/>
          <cell r="AK389"/>
          <cell r="AL389"/>
          <cell r="AM389"/>
          <cell r="AN389"/>
          <cell r="AO389"/>
          <cell r="AP389"/>
          <cell r="AQ389"/>
          <cell r="AR389"/>
          <cell r="AS389"/>
          <cell r="AT389"/>
          <cell r="AU389"/>
          <cell r="AV389" t="str">
            <v>S010A180006</v>
          </cell>
          <cell r="AW389"/>
          <cell r="AX389">
            <v>25053</v>
          </cell>
          <cell r="AY389"/>
          <cell r="AZ389"/>
          <cell r="BA389"/>
          <cell r="BB389"/>
          <cell r="BC389"/>
          <cell r="BD389"/>
          <cell r="BE389"/>
          <cell r="BF389"/>
          <cell r="BG389"/>
          <cell r="BH389"/>
          <cell r="BI389"/>
          <cell r="BJ389"/>
          <cell r="BK389"/>
          <cell r="BL389"/>
          <cell r="BM389"/>
          <cell r="BN389"/>
          <cell r="BO389"/>
          <cell r="BP389"/>
          <cell r="BQ389"/>
          <cell r="BR389"/>
          <cell r="BS389"/>
          <cell r="BT389"/>
          <cell r="BU389"/>
          <cell r="BV389"/>
          <cell r="BW389">
            <v>0</v>
          </cell>
          <cell r="BX389">
            <v>0</v>
          </cell>
          <cell r="BY389">
            <v>25053</v>
          </cell>
          <cell r="CA389"/>
          <cell r="CB389"/>
          <cell r="CC389"/>
          <cell r="CD389"/>
          <cell r="CE389"/>
          <cell r="CF389"/>
          <cell r="CG389"/>
          <cell r="CH389"/>
          <cell r="CI389"/>
          <cell r="CJ389"/>
          <cell r="CK389"/>
          <cell r="CL389"/>
          <cell r="CM389"/>
          <cell r="CN389"/>
          <cell r="CO389"/>
          <cell r="CP389"/>
          <cell r="CQ389"/>
          <cell r="CR389"/>
          <cell r="CS389"/>
          <cell r="CT389"/>
          <cell r="CU389"/>
          <cell r="CV389"/>
          <cell r="CW389"/>
          <cell r="CX389"/>
          <cell r="CY389"/>
          <cell r="CZ389"/>
          <cell r="DA389"/>
        </row>
        <row r="390">
          <cell r="F390" t="str">
            <v>09</v>
          </cell>
          <cell r="G390" t="str">
            <v>0</v>
          </cell>
          <cell r="H390" t="str">
            <v>1</v>
          </cell>
          <cell r="I390" t="str">
            <v>0</v>
          </cell>
          <cell r="J390" t="str">
            <v>0</v>
          </cell>
          <cell r="K390"/>
          <cell r="L390" t="str">
            <v>0100</v>
          </cell>
          <cell r="M390" t="str">
            <v>02</v>
          </cell>
          <cell r="N390" t="str">
            <v>08808145School Turnaround Leaders Program</v>
          </cell>
          <cell r="P390" t="str">
            <v>5010</v>
          </cell>
          <cell r="Q390" t="str">
            <v>70*C</v>
          </cell>
          <cell r="R390"/>
          <cell r="S390"/>
          <cell r="T390"/>
          <cell r="U390"/>
          <cell r="V390"/>
          <cell r="W390"/>
          <cell r="X390"/>
          <cell r="Y390"/>
          <cell r="Z390"/>
          <cell r="AA390"/>
          <cell r="AB390"/>
          <cell r="AC390"/>
          <cell r="AD390"/>
          <cell r="AE390"/>
          <cell r="AF390"/>
          <cell r="AG390"/>
          <cell r="AH390"/>
          <cell r="AI390"/>
          <cell r="AJ390"/>
          <cell r="AK390"/>
          <cell r="AL390"/>
          <cell r="AM390"/>
          <cell r="AN390"/>
          <cell r="AO390"/>
          <cell r="AP390"/>
          <cell r="AQ390"/>
          <cell r="AR390"/>
          <cell r="AS390"/>
          <cell r="AT390"/>
          <cell r="AU390"/>
          <cell r="AV390" t="str">
            <v>S010A180006</v>
          </cell>
          <cell r="AW390"/>
          <cell r="AX390">
            <v>25053</v>
          </cell>
          <cell r="AY390"/>
          <cell r="AZ390"/>
          <cell r="BA390"/>
          <cell r="BB390"/>
          <cell r="BC390"/>
          <cell r="BD390"/>
          <cell r="BE390"/>
          <cell r="BF390"/>
          <cell r="BG390"/>
          <cell r="BH390"/>
          <cell r="BI390"/>
          <cell r="BJ390"/>
          <cell r="BK390"/>
          <cell r="BL390"/>
          <cell r="BM390"/>
          <cell r="BN390"/>
          <cell r="BO390"/>
          <cell r="BP390"/>
          <cell r="BQ390"/>
          <cell r="BR390"/>
          <cell r="BS390"/>
          <cell r="BT390"/>
          <cell r="BU390"/>
          <cell r="BV390"/>
          <cell r="BW390">
            <v>0</v>
          </cell>
          <cell r="BX390">
            <v>0</v>
          </cell>
          <cell r="BY390">
            <v>25053</v>
          </cell>
          <cell r="CA390"/>
          <cell r="CB390"/>
          <cell r="CC390"/>
          <cell r="CD390"/>
          <cell r="CE390"/>
          <cell r="CF390"/>
          <cell r="CG390"/>
          <cell r="CH390"/>
          <cell r="CI390"/>
          <cell r="CJ390"/>
          <cell r="CK390"/>
          <cell r="CL390"/>
          <cell r="CM390">
            <v>-19404</v>
          </cell>
          <cell r="CN390"/>
          <cell r="CO390"/>
          <cell r="CP390"/>
          <cell r="CQ390"/>
          <cell r="CR390"/>
          <cell r="CS390"/>
          <cell r="CT390"/>
          <cell r="CU390"/>
          <cell r="CV390"/>
          <cell r="CW390"/>
          <cell r="CX390"/>
          <cell r="CY390"/>
          <cell r="CZ390"/>
          <cell r="DA390"/>
        </row>
        <row r="391">
          <cell r="G391"/>
          <cell r="H391"/>
          <cell r="I391"/>
          <cell r="J391"/>
          <cell r="K391"/>
          <cell r="L391"/>
          <cell r="M391"/>
          <cell r="N391" t="str">
            <v>08809693School Turnaround Leaders Program</v>
          </cell>
          <cell r="P391" t="str">
            <v>5010</v>
          </cell>
          <cell r="Q391"/>
          <cell r="R391"/>
          <cell r="S391"/>
          <cell r="T391"/>
          <cell r="U391"/>
          <cell r="V391"/>
          <cell r="W391"/>
          <cell r="X391"/>
          <cell r="Y391"/>
          <cell r="Z391"/>
          <cell r="AA391"/>
          <cell r="AB391"/>
          <cell r="AC391"/>
          <cell r="AD391"/>
          <cell r="AE391"/>
          <cell r="AF391"/>
          <cell r="AG391"/>
          <cell r="AH391"/>
          <cell r="AI391"/>
          <cell r="AJ391"/>
          <cell r="AK391"/>
          <cell r="AL391"/>
          <cell r="AM391"/>
          <cell r="AN391"/>
          <cell r="AO391"/>
          <cell r="AP391"/>
          <cell r="AQ391"/>
          <cell r="AR391"/>
          <cell r="AS391"/>
          <cell r="AT391"/>
          <cell r="AU391"/>
          <cell r="AV391"/>
          <cell r="AW391"/>
          <cell r="AX391"/>
          <cell r="AY391"/>
          <cell r="AZ391"/>
          <cell r="BA391"/>
          <cell r="BB391"/>
          <cell r="BC391"/>
          <cell r="BD391"/>
          <cell r="BE391"/>
          <cell r="BF391"/>
          <cell r="BG391"/>
          <cell r="BH391"/>
          <cell r="BI391"/>
          <cell r="BJ391"/>
          <cell r="BK391"/>
          <cell r="BL391"/>
          <cell r="BM391"/>
          <cell r="BN391"/>
          <cell r="BO391"/>
          <cell r="BP391"/>
          <cell r="BQ391"/>
          <cell r="BR391"/>
          <cell r="BS391"/>
          <cell r="BT391"/>
          <cell r="BU391"/>
          <cell r="BV391"/>
          <cell r="BW391"/>
          <cell r="BX391"/>
          <cell r="BY391"/>
          <cell r="BZ391"/>
          <cell r="CA391"/>
          <cell r="CB391"/>
          <cell r="CC391"/>
          <cell r="CD391"/>
          <cell r="CE391"/>
          <cell r="CF391"/>
          <cell r="CG391"/>
          <cell r="CH391"/>
          <cell r="CI391"/>
          <cell r="CJ391"/>
          <cell r="CK391"/>
          <cell r="CL391"/>
          <cell r="CM391"/>
          <cell r="CN391"/>
          <cell r="CO391"/>
          <cell r="CP391"/>
          <cell r="CQ391"/>
          <cell r="CR391"/>
          <cell r="CS391"/>
          <cell r="CT391"/>
          <cell r="CU391"/>
          <cell r="CV391"/>
          <cell r="CW391"/>
          <cell r="CX391"/>
          <cell r="CY391"/>
          <cell r="CZ391"/>
          <cell r="DA391"/>
        </row>
        <row r="392">
          <cell r="G392"/>
          <cell r="H392"/>
          <cell r="I392"/>
          <cell r="J392"/>
          <cell r="K392"/>
          <cell r="L392"/>
          <cell r="M392"/>
          <cell r="N392" t="str">
            <v>08809702School Turnaround Leaders Program</v>
          </cell>
          <cell r="P392" t="str">
            <v>5010</v>
          </cell>
          <cell r="Q392"/>
          <cell r="R392"/>
          <cell r="S392"/>
          <cell r="T392"/>
          <cell r="U392"/>
          <cell r="V392"/>
          <cell r="W392"/>
          <cell r="X392"/>
          <cell r="Y392"/>
          <cell r="Z392"/>
          <cell r="AA392"/>
          <cell r="AB392"/>
          <cell r="AC392"/>
          <cell r="AD392"/>
          <cell r="AE392"/>
          <cell r="AF392"/>
          <cell r="AG392"/>
          <cell r="AH392"/>
          <cell r="AI392"/>
          <cell r="AJ392"/>
          <cell r="AK392"/>
          <cell r="AL392"/>
          <cell r="AM392"/>
          <cell r="AN392"/>
          <cell r="AO392"/>
          <cell r="AP392"/>
          <cell r="AQ392"/>
          <cell r="AR392"/>
          <cell r="AS392"/>
          <cell r="AT392"/>
          <cell r="AU392"/>
          <cell r="AV392"/>
          <cell r="AW392"/>
          <cell r="AX392"/>
          <cell r="AY392"/>
          <cell r="AZ392"/>
          <cell r="BA392"/>
          <cell r="BB392"/>
          <cell r="BC392"/>
          <cell r="BD392"/>
          <cell r="BE392"/>
          <cell r="BF392"/>
          <cell r="BG392"/>
          <cell r="BH392"/>
          <cell r="BI392"/>
          <cell r="BJ392"/>
          <cell r="BK392"/>
          <cell r="BL392"/>
          <cell r="BM392"/>
          <cell r="BN392"/>
          <cell r="BO392"/>
          <cell r="BP392"/>
          <cell r="BQ392"/>
          <cell r="BR392"/>
          <cell r="BS392"/>
          <cell r="BT392"/>
          <cell r="BU392"/>
          <cell r="BV392"/>
          <cell r="BW392"/>
          <cell r="BX392"/>
          <cell r="BY392"/>
          <cell r="BZ392"/>
          <cell r="CA392"/>
          <cell r="CB392"/>
          <cell r="CC392"/>
          <cell r="CD392"/>
          <cell r="CE392"/>
          <cell r="CF392"/>
          <cell r="CG392"/>
          <cell r="CH392"/>
          <cell r="CI392"/>
          <cell r="CJ392"/>
          <cell r="CK392"/>
          <cell r="CL392"/>
          <cell r="CM392"/>
          <cell r="CN392"/>
          <cell r="CO392"/>
          <cell r="CP392"/>
          <cell r="CQ392"/>
          <cell r="CR392"/>
          <cell r="CS392"/>
          <cell r="CT392"/>
          <cell r="CU392"/>
          <cell r="CV392"/>
          <cell r="CW392"/>
          <cell r="CX392"/>
          <cell r="CY392"/>
          <cell r="CZ392"/>
          <cell r="DA392"/>
        </row>
        <row r="393">
          <cell r="F393" t="str">
            <v>09</v>
          </cell>
          <cell r="G393" t="str">
            <v>0</v>
          </cell>
          <cell r="H393" t="str">
            <v>0</v>
          </cell>
          <cell r="I393" t="str">
            <v>0</v>
          </cell>
          <cell r="J393" t="str">
            <v>0</v>
          </cell>
          <cell r="K393"/>
          <cell r="L393" t="str">
            <v>0000</v>
          </cell>
          <cell r="M393" t="str">
            <v>X</v>
          </cell>
          <cell r="N393" t="str">
            <v>0880N/ASchool Turnaround Leaders Program</v>
          </cell>
          <cell r="P393" t="str">
            <v>5010</v>
          </cell>
          <cell r="Q393" t="str">
            <v>70*C</v>
          </cell>
          <cell r="R393"/>
          <cell r="S393"/>
          <cell r="T393"/>
          <cell r="U393"/>
          <cell r="V393"/>
          <cell r="W393"/>
          <cell r="X393"/>
          <cell r="Y393"/>
          <cell r="Z393"/>
          <cell r="AA393"/>
          <cell r="AB393"/>
          <cell r="AC393"/>
          <cell r="AD393"/>
          <cell r="AE393"/>
          <cell r="AF393"/>
          <cell r="AG393"/>
          <cell r="AH393"/>
          <cell r="AI393"/>
          <cell r="AJ393"/>
          <cell r="AK393"/>
          <cell r="AL393"/>
          <cell r="AM393"/>
          <cell r="AN393"/>
          <cell r="AO393"/>
          <cell r="AP393"/>
          <cell r="AQ393"/>
          <cell r="AR393"/>
          <cell r="AS393"/>
          <cell r="AT393"/>
          <cell r="AU393"/>
          <cell r="AW393"/>
          <cell r="AX393"/>
          <cell r="AY393"/>
          <cell r="AZ393"/>
          <cell r="BA393"/>
          <cell r="BB393"/>
          <cell r="BC393"/>
          <cell r="BD393"/>
          <cell r="BE393"/>
          <cell r="BF393"/>
          <cell r="BG393"/>
          <cell r="BH393"/>
          <cell r="BI393"/>
          <cell r="BJ393"/>
          <cell r="BK393"/>
          <cell r="BL393"/>
          <cell r="BM393"/>
          <cell r="BN393"/>
          <cell r="BO393"/>
          <cell r="BP393"/>
          <cell r="BQ393"/>
          <cell r="BR393"/>
          <cell r="BS393"/>
          <cell r="BT393"/>
          <cell r="BU393"/>
          <cell r="BV393"/>
          <cell r="BW393">
            <v>0</v>
          </cell>
          <cell r="BX393">
            <v>0</v>
          </cell>
          <cell r="BY393">
            <v>0</v>
          </cell>
          <cell r="BZ393" t="str">
            <v>S010A190006</v>
          </cell>
          <cell r="CA393"/>
          <cell r="CB393">
            <v>421897</v>
          </cell>
          <cell r="CC393"/>
          <cell r="CD393"/>
          <cell r="CE393"/>
          <cell r="CF393"/>
          <cell r="CG393"/>
          <cell r="CH393"/>
          <cell r="CI393"/>
          <cell r="CJ393"/>
          <cell r="CK393"/>
          <cell r="CL393"/>
          <cell r="CM393"/>
          <cell r="CN393"/>
          <cell r="CO393"/>
          <cell r="CP393"/>
          <cell r="CQ393"/>
          <cell r="CR393"/>
          <cell r="CS393"/>
          <cell r="CT393"/>
          <cell r="CU393"/>
          <cell r="CV393"/>
          <cell r="CW393"/>
          <cell r="CX393"/>
          <cell r="CY393"/>
          <cell r="CZ393"/>
          <cell r="DA393"/>
        </row>
        <row r="394">
          <cell r="F394" t="str">
            <v>09</v>
          </cell>
          <cell r="G394" t="str">
            <v>0</v>
          </cell>
          <cell r="H394" t="str">
            <v>1</v>
          </cell>
          <cell r="I394" t="str">
            <v>0</v>
          </cell>
          <cell r="J394" t="str">
            <v>0</v>
          </cell>
          <cell r="K394"/>
          <cell r="L394" t="str">
            <v>0100</v>
          </cell>
          <cell r="M394" t="str">
            <v>02</v>
          </cell>
          <cell r="N394" t="str">
            <v>09003863School Turnaround Leaders Program</v>
          </cell>
          <cell r="P394" t="str">
            <v>5010</v>
          </cell>
          <cell r="Q394" t="str">
            <v>70*C</v>
          </cell>
          <cell r="R394"/>
          <cell r="S394"/>
          <cell r="T394"/>
          <cell r="U394"/>
          <cell r="V394"/>
          <cell r="W394"/>
          <cell r="X394"/>
          <cell r="Y394"/>
          <cell r="Z394"/>
          <cell r="AA394"/>
          <cell r="AB394"/>
          <cell r="AC394"/>
          <cell r="AD394"/>
          <cell r="AE394"/>
          <cell r="AF394"/>
          <cell r="AG394"/>
          <cell r="AH394"/>
          <cell r="AI394"/>
          <cell r="AJ394"/>
          <cell r="AK394"/>
          <cell r="AL394"/>
          <cell r="AM394"/>
          <cell r="AN394"/>
          <cell r="AO394"/>
          <cell r="AP394"/>
          <cell r="AQ394"/>
          <cell r="AR394"/>
          <cell r="AS394"/>
          <cell r="AT394"/>
          <cell r="AU394"/>
          <cell r="AV394" t="str">
            <v>S010A180006</v>
          </cell>
          <cell r="AW394"/>
          <cell r="AX394">
            <v>139010</v>
          </cell>
          <cell r="AY394"/>
          <cell r="AZ394"/>
          <cell r="BA394"/>
          <cell r="BB394"/>
          <cell r="BC394"/>
          <cell r="BD394"/>
          <cell r="BE394"/>
          <cell r="BF394"/>
          <cell r="BG394"/>
          <cell r="BH394"/>
          <cell r="BI394"/>
          <cell r="BJ394"/>
          <cell r="BK394"/>
          <cell r="BL394"/>
          <cell r="BM394"/>
          <cell r="BN394"/>
          <cell r="BO394"/>
          <cell r="BP394"/>
          <cell r="BQ394"/>
          <cell r="BR394"/>
          <cell r="BS394"/>
          <cell r="BT394"/>
          <cell r="BU394">
            <v>-118735</v>
          </cell>
          <cell r="BV394"/>
          <cell r="BW394">
            <v>-118735</v>
          </cell>
          <cell r="BX394">
            <v>0</v>
          </cell>
          <cell r="BY394">
            <v>20275</v>
          </cell>
          <cell r="CA394"/>
          <cell r="CB394"/>
          <cell r="CC394"/>
          <cell r="CD394"/>
          <cell r="CE394">
            <v>-20275</v>
          </cell>
          <cell r="CF394"/>
          <cell r="CG394"/>
          <cell r="CH394"/>
          <cell r="CI394"/>
          <cell r="CJ394"/>
          <cell r="CK394"/>
          <cell r="CL394"/>
          <cell r="CM394"/>
          <cell r="CN394"/>
          <cell r="CO394"/>
          <cell r="CP394"/>
          <cell r="CQ394"/>
          <cell r="CR394"/>
          <cell r="CS394"/>
          <cell r="CT394"/>
          <cell r="CU394"/>
          <cell r="CV394"/>
          <cell r="CW394"/>
          <cell r="CX394"/>
          <cell r="CY394"/>
          <cell r="CZ394"/>
          <cell r="DA394"/>
        </row>
        <row r="395">
          <cell r="F395" t="str">
            <v>09</v>
          </cell>
          <cell r="G395" t="str">
            <v>0</v>
          </cell>
          <cell r="H395" t="str">
            <v>1</v>
          </cell>
          <cell r="I395" t="str">
            <v>0</v>
          </cell>
          <cell r="J395" t="str">
            <v>0</v>
          </cell>
          <cell r="K395"/>
          <cell r="L395" t="str">
            <v>0100</v>
          </cell>
          <cell r="M395" t="str">
            <v>02</v>
          </cell>
          <cell r="N395" t="str">
            <v>1420N/ASchool Turnaround Leaders Program</v>
          </cell>
          <cell r="P395" t="str">
            <v>5010</v>
          </cell>
          <cell r="Q395" t="str">
            <v>70*C</v>
          </cell>
          <cell r="R395"/>
          <cell r="S395"/>
          <cell r="T395"/>
          <cell r="U395"/>
          <cell r="V395"/>
          <cell r="W395"/>
          <cell r="X395"/>
          <cell r="Y395"/>
          <cell r="Z395"/>
          <cell r="AA395"/>
          <cell r="AB395"/>
          <cell r="AC395"/>
          <cell r="AD395"/>
          <cell r="AE395"/>
          <cell r="AF395"/>
          <cell r="AG395"/>
          <cell r="AH395"/>
          <cell r="AI395"/>
          <cell r="AJ395"/>
          <cell r="AK395"/>
          <cell r="AL395"/>
          <cell r="AM395"/>
          <cell r="AN395"/>
          <cell r="AO395"/>
          <cell r="AP395"/>
          <cell r="AQ395"/>
          <cell r="AR395"/>
          <cell r="AS395"/>
          <cell r="AT395"/>
          <cell r="AU395"/>
          <cell r="AV395" t="str">
            <v>S010A180006</v>
          </cell>
          <cell r="AW395"/>
          <cell r="AX395">
            <v>362794</v>
          </cell>
          <cell r="AY395"/>
          <cell r="AZ395"/>
          <cell r="BA395"/>
          <cell r="BB395"/>
          <cell r="BC395"/>
          <cell r="BD395"/>
          <cell r="BE395"/>
          <cell r="BF395"/>
          <cell r="BG395"/>
          <cell r="BH395"/>
          <cell r="BI395"/>
          <cell r="BJ395"/>
          <cell r="BK395"/>
          <cell r="BL395"/>
          <cell r="BM395"/>
          <cell r="BN395"/>
          <cell r="BO395"/>
          <cell r="BP395"/>
          <cell r="BQ395"/>
          <cell r="BR395"/>
          <cell r="BS395"/>
          <cell r="BT395"/>
          <cell r="BU395"/>
          <cell r="BV395"/>
          <cell r="BW395">
            <v>0</v>
          </cell>
          <cell r="BX395">
            <v>0</v>
          </cell>
          <cell r="BY395">
            <v>362794</v>
          </cell>
          <cell r="CA395"/>
          <cell r="CB395"/>
          <cell r="CC395"/>
          <cell r="CD395"/>
          <cell r="CE395"/>
          <cell r="CF395"/>
          <cell r="CG395"/>
          <cell r="CH395"/>
          <cell r="CI395"/>
          <cell r="CJ395"/>
          <cell r="CK395"/>
          <cell r="CL395"/>
          <cell r="CM395">
            <v>-246350.06</v>
          </cell>
          <cell r="CN395"/>
          <cell r="CO395"/>
          <cell r="CP395"/>
          <cell r="CQ395">
            <v>-116443.94</v>
          </cell>
          <cell r="CR395"/>
          <cell r="CS395"/>
          <cell r="CT395"/>
          <cell r="CU395"/>
          <cell r="CV395"/>
          <cell r="CW395"/>
          <cell r="CX395"/>
          <cell r="CY395"/>
          <cell r="CZ395"/>
          <cell r="DA395"/>
        </row>
        <row r="396">
          <cell r="F396" t="str">
            <v>10</v>
          </cell>
          <cell r="G396" t="str">
            <v>0</v>
          </cell>
          <cell r="H396" t="str">
            <v>0</v>
          </cell>
          <cell r="I396" t="str">
            <v>0</v>
          </cell>
          <cell r="J396" t="str">
            <v>1</v>
          </cell>
          <cell r="K396"/>
          <cell r="L396" t="str">
            <v>0001</v>
          </cell>
          <cell r="M396" t="str">
            <v>04</v>
          </cell>
          <cell r="N396" t="str">
            <v>20001450School Turnaround Leaders Program</v>
          </cell>
          <cell r="P396" t="str">
            <v>5010</v>
          </cell>
          <cell r="Q396"/>
          <cell r="R396"/>
          <cell r="S396"/>
          <cell r="T396"/>
          <cell r="U396"/>
          <cell r="V396"/>
          <cell r="W396"/>
          <cell r="X396"/>
          <cell r="Y396"/>
          <cell r="Z396"/>
          <cell r="AA396"/>
          <cell r="AB396"/>
          <cell r="AC396"/>
          <cell r="AD396"/>
          <cell r="AE396"/>
          <cell r="AF396"/>
          <cell r="AG396"/>
          <cell r="AH396"/>
          <cell r="AI396"/>
          <cell r="AJ396"/>
          <cell r="AK396"/>
          <cell r="AL396"/>
          <cell r="AM396"/>
          <cell r="AN396"/>
          <cell r="AO396"/>
          <cell r="AP396"/>
          <cell r="AQ396"/>
          <cell r="AR396"/>
          <cell r="AS396"/>
          <cell r="AT396"/>
          <cell r="AU396"/>
          <cell r="AV396"/>
          <cell r="AW396"/>
          <cell r="AX396"/>
          <cell r="AY396"/>
          <cell r="AZ396"/>
          <cell r="BA396"/>
          <cell r="BB396"/>
          <cell r="BC396"/>
          <cell r="BD396"/>
          <cell r="BE396"/>
          <cell r="BF396"/>
          <cell r="BG396"/>
          <cell r="BH396"/>
          <cell r="BI396"/>
          <cell r="BJ396"/>
          <cell r="BK396"/>
          <cell r="BL396"/>
          <cell r="BM396"/>
          <cell r="BN396"/>
          <cell r="BO396"/>
          <cell r="BP396"/>
          <cell r="BQ396"/>
          <cell r="BR396"/>
          <cell r="BS396"/>
          <cell r="BT396"/>
          <cell r="BU396"/>
          <cell r="BV396"/>
          <cell r="BW396"/>
          <cell r="BX396"/>
          <cell r="BY396"/>
          <cell r="BZ396"/>
          <cell r="CA396"/>
          <cell r="CB396"/>
          <cell r="CC396"/>
          <cell r="CD396"/>
          <cell r="CE396"/>
          <cell r="CF396"/>
          <cell r="CG396"/>
          <cell r="CH396"/>
          <cell r="CI396"/>
          <cell r="CJ396"/>
          <cell r="CK396"/>
          <cell r="CL396"/>
          <cell r="CM396"/>
          <cell r="CN396"/>
          <cell r="CO396"/>
          <cell r="CP396"/>
          <cell r="CQ396"/>
          <cell r="CR396"/>
          <cell r="CS396"/>
          <cell r="CT396"/>
          <cell r="CU396"/>
          <cell r="CV396"/>
          <cell r="CW396"/>
          <cell r="CX396"/>
          <cell r="CY396"/>
          <cell r="CZ396"/>
          <cell r="DA396"/>
        </row>
        <row r="397">
          <cell r="G397"/>
          <cell r="H397"/>
          <cell r="I397"/>
          <cell r="J397"/>
          <cell r="K397"/>
          <cell r="L397"/>
          <cell r="M397"/>
          <cell r="N397"/>
          <cell r="Q397"/>
          <cell r="R397"/>
          <cell r="S397"/>
          <cell r="T397"/>
          <cell r="U397"/>
          <cell r="V397"/>
          <cell r="W397"/>
          <cell r="X397"/>
          <cell r="Y397"/>
          <cell r="Z397"/>
          <cell r="AA397"/>
          <cell r="AB397"/>
          <cell r="AC397"/>
          <cell r="AD397"/>
          <cell r="AE397"/>
          <cell r="AF397"/>
          <cell r="AG397"/>
          <cell r="AH397"/>
          <cell r="AI397"/>
          <cell r="AJ397"/>
          <cell r="AK397"/>
          <cell r="AL397"/>
          <cell r="AM397"/>
          <cell r="AN397"/>
          <cell r="AO397"/>
          <cell r="AP397"/>
          <cell r="AQ397"/>
          <cell r="AR397"/>
          <cell r="AS397"/>
          <cell r="AT397"/>
          <cell r="AU397"/>
          <cell r="AW397"/>
          <cell r="AX397"/>
          <cell r="AY397"/>
          <cell r="AZ397"/>
          <cell r="BA397"/>
          <cell r="BB397"/>
          <cell r="BC397"/>
          <cell r="BD397"/>
          <cell r="BE397"/>
          <cell r="BF397"/>
          <cell r="BG397"/>
          <cell r="BH397"/>
          <cell r="BI397"/>
          <cell r="BJ397"/>
          <cell r="BK397"/>
          <cell r="BL397"/>
          <cell r="BM397"/>
          <cell r="BN397"/>
          <cell r="BO397"/>
          <cell r="BP397"/>
          <cell r="BQ397"/>
          <cell r="BR397"/>
          <cell r="BS397"/>
          <cell r="BT397"/>
          <cell r="BU397"/>
          <cell r="BV397"/>
          <cell r="BW397"/>
          <cell r="BX397"/>
          <cell r="BY397"/>
          <cell r="CA397"/>
          <cell r="CB397"/>
          <cell r="CC397"/>
          <cell r="CD397"/>
          <cell r="CE397"/>
          <cell r="CF397"/>
          <cell r="CG397"/>
          <cell r="CH397"/>
          <cell r="CI397"/>
          <cell r="CJ397"/>
          <cell r="CK397"/>
          <cell r="CL397"/>
          <cell r="CM397"/>
          <cell r="CN397"/>
          <cell r="CO397"/>
          <cell r="CP397"/>
          <cell r="CQ397"/>
          <cell r="CR397"/>
          <cell r="CS397"/>
          <cell r="CT397"/>
          <cell r="CU397"/>
          <cell r="CV397"/>
          <cell r="CW397"/>
          <cell r="CX397"/>
          <cell r="CY397"/>
          <cell r="CZ397"/>
          <cell r="DA397"/>
        </row>
        <row r="398">
          <cell r="G398"/>
          <cell r="H398"/>
          <cell r="I398"/>
          <cell r="J398"/>
          <cell r="K398"/>
          <cell r="L398"/>
          <cell r="M398"/>
          <cell r="N398"/>
          <cell r="Q398"/>
          <cell r="R398"/>
          <cell r="S398"/>
          <cell r="T398"/>
          <cell r="U398"/>
          <cell r="V398"/>
          <cell r="W398"/>
          <cell r="X398"/>
          <cell r="Y398"/>
          <cell r="Z398"/>
          <cell r="AA398"/>
          <cell r="AB398"/>
          <cell r="AC398"/>
          <cell r="AD398"/>
          <cell r="AE398"/>
          <cell r="AF398"/>
          <cell r="AG398"/>
          <cell r="AH398"/>
          <cell r="AI398"/>
          <cell r="AJ398"/>
          <cell r="AK398"/>
          <cell r="AL398"/>
          <cell r="AM398"/>
          <cell r="AN398"/>
          <cell r="AO398"/>
          <cell r="AP398"/>
          <cell r="AQ398"/>
          <cell r="AR398"/>
          <cell r="AS398"/>
          <cell r="AT398"/>
          <cell r="AU398"/>
          <cell r="AW398"/>
          <cell r="AX398"/>
          <cell r="AY398"/>
          <cell r="AZ398"/>
          <cell r="BA398"/>
          <cell r="BB398"/>
          <cell r="BC398"/>
          <cell r="BD398"/>
          <cell r="BE398"/>
          <cell r="BF398"/>
          <cell r="BG398"/>
          <cell r="BH398"/>
          <cell r="BI398"/>
          <cell r="BJ398"/>
          <cell r="BK398"/>
          <cell r="BL398"/>
          <cell r="BM398"/>
          <cell r="BN398"/>
          <cell r="BO398"/>
          <cell r="BP398"/>
          <cell r="BQ398"/>
          <cell r="BR398"/>
          <cell r="BS398"/>
          <cell r="BT398"/>
          <cell r="BU398"/>
          <cell r="BV398"/>
          <cell r="BW398"/>
          <cell r="BX398"/>
          <cell r="BY398"/>
          <cell r="CA398"/>
          <cell r="CB398"/>
          <cell r="CC398"/>
          <cell r="CD398"/>
          <cell r="CE398"/>
          <cell r="CF398"/>
          <cell r="CG398"/>
          <cell r="CH398"/>
          <cell r="CI398"/>
          <cell r="CJ398"/>
          <cell r="CK398"/>
          <cell r="CL398"/>
          <cell r="CM398"/>
          <cell r="CN398"/>
          <cell r="CO398"/>
          <cell r="CP398"/>
          <cell r="CQ398"/>
          <cell r="CR398"/>
          <cell r="CS398"/>
          <cell r="CT398"/>
          <cell r="CU398"/>
          <cell r="CV398"/>
          <cell r="CW398"/>
          <cell r="CX398"/>
          <cell r="CY398"/>
          <cell r="CZ398"/>
          <cell r="DA398"/>
        </row>
        <row r="399">
          <cell r="G399"/>
          <cell r="H399"/>
          <cell r="I399"/>
          <cell r="J399"/>
          <cell r="K399"/>
          <cell r="L399"/>
          <cell r="M399"/>
          <cell r="N399"/>
          <cell r="Q399"/>
          <cell r="R399"/>
          <cell r="S399"/>
          <cell r="T399"/>
          <cell r="U399"/>
          <cell r="V399"/>
          <cell r="W399"/>
          <cell r="X399"/>
          <cell r="Y399"/>
          <cell r="Z399"/>
          <cell r="AA399"/>
          <cell r="AB399"/>
          <cell r="AC399"/>
          <cell r="AD399"/>
          <cell r="AE399"/>
          <cell r="AF399"/>
          <cell r="AG399"/>
          <cell r="AH399"/>
          <cell r="AI399"/>
          <cell r="AJ399"/>
          <cell r="AK399"/>
          <cell r="AL399"/>
          <cell r="AM399"/>
          <cell r="AN399"/>
          <cell r="AO399"/>
          <cell r="AP399"/>
          <cell r="AQ399"/>
          <cell r="AR399"/>
          <cell r="AS399"/>
          <cell r="AT399"/>
          <cell r="AU399"/>
          <cell r="AW399"/>
          <cell r="AX399"/>
          <cell r="AY399"/>
          <cell r="AZ399"/>
          <cell r="BA399"/>
          <cell r="BB399"/>
          <cell r="BC399"/>
          <cell r="BD399"/>
          <cell r="BE399"/>
          <cell r="BF399"/>
          <cell r="BG399"/>
          <cell r="BH399"/>
          <cell r="BI399"/>
          <cell r="BJ399"/>
          <cell r="BK399"/>
          <cell r="BL399"/>
          <cell r="BM399"/>
          <cell r="BN399"/>
          <cell r="BO399"/>
          <cell r="BP399"/>
          <cell r="BQ399"/>
          <cell r="BR399"/>
          <cell r="BS399"/>
          <cell r="BT399"/>
          <cell r="BU399"/>
          <cell r="BV399"/>
          <cell r="BW399"/>
          <cell r="BX399"/>
          <cell r="BY399"/>
          <cell r="CA399"/>
          <cell r="CB399"/>
          <cell r="CC399"/>
          <cell r="CD399"/>
          <cell r="CE399"/>
          <cell r="CF399"/>
          <cell r="CG399"/>
          <cell r="CH399"/>
          <cell r="CI399"/>
          <cell r="CJ399"/>
          <cell r="CK399"/>
          <cell r="CL399"/>
          <cell r="CM399"/>
          <cell r="CN399"/>
          <cell r="CO399"/>
          <cell r="CP399"/>
          <cell r="CQ399"/>
          <cell r="CR399"/>
          <cell r="CS399"/>
          <cell r="CT399"/>
          <cell r="CU399"/>
          <cell r="CV399"/>
          <cell r="CW399"/>
          <cell r="CX399"/>
          <cell r="CY399"/>
          <cell r="CZ399"/>
          <cell r="DA399"/>
        </row>
        <row r="400">
          <cell r="G400"/>
          <cell r="H400"/>
          <cell r="I400"/>
          <cell r="J400"/>
          <cell r="K400"/>
          <cell r="L400"/>
          <cell r="M400"/>
          <cell r="N400"/>
          <cell r="Q400"/>
          <cell r="R400"/>
          <cell r="S400"/>
          <cell r="T400"/>
          <cell r="U400"/>
          <cell r="V400"/>
          <cell r="W400"/>
          <cell r="X400"/>
          <cell r="Y400"/>
          <cell r="Z400"/>
          <cell r="AA400"/>
          <cell r="AB400"/>
          <cell r="AC400"/>
          <cell r="AD400"/>
          <cell r="AE400"/>
          <cell r="AF400"/>
          <cell r="AG400"/>
          <cell r="AH400"/>
          <cell r="AI400"/>
          <cell r="AJ400"/>
          <cell r="AK400"/>
          <cell r="AL400"/>
          <cell r="AM400"/>
          <cell r="AN400"/>
          <cell r="AO400"/>
          <cell r="AP400"/>
          <cell r="AQ400"/>
          <cell r="AR400"/>
          <cell r="AS400"/>
          <cell r="AT400"/>
          <cell r="AU400"/>
          <cell r="AW400"/>
          <cell r="AX400"/>
          <cell r="AY400"/>
          <cell r="AZ400"/>
          <cell r="BA400"/>
          <cell r="BB400"/>
          <cell r="BC400"/>
          <cell r="BD400"/>
          <cell r="BE400"/>
          <cell r="BF400"/>
          <cell r="BG400"/>
          <cell r="BH400"/>
          <cell r="BI400"/>
          <cell r="BJ400"/>
          <cell r="BK400"/>
          <cell r="BL400"/>
          <cell r="BM400"/>
          <cell r="BN400"/>
          <cell r="BO400"/>
          <cell r="BP400"/>
          <cell r="BQ400"/>
          <cell r="BR400"/>
          <cell r="BS400"/>
          <cell r="BT400"/>
          <cell r="BU400"/>
          <cell r="BV400"/>
          <cell r="BW400"/>
          <cell r="BX400"/>
          <cell r="BY400"/>
          <cell r="CA400"/>
          <cell r="CB400"/>
          <cell r="CC400"/>
          <cell r="CD400"/>
          <cell r="CE400"/>
          <cell r="CF400"/>
          <cell r="CG400"/>
          <cell r="CH400"/>
          <cell r="CI400"/>
          <cell r="CJ400"/>
          <cell r="CK400"/>
          <cell r="CL400"/>
          <cell r="CM400"/>
          <cell r="CN400"/>
          <cell r="CO400"/>
          <cell r="CP400"/>
          <cell r="CQ400"/>
          <cell r="CR400"/>
          <cell r="CS400"/>
          <cell r="CT400"/>
          <cell r="CU400"/>
          <cell r="CV400"/>
          <cell r="CW400"/>
          <cell r="CX400"/>
          <cell r="CY400"/>
          <cell r="CZ400"/>
          <cell r="DA400"/>
        </row>
        <row r="401">
          <cell r="G401"/>
          <cell r="H401"/>
          <cell r="I401"/>
          <cell r="J401"/>
          <cell r="K401"/>
          <cell r="L401"/>
          <cell r="M401"/>
          <cell r="N401"/>
          <cell r="Q401"/>
          <cell r="R401"/>
          <cell r="S401"/>
          <cell r="T401"/>
          <cell r="U401"/>
          <cell r="V401"/>
          <cell r="W401"/>
          <cell r="X401"/>
          <cell r="Y401"/>
          <cell r="Z401"/>
          <cell r="AA401"/>
          <cell r="AB401"/>
          <cell r="AC401"/>
          <cell r="AD401"/>
          <cell r="AE401"/>
          <cell r="AF401"/>
          <cell r="AG401"/>
          <cell r="AH401"/>
          <cell r="AI401"/>
          <cell r="AJ401"/>
          <cell r="AK401"/>
          <cell r="AL401"/>
          <cell r="AM401"/>
          <cell r="AN401"/>
          <cell r="AO401"/>
          <cell r="AP401"/>
          <cell r="AQ401"/>
          <cell r="AR401"/>
          <cell r="AS401"/>
          <cell r="AT401"/>
          <cell r="AU401"/>
          <cell r="AW401"/>
          <cell r="AX401"/>
          <cell r="AY401"/>
          <cell r="AZ401"/>
          <cell r="BA401"/>
          <cell r="BB401"/>
          <cell r="BC401"/>
          <cell r="BD401"/>
          <cell r="BE401"/>
          <cell r="BF401"/>
          <cell r="BG401"/>
          <cell r="BH401"/>
          <cell r="BI401"/>
          <cell r="BJ401"/>
          <cell r="BK401"/>
          <cell r="BL401"/>
          <cell r="BM401"/>
          <cell r="BN401"/>
          <cell r="BO401"/>
          <cell r="BP401"/>
          <cell r="BQ401"/>
          <cell r="BR401"/>
          <cell r="BS401"/>
          <cell r="BT401"/>
          <cell r="BU401"/>
          <cell r="BV401"/>
          <cell r="BW401"/>
          <cell r="BX401"/>
          <cell r="BY401"/>
          <cell r="CA401"/>
          <cell r="CB401"/>
          <cell r="CC401"/>
          <cell r="CD401"/>
          <cell r="CE401"/>
          <cell r="CF401"/>
          <cell r="CG401"/>
          <cell r="CH401"/>
          <cell r="CI401"/>
          <cell r="CJ401"/>
          <cell r="CK401"/>
          <cell r="CL401"/>
          <cell r="CM401"/>
          <cell r="CN401"/>
          <cell r="CO401"/>
          <cell r="CP401"/>
          <cell r="CQ401"/>
          <cell r="CR401"/>
          <cell r="CS401"/>
          <cell r="CT401"/>
          <cell r="CU401"/>
          <cell r="CV401"/>
          <cell r="CW401"/>
          <cell r="CX401"/>
          <cell r="CY401"/>
          <cell r="CZ401"/>
          <cell r="DA401"/>
        </row>
        <row r="402">
          <cell r="G402"/>
          <cell r="H402"/>
          <cell r="I402"/>
          <cell r="J402"/>
          <cell r="K402"/>
          <cell r="L402"/>
          <cell r="M402"/>
          <cell r="N402"/>
          <cell r="Q402"/>
          <cell r="R402"/>
          <cell r="S402"/>
          <cell r="T402"/>
          <cell r="U402"/>
          <cell r="V402"/>
          <cell r="W402"/>
          <cell r="X402"/>
          <cell r="Y402"/>
          <cell r="Z402"/>
          <cell r="AA402"/>
          <cell r="AB402"/>
          <cell r="AC402"/>
          <cell r="AD402"/>
          <cell r="AE402"/>
          <cell r="AF402"/>
          <cell r="AG402"/>
          <cell r="AH402"/>
          <cell r="AI402"/>
          <cell r="AJ402"/>
          <cell r="AK402"/>
          <cell r="AL402"/>
          <cell r="AM402"/>
          <cell r="AN402"/>
          <cell r="AO402"/>
          <cell r="AP402"/>
          <cell r="AQ402"/>
          <cell r="AR402"/>
          <cell r="AS402"/>
          <cell r="AT402"/>
          <cell r="AU402"/>
          <cell r="AW402"/>
          <cell r="AX402"/>
          <cell r="AY402"/>
          <cell r="AZ402"/>
          <cell r="BA402"/>
          <cell r="BB402"/>
          <cell r="BC402"/>
          <cell r="BD402"/>
          <cell r="BE402"/>
          <cell r="BF402"/>
          <cell r="BG402"/>
          <cell r="BH402"/>
          <cell r="BI402"/>
          <cell r="BJ402"/>
          <cell r="BK402"/>
          <cell r="BL402"/>
          <cell r="BM402"/>
          <cell r="BN402"/>
          <cell r="BO402"/>
          <cell r="BP402"/>
          <cell r="BQ402"/>
          <cell r="BR402"/>
          <cell r="BS402"/>
          <cell r="BT402"/>
          <cell r="BU402"/>
          <cell r="BV402"/>
          <cell r="BW402"/>
          <cell r="BX402"/>
          <cell r="BY402"/>
          <cell r="CA402"/>
          <cell r="CB402"/>
          <cell r="CC402"/>
          <cell r="CD402"/>
          <cell r="CE402"/>
          <cell r="CF402"/>
          <cell r="CG402"/>
          <cell r="CH402"/>
          <cell r="CI402"/>
          <cell r="CJ402"/>
          <cell r="CK402"/>
          <cell r="CL402"/>
          <cell r="CM402"/>
          <cell r="CN402"/>
          <cell r="CO402"/>
          <cell r="CP402"/>
          <cell r="CQ402"/>
          <cell r="CR402"/>
          <cell r="CS402"/>
          <cell r="CT402"/>
          <cell r="CU402"/>
          <cell r="CV402"/>
          <cell r="CW402"/>
          <cell r="CX402"/>
          <cell r="CY402"/>
          <cell r="CZ402"/>
          <cell r="DA402"/>
        </row>
        <row r="403">
          <cell r="G403"/>
          <cell r="H403"/>
          <cell r="I403"/>
          <cell r="J403"/>
          <cell r="K403"/>
          <cell r="L403"/>
          <cell r="M403"/>
          <cell r="N403"/>
          <cell r="Q403"/>
          <cell r="R403"/>
          <cell r="S403"/>
          <cell r="T403"/>
          <cell r="U403"/>
          <cell r="V403"/>
          <cell r="W403"/>
          <cell r="X403"/>
          <cell r="Y403"/>
          <cell r="Z403"/>
          <cell r="AA403"/>
          <cell r="AB403"/>
          <cell r="AC403"/>
          <cell r="AD403"/>
          <cell r="AE403"/>
          <cell r="AF403"/>
          <cell r="AG403"/>
          <cell r="AH403"/>
          <cell r="AI403"/>
          <cell r="AJ403"/>
          <cell r="AK403"/>
          <cell r="AL403"/>
          <cell r="AM403"/>
          <cell r="AN403"/>
          <cell r="AO403"/>
          <cell r="AP403"/>
          <cell r="AQ403"/>
          <cell r="AR403"/>
          <cell r="AS403"/>
          <cell r="AT403"/>
          <cell r="AU403"/>
          <cell r="AW403"/>
          <cell r="AX403"/>
          <cell r="AY403"/>
          <cell r="AZ403"/>
          <cell r="BA403"/>
          <cell r="BB403"/>
          <cell r="BC403"/>
          <cell r="BD403"/>
          <cell r="BE403"/>
          <cell r="BF403"/>
          <cell r="BG403"/>
          <cell r="BH403"/>
          <cell r="BI403"/>
          <cell r="BJ403"/>
          <cell r="BK403"/>
          <cell r="BL403"/>
          <cell r="BM403"/>
          <cell r="BN403"/>
          <cell r="BO403"/>
          <cell r="BP403"/>
          <cell r="BQ403"/>
          <cell r="BR403"/>
          <cell r="BS403"/>
          <cell r="BT403"/>
          <cell r="BU403"/>
          <cell r="BV403"/>
          <cell r="BW403"/>
          <cell r="BX403"/>
          <cell r="BY403"/>
          <cell r="CA403"/>
          <cell r="CB403"/>
          <cell r="CC403"/>
          <cell r="CD403"/>
          <cell r="CE403"/>
          <cell r="CF403"/>
          <cell r="CG403"/>
          <cell r="CH403"/>
          <cell r="CI403"/>
          <cell r="CJ403"/>
          <cell r="CK403"/>
          <cell r="CL403"/>
          <cell r="CM403"/>
          <cell r="CN403"/>
          <cell r="CO403"/>
          <cell r="CP403"/>
          <cell r="CQ403"/>
          <cell r="CR403"/>
          <cell r="CS403"/>
          <cell r="CT403"/>
          <cell r="CU403"/>
          <cell r="CV403"/>
          <cell r="CW403"/>
          <cell r="CX403"/>
          <cell r="CY403"/>
          <cell r="CZ403"/>
          <cell r="DA403"/>
        </row>
        <row r="404">
          <cell r="G404"/>
          <cell r="H404"/>
          <cell r="I404"/>
          <cell r="J404"/>
          <cell r="K404"/>
          <cell r="L404"/>
          <cell r="M404"/>
          <cell r="N404"/>
          <cell r="Q404"/>
          <cell r="R404"/>
          <cell r="S404"/>
          <cell r="T404"/>
          <cell r="U404"/>
          <cell r="V404"/>
          <cell r="W404"/>
          <cell r="X404"/>
          <cell r="Y404"/>
          <cell r="Z404"/>
          <cell r="AA404"/>
          <cell r="AB404"/>
          <cell r="AC404"/>
          <cell r="AD404"/>
          <cell r="AE404"/>
          <cell r="AF404"/>
          <cell r="AG404"/>
          <cell r="AH404"/>
          <cell r="AI404"/>
          <cell r="AJ404"/>
          <cell r="AK404"/>
          <cell r="AL404"/>
          <cell r="AM404"/>
          <cell r="AN404"/>
          <cell r="AO404"/>
          <cell r="AP404"/>
          <cell r="AQ404"/>
          <cell r="AR404"/>
          <cell r="AS404"/>
          <cell r="AT404"/>
          <cell r="AU404"/>
          <cell r="AW404"/>
          <cell r="AX404"/>
          <cell r="AY404"/>
          <cell r="AZ404"/>
          <cell r="BA404"/>
          <cell r="BB404"/>
          <cell r="BC404"/>
          <cell r="BD404"/>
          <cell r="BE404"/>
          <cell r="BF404"/>
          <cell r="BG404"/>
          <cell r="BH404"/>
          <cell r="BI404"/>
          <cell r="BJ404"/>
          <cell r="BK404"/>
          <cell r="BL404"/>
          <cell r="BM404"/>
          <cell r="BN404"/>
          <cell r="BO404"/>
          <cell r="BP404"/>
          <cell r="BQ404"/>
          <cell r="BR404"/>
          <cell r="BS404"/>
          <cell r="BT404"/>
          <cell r="BU404"/>
          <cell r="BV404"/>
          <cell r="BW404"/>
          <cell r="BX404"/>
          <cell r="BY404"/>
          <cell r="CA404"/>
          <cell r="CB404"/>
          <cell r="CC404"/>
          <cell r="CD404"/>
          <cell r="CE404"/>
          <cell r="CF404"/>
          <cell r="CG404"/>
          <cell r="CH404"/>
          <cell r="CI404"/>
          <cell r="CJ404"/>
          <cell r="CK404"/>
          <cell r="CL404"/>
          <cell r="CM404"/>
          <cell r="CN404"/>
          <cell r="CO404"/>
          <cell r="CP404"/>
          <cell r="CQ404"/>
          <cell r="CR404"/>
          <cell r="CS404"/>
          <cell r="CT404"/>
          <cell r="CU404"/>
          <cell r="CV404"/>
          <cell r="CW404"/>
          <cell r="CX404"/>
          <cell r="CY404"/>
          <cell r="CZ404"/>
          <cell r="DA404"/>
        </row>
        <row r="405">
          <cell r="G405"/>
          <cell r="H405"/>
          <cell r="I405"/>
          <cell r="J405"/>
          <cell r="K405"/>
          <cell r="L405"/>
          <cell r="M405"/>
          <cell r="N405"/>
          <cell r="Q405"/>
          <cell r="R405"/>
          <cell r="S405"/>
          <cell r="T405"/>
          <cell r="U405"/>
          <cell r="V405"/>
          <cell r="W405"/>
          <cell r="X405"/>
          <cell r="Y405"/>
          <cell r="Z405"/>
          <cell r="AA405"/>
          <cell r="AB405"/>
          <cell r="AC405"/>
          <cell r="AD405"/>
          <cell r="AE405"/>
          <cell r="AF405"/>
          <cell r="AG405"/>
          <cell r="AH405"/>
          <cell r="AI405"/>
          <cell r="AJ405"/>
          <cell r="AK405"/>
          <cell r="AL405"/>
          <cell r="AM405"/>
          <cell r="AN405"/>
          <cell r="AO405"/>
          <cell r="AP405"/>
          <cell r="AQ405"/>
          <cell r="AR405"/>
          <cell r="AS405"/>
          <cell r="AT405"/>
          <cell r="AU405"/>
          <cell r="AW405"/>
          <cell r="AX405"/>
          <cell r="AY405"/>
          <cell r="AZ405"/>
          <cell r="BA405"/>
          <cell r="BB405"/>
          <cell r="BC405"/>
          <cell r="BD405"/>
          <cell r="BE405"/>
          <cell r="BF405"/>
          <cell r="BG405"/>
          <cell r="BH405"/>
          <cell r="BI405"/>
          <cell r="BJ405"/>
          <cell r="BK405"/>
          <cell r="BL405"/>
          <cell r="BM405"/>
          <cell r="BN405"/>
          <cell r="BO405"/>
          <cell r="BP405"/>
          <cell r="BQ405"/>
          <cell r="BR405"/>
          <cell r="BS405"/>
          <cell r="BT405"/>
          <cell r="BU405"/>
          <cell r="BV405"/>
          <cell r="BW405"/>
          <cell r="BX405"/>
          <cell r="BY405"/>
          <cell r="CA405"/>
          <cell r="CB405"/>
          <cell r="CC405"/>
          <cell r="CD405"/>
          <cell r="CE405"/>
          <cell r="CF405"/>
          <cell r="CG405"/>
          <cell r="CH405"/>
          <cell r="CI405"/>
          <cell r="CJ405"/>
          <cell r="CK405"/>
          <cell r="CL405"/>
          <cell r="CM405"/>
          <cell r="CN405"/>
          <cell r="CO405"/>
          <cell r="CP405"/>
          <cell r="CQ405"/>
          <cell r="CR405"/>
          <cell r="CS405"/>
          <cell r="CT405"/>
          <cell r="CU405"/>
          <cell r="CV405"/>
          <cell r="CW405"/>
          <cell r="CX405"/>
          <cell r="CY405"/>
          <cell r="CZ405"/>
          <cell r="DA405"/>
        </row>
        <row r="406">
          <cell r="G406"/>
          <cell r="H406"/>
          <cell r="I406"/>
          <cell r="J406"/>
          <cell r="K406"/>
          <cell r="L406"/>
          <cell r="M406"/>
          <cell r="N406"/>
          <cell r="Q406"/>
          <cell r="R406"/>
          <cell r="S406"/>
          <cell r="T406"/>
          <cell r="U406"/>
          <cell r="V406"/>
          <cell r="W406"/>
          <cell r="X406"/>
          <cell r="Y406"/>
          <cell r="Z406"/>
          <cell r="AA406"/>
          <cell r="AB406"/>
          <cell r="AC406"/>
          <cell r="AD406"/>
          <cell r="AE406"/>
          <cell r="AF406"/>
          <cell r="AG406"/>
          <cell r="AH406"/>
          <cell r="AI406"/>
          <cell r="AJ406"/>
          <cell r="AK406"/>
          <cell r="AL406"/>
          <cell r="AM406"/>
          <cell r="AN406"/>
          <cell r="AO406"/>
          <cell r="AP406"/>
          <cell r="AQ406"/>
          <cell r="AR406"/>
          <cell r="AS406"/>
          <cell r="AT406"/>
          <cell r="AU406"/>
          <cell r="AW406"/>
          <cell r="AX406"/>
          <cell r="AY406"/>
          <cell r="AZ406"/>
          <cell r="BA406"/>
          <cell r="BB406"/>
          <cell r="BC406"/>
          <cell r="BD406"/>
          <cell r="BE406"/>
          <cell r="BF406"/>
          <cell r="BG406"/>
          <cell r="BH406"/>
          <cell r="BI406"/>
          <cell r="BJ406"/>
          <cell r="BK406"/>
          <cell r="BL406"/>
          <cell r="BM406"/>
          <cell r="BN406"/>
          <cell r="BO406"/>
          <cell r="BP406"/>
          <cell r="BQ406"/>
          <cell r="BR406"/>
          <cell r="BS406"/>
          <cell r="BT406"/>
          <cell r="BU406"/>
          <cell r="BV406"/>
          <cell r="BW406"/>
          <cell r="BX406"/>
          <cell r="BY406"/>
          <cell r="CA406"/>
          <cell r="CB406"/>
          <cell r="CC406"/>
          <cell r="CD406"/>
          <cell r="CE406"/>
          <cell r="CF406"/>
          <cell r="CG406"/>
          <cell r="CH406"/>
          <cell r="CI406"/>
          <cell r="CJ406"/>
          <cell r="CK406"/>
          <cell r="CL406"/>
          <cell r="CM406"/>
          <cell r="CN406"/>
          <cell r="CO406"/>
          <cell r="CP406"/>
          <cell r="CQ406"/>
          <cell r="CR406"/>
          <cell r="CS406"/>
          <cell r="CT406"/>
          <cell r="CU406"/>
          <cell r="CV406"/>
          <cell r="CW406"/>
          <cell r="CX406"/>
          <cell r="CY406"/>
          <cell r="CZ406"/>
          <cell r="DA406"/>
        </row>
        <row r="407">
          <cell r="G407"/>
          <cell r="H407"/>
          <cell r="I407"/>
          <cell r="J407"/>
          <cell r="K407"/>
          <cell r="L407"/>
          <cell r="M407"/>
          <cell r="N407"/>
          <cell r="Q407"/>
          <cell r="R407"/>
          <cell r="S407"/>
          <cell r="T407"/>
          <cell r="U407"/>
          <cell r="V407"/>
          <cell r="W407"/>
          <cell r="X407"/>
          <cell r="Y407"/>
          <cell r="Z407"/>
          <cell r="AA407"/>
          <cell r="AB407"/>
          <cell r="AC407"/>
          <cell r="AD407"/>
          <cell r="AE407"/>
          <cell r="AF407"/>
          <cell r="AG407"/>
          <cell r="AH407"/>
          <cell r="AI407"/>
          <cell r="AJ407"/>
          <cell r="AK407"/>
          <cell r="AL407"/>
          <cell r="AM407"/>
          <cell r="AN407"/>
          <cell r="AO407"/>
          <cell r="AP407"/>
          <cell r="AQ407"/>
          <cell r="AR407"/>
          <cell r="AS407"/>
          <cell r="AT407"/>
          <cell r="AU407"/>
          <cell r="AW407"/>
          <cell r="AX407"/>
          <cell r="AY407"/>
          <cell r="AZ407"/>
          <cell r="BA407"/>
          <cell r="BB407"/>
          <cell r="BC407"/>
          <cell r="BD407"/>
          <cell r="BE407"/>
          <cell r="BF407"/>
          <cell r="BG407"/>
          <cell r="BH407"/>
          <cell r="BI407"/>
          <cell r="BJ407"/>
          <cell r="BK407"/>
          <cell r="BL407"/>
          <cell r="BM407"/>
          <cell r="BN407"/>
          <cell r="BO407"/>
          <cell r="BP407"/>
          <cell r="BQ407"/>
          <cell r="BR407"/>
          <cell r="BS407"/>
          <cell r="BT407"/>
          <cell r="BU407"/>
          <cell r="BV407"/>
          <cell r="BW407"/>
          <cell r="BX407"/>
          <cell r="BY407"/>
          <cell r="CA407"/>
          <cell r="CB407"/>
          <cell r="CC407"/>
          <cell r="CD407"/>
          <cell r="CE407"/>
          <cell r="CF407"/>
          <cell r="CG407"/>
          <cell r="CH407"/>
          <cell r="CI407"/>
          <cell r="CJ407"/>
          <cell r="CK407"/>
          <cell r="CL407"/>
          <cell r="CM407"/>
          <cell r="CN407"/>
          <cell r="CO407"/>
          <cell r="CP407"/>
          <cell r="CQ407"/>
          <cell r="CR407"/>
          <cell r="CS407"/>
          <cell r="CT407"/>
          <cell r="CU407"/>
          <cell r="CV407"/>
          <cell r="CW407"/>
          <cell r="CX407"/>
          <cell r="CY407"/>
          <cell r="CZ407"/>
          <cell r="DA407"/>
        </row>
        <row r="408">
          <cell r="G408"/>
          <cell r="H408"/>
          <cell r="I408"/>
          <cell r="J408"/>
          <cell r="K408"/>
          <cell r="L408"/>
          <cell r="M408"/>
          <cell r="N408"/>
          <cell r="Q408"/>
          <cell r="R408"/>
          <cell r="S408"/>
          <cell r="T408"/>
          <cell r="U408"/>
          <cell r="V408"/>
          <cell r="W408"/>
          <cell r="X408"/>
          <cell r="Y408"/>
          <cell r="Z408"/>
          <cell r="AA408"/>
          <cell r="AB408"/>
          <cell r="AC408"/>
          <cell r="AD408"/>
          <cell r="AE408"/>
          <cell r="AF408"/>
          <cell r="AG408"/>
          <cell r="AH408"/>
          <cell r="AI408"/>
          <cell r="AJ408"/>
          <cell r="AK408"/>
          <cell r="AL408"/>
          <cell r="AM408"/>
          <cell r="AN408"/>
          <cell r="AO408"/>
          <cell r="AP408"/>
          <cell r="AQ408"/>
          <cell r="AR408"/>
          <cell r="AS408"/>
          <cell r="AT408"/>
          <cell r="AU408"/>
          <cell r="AW408"/>
          <cell r="AX408"/>
          <cell r="AY408"/>
          <cell r="AZ408"/>
          <cell r="BA408"/>
          <cell r="BB408"/>
          <cell r="BC408"/>
          <cell r="BD408"/>
          <cell r="BE408"/>
          <cell r="BF408"/>
          <cell r="BG408"/>
          <cell r="BH408"/>
          <cell r="BI408"/>
          <cell r="BJ408"/>
          <cell r="BK408"/>
          <cell r="BL408"/>
          <cell r="BM408"/>
          <cell r="BN408"/>
          <cell r="BO408"/>
          <cell r="BP408"/>
          <cell r="BQ408"/>
          <cell r="BR408"/>
          <cell r="BS408"/>
          <cell r="BT408"/>
          <cell r="BU408"/>
          <cell r="BV408"/>
          <cell r="BW408"/>
          <cell r="BX408"/>
          <cell r="BY408"/>
          <cell r="CA408"/>
          <cell r="CB408"/>
          <cell r="CC408"/>
          <cell r="CD408"/>
          <cell r="CE408"/>
          <cell r="CF408"/>
          <cell r="CG408"/>
          <cell r="CH408"/>
          <cell r="CI408"/>
          <cell r="CJ408"/>
          <cell r="CK408"/>
          <cell r="CL408"/>
          <cell r="CM408"/>
          <cell r="CN408"/>
          <cell r="CO408"/>
          <cell r="CP408"/>
          <cell r="CQ408"/>
          <cell r="CR408"/>
          <cell r="CS408"/>
          <cell r="CT408"/>
          <cell r="CU408"/>
          <cell r="CV408"/>
          <cell r="CW408"/>
          <cell r="CX408"/>
          <cell r="CY408"/>
          <cell r="CZ408"/>
          <cell r="DA408"/>
        </row>
        <row r="409">
          <cell r="G409"/>
          <cell r="H409"/>
          <cell r="I409"/>
          <cell r="J409"/>
          <cell r="K409"/>
          <cell r="L409"/>
          <cell r="M409"/>
          <cell r="N409"/>
          <cell r="Q409"/>
          <cell r="R409"/>
          <cell r="S409"/>
          <cell r="T409"/>
          <cell r="U409"/>
          <cell r="V409"/>
          <cell r="W409"/>
          <cell r="X409"/>
          <cell r="Y409"/>
          <cell r="Z409"/>
          <cell r="AA409"/>
          <cell r="AB409"/>
          <cell r="AC409"/>
          <cell r="AD409"/>
          <cell r="AE409"/>
          <cell r="AF409"/>
          <cell r="AG409"/>
          <cell r="AH409"/>
          <cell r="AI409"/>
          <cell r="AJ409"/>
          <cell r="AK409"/>
          <cell r="AL409"/>
          <cell r="AM409"/>
          <cell r="AN409"/>
          <cell r="AO409"/>
          <cell r="AP409"/>
          <cell r="AQ409"/>
          <cell r="AR409"/>
          <cell r="AS409"/>
          <cell r="AT409"/>
          <cell r="AU409"/>
          <cell r="AW409"/>
          <cell r="AX409"/>
          <cell r="AY409"/>
          <cell r="AZ409"/>
          <cell r="BA409"/>
          <cell r="BB409"/>
          <cell r="BC409"/>
          <cell r="BD409"/>
          <cell r="BE409"/>
          <cell r="BF409"/>
          <cell r="BG409"/>
          <cell r="BH409"/>
          <cell r="BI409"/>
          <cell r="BJ409"/>
          <cell r="BK409"/>
          <cell r="BL409"/>
          <cell r="BM409"/>
          <cell r="BN409"/>
          <cell r="BO409"/>
          <cell r="BP409"/>
          <cell r="BQ409"/>
          <cell r="BR409"/>
          <cell r="BS409"/>
          <cell r="BT409"/>
          <cell r="BU409"/>
          <cell r="BV409"/>
          <cell r="BW409"/>
          <cell r="BX409"/>
          <cell r="BY409"/>
          <cell r="CA409"/>
          <cell r="CB409"/>
          <cell r="CC409"/>
          <cell r="CD409"/>
          <cell r="CE409"/>
          <cell r="CF409"/>
          <cell r="CG409"/>
          <cell r="CH409"/>
          <cell r="CI409"/>
          <cell r="CJ409"/>
          <cell r="CK409"/>
          <cell r="CL409"/>
          <cell r="CM409"/>
          <cell r="CN409"/>
          <cell r="CO409"/>
          <cell r="CP409"/>
          <cell r="CQ409"/>
          <cell r="CR409"/>
          <cell r="CS409"/>
          <cell r="CT409"/>
          <cell r="CU409"/>
          <cell r="CV409"/>
          <cell r="CW409"/>
          <cell r="CX409"/>
          <cell r="CY409"/>
          <cell r="CZ409"/>
          <cell r="DA409"/>
        </row>
        <row r="410">
          <cell r="F410" t="str">
            <v>09</v>
          </cell>
          <cell r="G410" t="str">
            <v>0</v>
          </cell>
          <cell r="H410" t="str">
            <v>0</v>
          </cell>
          <cell r="I410" t="str">
            <v>1</v>
          </cell>
          <cell r="J410" t="str">
            <v>0</v>
          </cell>
          <cell r="K410"/>
          <cell r="L410" t="str">
            <v>0010</v>
          </cell>
          <cell r="M410" t="str">
            <v>03</v>
          </cell>
          <cell r="N410" t="str">
            <v>20001520School Turnaround Leaders Program</v>
          </cell>
          <cell r="O410"/>
          <cell r="P410" t="str">
            <v>5010</v>
          </cell>
          <cell r="Q410" t="str">
            <v>70*C</v>
          </cell>
          <cell r="R410"/>
          <cell r="S410"/>
          <cell r="T410"/>
          <cell r="U410"/>
          <cell r="V410"/>
          <cell r="W410"/>
          <cell r="X410"/>
          <cell r="Y410"/>
          <cell r="Z410"/>
          <cell r="AA410"/>
          <cell r="AB410"/>
          <cell r="AC410"/>
          <cell r="AD410"/>
          <cell r="AE410"/>
          <cell r="AF410"/>
          <cell r="AG410"/>
          <cell r="AH410"/>
          <cell r="AI410"/>
          <cell r="AJ410"/>
          <cell r="AK410"/>
          <cell r="AL410"/>
          <cell r="AM410"/>
          <cell r="AN410"/>
          <cell r="AO410"/>
          <cell r="AP410"/>
          <cell r="AQ410"/>
          <cell r="AR410"/>
          <cell r="AS410"/>
          <cell r="AT410"/>
          <cell r="AU410"/>
          <cell r="AV410"/>
          <cell r="AW410"/>
          <cell r="AX410"/>
          <cell r="AY410"/>
          <cell r="AZ410"/>
          <cell r="BA410"/>
          <cell r="BB410"/>
          <cell r="BC410"/>
          <cell r="BD410"/>
          <cell r="BE410"/>
          <cell r="BF410"/>
          <cell r="BG410"/>
          <cell r="BH410"/>
          <cell r="BI410"/>
          <cell r="BJ410"/>
          <cell r="BK410"/>
          <cell r="BL410"/>
          <cell r="BM410"/>
          <cell r="BN410"/>
          <cell r="BO410"/>
          <cell r="BP410"/>
          <cell r="BQ410"/>
          <cell r="BR410"/>
          <cell r="BS410"/>
          <cell r="BT410"/>
          <cell r="BU410"/>
          <cell r="BV410"/>
          <cell r="BW410">
            <v>0</v>
          </cell>
          <cell r="BX410">
            <v>0</v>
          </cell>
          <cell r="BY410">
            <v>0</v>
          </cell>
          <cell r="BZ410"/>
          <cell r="CA410"/>
          <cell r="CB410"/>
          <cell r="CC410"/>
          <cell r="CD410">
            <v>31780.268</v>
          </cell>
          <cell r="CE410"/>
          <cell r="CF410"/>
          <cell r="CG410"/>
          <cell r="CH410"/>
          <cell r="CI410"/>
          <cell r="CJ410"/>
          <cell r="CK410"/>
          <cell r="CL410"/>
          <cell r="CM410"/>
          <cell r="CN410"/>
          <cell r="CO410"/>
          <cell r="CP410"/>
          <cell r="CQ410"/>
          <cell r="CR410"/>
          <cell r="CS410"/>
          <cell r="CT410"/>
          <cell r="CU410"/>
          <cell r="CV410"/>
          <cell r="CW410"/>
          <cell r="CX410"/>
          <cell r="CY410"/>
          <cell r="CZ410"/>
          <cell r="DA410"/>
        </row>
        <row r="411">
          <cell r="G411"/>
          <cell r="H411"/>
          <cell r="I411"/>
          <cell r="J411"/>
          <cell r="K411"/>
          <cell r="L411"/>
          <cell r="M411"/>
          <cell r="N411"/>
          <cell r="Q411"/>
          <cell r="R411"/>
          <cell r="S411"/>
          <cell r="T411"/>
          <cell r="U411"/>
          <cell r="V411"/>
          <cell r="W411"/>
          <cell r="X411"/>
          <cell r="Y411"/>
          <cell r="Z411"/>
          <cell r="AA411"/>
          <cell r="AB411"/>
          <cell r="AC411"/>
          <cell r="AD411"/>
          <cell r="AE411"/>
          <cell r="AF411"/>
          <cell r="AG411"/>
          <cell r="AH411"/>
          <cell r="AI411"/>
          <cell r="AJ411"/>
          <cell r="AK411"/>
          <cell r="AL411"/>
          <cell r="AM411"/>
          <cell r="AN411"/>
          <cell r="AO411"/>
          <cell r="AP411"/>
          <cell r="AQ411"/>
          <cell r="AR411"/>
          <cell r="AS411"/>
          <cell r="AT411"/>
          <cell r="AU411"/>
          <cell r="AW411"/>
          <cell r="AX411"/>
          <cell r="AY411"/>
          <cell r="AZ411"/>
          <cell r="BA411"/>
          <cell r="BB411"/>
          <cell r="BC411"/>
          <cell r="BD411"/>
          <cell r="BE411"/>
          <cell r="BF411"/>
          <cell r="BG411"/>
          <cell r="BH411"/>
          <cell r="BI411"/>
          <cell r="BJ411"/>
          <cell r="BK411"/>
          <cell r="BL411"/>
          <cell r="BM411"/>
          <cell r="BN411"/>
          <cell r="BO411"/>
          <cell r="BP411"/>
          <cell r="BQ411"/>
          <cell r="BR411"/>
          <cell r="BS411"/>
          <cell r="BT411"/>
          <cell r="BU411"/>
          <cell r="BV411"/>
          <cell r="BW411"/>
          <cell r="BX411"/>
          <cell r="BY411"/>
          <cell r="CA411"/>
          <cell r="CB411"/>
          <cell r="CC411"/>
          <cell r="CD411"/>
          <cell r="CE411"/>
          <cell r="CF411"/>
          <cell r="CG411"/>
          <cell r="CH411"/>
          <cell r="CI411"/>
          <cell r="CJ411"/>
          <cell r="CK411"/>
          <cell r="CL411"/>
          <cell r="CM411"/>
          <cell r="CN411"/>
          <cell r="CO411"/>
          <cell r="CP411"/>
          <cell r="CQ411"/>
          <cell r="CR411"/>
          <cell r="CS411"/>
          <cell r="CT411"/>
          <cell r="CU411"/>
          <cell r="CV411"/>
          <cell r="CW411"/>
          <cell r="CX411"/>
          <cell r="CY411"/>
          <cell r="CZ411"/>
          <cell r="DA411"/>
        </row>
        <row r="412">
          <cell r="G412"/>
          <cell r="H412"/>
          <cell r="I412"/>
          <cell r="J412"/>
          <cell r="K412"/>
          <cell r="L412"/>
          <cell r="M412"/>
          <cell r="N412"/>
          <cell r="Q412"/>
          <cell r="R412"/>
          <cell r="S412"/>
          <cell r="T412"/>
          <cell r="U412"/>
          <cell r="V412"/>
          <cell r="W412"/>
          <cell r="X412"/>
          <cell r="Y412"/>
          <cell r="Z412"/>
          <cell r="AA412"/>
          <cell r="AB412"/>
          <cell r="AC412"/>
          <cell r="AD412"/>
          <cell r="AE412"/>
          <cell r="AF412"/>
          <cell r="AG412"/>
          <cell r="AH412"/>
          <cell r="AI412"/>
          <cell r="AJ412"/>
          <cell r="AK412"/>
          <cell r="AL412"/>
          <cell r="AM412"/>
          <cell r="AN412"/>
          <cell r="AO412"/>
          <cell r="AP412"/>
          <cell r="AQ412"/>
          <cell r="AR412"/>
          <cell r="AS412"/>
          <cell r="AT412"/>
          <cell r="AU412"/>
          <cell r="AW412"/>
          <cell r="AX412"/>
          <cell r="AY412"/>
          <cell r="AZ412"/>
          <cell r="BA412"/>
          <cell r="BB412"/>
          <cell r="BC412"/>
          <cell r="BD412"/>
          <cell r="BE412"/>
          <cell r="BF412"/>
          <cell r="BG412"/>
          <cell r="BH412"/>
          <cell r="BI412"/>
          <cell r="BJ412"/>
          <cell r="BK412"/>
          <cell r="BL412"/>
          <cell r="BM412"/>
          <cell r="BN412"/>
          <cell r="BO412"/>
          <cell r="BP412"/>
          <cell r="BQ412"/>
          <cell r="BR412"/>
          <cell r="BS412"/>
          <cell r="BT412"/>
          <cell r="BU412"/>
          <cell r="BV412"/>
          <cell r="BW412"/>
          <cell r="BX412"/>
          <cell r="BY412"/>
          <cell r="CA412"/>
          <cell r="CB412"/>
          <cell r="CC412"/>
          <cell r="CD412"/>
          <cell r="CE412"/>
          <cell r="CF412"/>
          <cell r="CG412"/>
          <cell r="CH412"/>
          <cell r="CI412"/>
          <cell r="CJ412"/>
          <cell r="CK412"/>
          <cell r="CL412"/>
          <cell r="CM412"/>
          <cell r="CN412"/>
          <cell r="CO412"/>
          <cell r="CP412"/>
          <cell r="CQ412"/>
          <cell r="CR412"/>
          <cell r="CS412"/>
          <cell r="CT412"/>
          <cell r="CU412"/>
          <cell r="CV412"/>
          <cell r="CW412"/>
          <cell r="CX412"/>
          <cell r="CY412"/>
          <cell r="CZ412"/>
          <cell r="DA412"/>
        </row>
        <row r="413">
          <cell r="G413"/>
          <cell r="H413"/>
          <cell r="I413"/>
          <cell r="J413"/>
          <cell r="K413"/>
          <cell r="L413"/>
          <cell r="M413"/>
          <cell r="N413"/>
          <cell r="Q413"/>
          <cell r="R413"/>
          <cell r="S413"/>
          <cell r="T413"/>
          <cell r="U413"/>
          <cell r="V413"/>
          <cell r="W413"/>
          <cell r="X413"/>
          <cell r="Y413"/>
          <cell r="Z413"/>
          <cell r="AA413"/>
          <cell r="AB413"/>
          <cell r="AC413"/>
          <cell r="AD413"/>
          <cell r="AE413"/>
          <cell r="AF413"/>
          <cell r="AG413"/>
          <cell r="AH413"/>
          <cell r="AI413"/>
          <cell r="AJ413"/>
          <cell r="AK413"/>
          <cell r="AL413"/>
          <cell r="AM413"/>
          <cell r="AN413"/>
          <cell r="AO413"/>
          <cell r="AP413"/>
          <cell r="AQ413"/>
          <cell r="AR413"/>
          <cell r="AS413"/>
          <cell r="AT413"/>
          <cell r="AU413"/>
          <cell r="AW413"/>
          <cell r="AX413"/>
          <cell r="AY413"/>
          <cell r="AZ413"/>
          <cell r="BA413"/>
          <cell r="BB413"/>
          <cell r="BC413"/>
          <cell r="BD413"/>
          <cell r="BE413"/>
          <cell r="BF413"/>
          <cell r="BG413"/>
          <cell r="BH413"/>
          <cell r="BI413"/>
          <cell r="BJ413"/>
          <cell r="BK413"/>
          <cell r="BL413"/>
          <cell r="BM413"/>
          <cell r="BN413"/>
          <cell r="BO413"/>
          <cell r="BP413"/>
          <cell r="BQ413"/>
          <cell r="BR413"/>
          <cell r="BS413"/>
          <cell r="BT413"/>
          <cell r="BU413"/>
          <cell r="BV413"/>
          <cell r="BW413"/>
          <cell r="BX413"/>
          <cell r="BY413"/>
          <cell r="CA413"/>
          <cell r="CB413"/>
          <cell r="CC413"/>
          <cell r="CD413"/>
          <cell r="CE413"/>
          <cell r="CF413"/>
          <cell r="CG413"/>
          <cell r="CH413"/>
          <cell r="CI413"/>
          <cell r="CJ413"/>
          <cell r="CK413"/>
          <cell r="CL413"/>
          <cell r="CM413"/>
          <cell r="CN413"/>
          <cell r="CO413"/>
          <cell r="CP413"/>
          <cell r="CQ413"/>
          <cell r="CR413"/>
          <cell r="CS413"/>
          <cell r="CT413"/>
          <cell r="CU413"/>
          <cell r="CV413"/>
          <cell r="CW413"/>
          <cell r="CX413"/>
          <cell r="CY413"/>
          <cell r="CZ413"/>
          <cell r="DA413"/>
        </row>
        <row r="414">
          <cell r="G414"/>
          <cell r="H414"/>
          <cell r="I414"/>
          <cell r="J414"/>
          <cell r="K414"/>
          <cell r="L414"/>
          <cell r="M414"/>
          <cell r="N414"/>
          <cell r="Q414"/>
          <cell r="R414"/>
          <cell r="S414"/>
          <cell r="T414"/>
          <cell r="U414"/>
          <cell r="V414"/>
          <cell r="W414"/>
          <cell r="X414"/>
          <cell r="Y414"/>
          <cell r="Z414"/>
          <cell r="AA414"/>
          <cell r="AB414"/>
          <cell r="AC414"/>
          <cell r="AD414"/>
          <cell r="AE414"/>
          <cell r="AF414"/>
          <cell r="AG414"/>
          <cell r="AH414"/>
          <cell r="AI414"/>
          <cell r="AJ414"/>
          <cell r="AK414"/>
          <cell r="AL414"/>
          <cell r="AM414"/>
          <cell r="AN414"/>
          <cell r="AO414"/>
          <cell r="AP414"/>
          <cell r="AQ414"/>
          <cell r="AR414"/>
          <cell r="AS414"/>
          <cell r="AT414"/>
          <cell r="AU414"/>
          <cell r="AW414"/>
          <cell r="AX414"/>
          <cell r="AY414"/>
          <cell r="AZ414"/>
          <cell r="BA414"/>
          <cell r="BB414"/>
          <cell r="BC414"/>
          <cell r="BD414"/>
          <cell r="BE414"/>
          <cell r="BF414"/>
          <cell r="BG414"/>
          <cell r="BH414"/>
          <cell r="BI414"/>
          <cell r="BJ414"/>
          <cell r="BK414"/>
          <cell r="BL414"/>
          <cell r="BM414"/>
          <cell r="BN414"/>
          <cell r="BO414"/>
          <cell r="BP414"/>
          <cell r="BQ414"/>
          <cell r="BR414"/>
          <cell r="BS414"/>
          <cell r="BT414"/>
          <cell r="BU414"/>
          <cell r="BV414"/>
          <cell r="BW414"/>
          <cell r="BX414"/>
          <cell r="BY414"/>
          <cell r="CA414"/>
          <cell r="CB414"/>
          <cell r="CC414"/>
          <cell r="CD414"/>
          <cell r="CE414"/>
          <cell r="CF414"/>
          <cell r="CG414"/>
          <cell r="CH414"/>
          <cell r="CI414"/>
          <cell r="CJ414"/>
          <cell r="CK414"/>
          <cell r="CL414"/>
          <cell r="CM414"/>
          <cell r="CN414"/>
          <cell r="CO414"/>
          <cell r="CP414"/>
          <cell r="CQ414"/>
          <cell r="CR414"/>
          <cell r="CS414"/>
          <cell r="CT414"/>
          <cell r="CU414"/>
          <cell r="CV414"/>
          <cell r="CW414"/>
          <cell r="CX414"/>
          <cell r="CY414"/>
          <cell r="CZ414"/>
          <cell r="DA414"/>
        </row>
        <row r="415">
          <cell r="G415"/>
          <cell r="H415"/>
          <cell r="I415"/>
          <cell r="J415"/>
          <cell r="K415"/>
          <cell r="L415"/>
          <cell r="M415"/>
          <cell r="N415"/>
          <cell r="Q415"/>
          <cell r="R415"/>
          <cell r="S415"/>
          <cell r="T415"/>
          <cell r="U415"/>
          <cell r="V415"/>
          <cell r="W415"/>
          <cell r="X415"/>
          <cell r="Y415"/>
          <cell r="Z415"/>
          <cell r="AA415"/>
          <cell r="AB415"/>
          <cell r="AC415"/>
          <cell r="AD415"/>
          <cell r="AE415"/>
          <cell r="AF415"/>
          <cell r="AG415"/>
          <cell r="AH415"/>
          <cell r="AI415"/>
          <cell r="AJ415"/>
          <cell r="AK415"/>
          <cell r="AL415"/>
          <cell r="AM415"/>
          <cell r="AN415"/>
          <cell r="AO415"/>
          <cell r="AP415"/>
          <cell r="AQ415"/>
          <cell r="AR415"/>
          <cell r="AS415"/>
          <cell r="AT415"/>
          <cell r="AU415"/>
          <cell r="AW415"/>
          <cell r="AX415"/>
          <cell r="AY415"/>
          <cell r="AZ415"/>
          <cell r="BA415"/>
          <cell r="BB415"/>
          <cell r="BC415"/>
          <cell r="BD415"/>
          <cell r="BE415"/>
          <cell r="BF415"/>
          <cell r="BG415"/>
          <cell r="BH415"/>
          <cell r="BI415"/>
          <cell r="BJ415"/>
          <cell r="BK415"/>
          <cell r="BL415"/>
          <cell r="BM415"/>
          <cell r="BN415"/>
          <cell r="BO415"/>
          <cell r="BP415"/>
          <cell r="BQ415"/>
          <cell r="BR415"/>
          <cell r="BS415"/>
          <cell r="BT415"/>
          <cell r="BU415"/>
          <cell r="BV415"/>
          <cell r="BW415"/>
          <cell r="BX415"/>
          <cell r="BY415"/>
          <cell r="CA415"/>
          <cell r="CB415"/>
          <cell r="CC415"/>
          <cell r="CD415"/>
          <cell r="CE415"/>
          <cell r="CF415"/>
          <cell r="CG415"/>
          <cell r="CH415"/>
          <cell r="CI415"/>
          <cell r="CJ415"/>
          <cell r="CK415"/>
          <cell r="CL415"/>
          <cell r="CM415"/>
          <cell r="CN415"/>
          <cell r="CO415"/>
          <cell r="CP415"/>
          <cell r="CQ415"/>
          <cell r="CR415"/>
          <cell r="CS415"/>
          <cell r="CT415"/>
          <cell r="CU415"/>
          <cell r="CV415"/>
          <cell r="CW415"/>
          <cell r="CX415"/>
          <cell r="CY415"/>
          <cell r="CZ415"/>
          <cell r="DA415"/>
        </row>
        <row r="416">
          <cell r="G416"/>
          <cell r="H416"/>
          <cell r="I416"/>
          <cell r="J416"/>
          <cell r="K416"/>
          <cell r="L416"/>
          <cell r="M416"/>
          <cell r="N416"/>
          <cell r="Q416"/>
          <cell r="R416"/>
          <cell r="S416"/>
          <cell r="T416"/>
          <cell r="U416"/>
          <cell r="V416"/>
          <cell r="W416"/>
          <cell r="X416"/>
          <cell r="Y416"/>
          <cell r="Z416"/>
          <cell r="AA416"/>
          <cell r="AB416"/>
          <cell r="AC416"/>
          <cell r="AD416"/>
          <cell r="AE416"/>
          <cell r="AF416"/>
          <cell r="AG416"/>
          <cell r="AH416"/>
          <cell r="AI416"/>
          <cell r="AJ416"/>
          <cell r="AK416"/>
          <cell r="AL416"/>
          <cell r="AM416"/>
          <cell r="AN416"/>
          <cell r="AO416"/>
          <cell r="AP416"/>
          <cell r="AQ416"/>
          <cell r="AR416"/>
          <cell r="AS416"/>
          <cell r="AT416"/>
          <cell r="AU416"/>
          <cell r="AW416"/>
          <cell r="AX416"/>
          <cell r="AY416"/>
          <cell r="AZ416"/>
          <cell r="BA416"/>
          <cell r="BB416"/>
          <cell r="BC416"/>
          <cell r="BD416"/>
          <cell r="BE416"/>
          <cell r="BF416"/>
          <cell r="BG416"/>
          <cell r="BH416"/>
          <cell r="BI416"/>
          <cell r="BJ416"/>
          <cell r="BK416"/>
          <cell r="BL416"/>
          <cell r="BM416"/>
          <cell r="BN416"/>
          <cell r="BO416"/>
          <cell r="BP416"/>
          <cell r="BQ416"/>
          <cell r="BR416"/>
          <cell r="BS416"/>
          <cell r="BT416"/>
          <cell r="BU416"/>
          <cell r="BV416"/>
          <cell r="BW416"/>
          <cell r="BX416"/>
          <cell r="BY416"/>
          <cell r="CA416"/>
          <cell r="CB416"/>
          <cell r="CC416"/>
          <cell r="CD416"/>
          <cell r="CE416"/>
          <cell r="CF416"/>
          <cell r="CG416"/>
          <cell r="CH416"/>
          <cell r="CI416"/>
          <cell r="CJ416"/>
          <cell r="CK416"/>
          <cell r="CL416"/>
          <cell r="CM416"/>
          <cell r="CN416"/>
          <cell r="CO416"/>
          <cell r="CP416"/>
          <cell r="CQ416"/>
          <cell r="CR416"/>
          <cell r="CS416"/>
          <cell r="CT416"/>
          <cell r="CU416"/>
          <cell r="CV416"/>
          <cell r="CW416"/>
          <cell r="CX416"/>
          <cell r="CY416"/>
          <cell r="CZ416"/>
          <cell r="DA416"/>
        </row>
        <row r="417">
          <cell r="F417" t="str">
            <v>09</v>
          </cell>
          <cell r="G417" t="str">
            <v>0</v>
          </cell>
          <cell r="H417" t="str">
            <v>0</v>
          </cell>
          <cell r="I417" t="str">
            <v>1</v>
          </cell>
          <cell r="J417" t="str">
            <v>0</v>
          </cell>
          <cell r="K417"/>
          <cell r="L417" t="str">
            <v>0010</v>
          </cell>
          <cell r="M417" t="str">
            <v>03</v>
          </cell>
          <cell r="N417" t="str">
            <v>21809149School Turnaround Leaders Program</v>
          </cell>
          <cell r="O417"/>
          <cell r="P417" t="str">
            <v>5010</v>
          </cell>
          <cell r="Q417" t="str">
            <v>70*C</v>
          </cell>
          <cell r="R417"/>
          <cell r="S417"/>
          <cell r="T417"/>
          <cell r="U417"/>
          <cell r="V417"/>
          <cell r="W417"/>
          <cell r="X417"/>
          <cell r="Y417"/>
          <cell r="Z417"/>
          <cell r="AA417"/>
          <cell r="AB417"/>
          <cell r="AC417"/>
          <cell r="AD417"/>
          <cell r="AE417"/>
          <cell r="AF417"/>
          <cell r="AG417"/>
          <cell r="AH417"/>
          <cell r="AI417"/>
          <cell r="AJ417"/>
          <cell r="AK417"/>
          <cell r="AL417"/>
          <cell r="AM417"/>
          <cell r="AN417"/>
          <cell r="AO417"/>
          <cell r="AP417"/>
          <cell r="AQ417"/>
          <cell r="AR417"/>
          <cell r="AS417"/>
          <cell r="AT417"/>
          <cell r="AU417"/>
          <cell r="AV417"/>
          <cell r="AW417"/>
          <cell r="AX417"/>
          <cell r="AY417"/>
          <cell r="AZ417"/>
          <cell r="BA417"/>
          <cell r="BB417"/>
          <cell r="BC417"/>
          <cell r="BD417"/>
          <cell r="BE417"/>
          <cell r="BF417"/>
          <cell r="BG417"/>
          <cell r="BH417"/>
          <cell r="BI417"/>
          <cell r="BJ417"/>
          <cell r="BK417"/>
          <cell r="BL417"/>
          <cell r="BM417"/>
          <cell r="BN417"/>
          <cell r="BO417"/>
          <cell r="BP417"/>
          <cell r="BQ417"/>
          <cell r="BR417"/>
          <cell r="BS417"/>
          <cell r="BT417"/>
          <cell r="BU417"/>
          <cell r="BV417"/>
          <cell r="BW417">
            <v>0</v>
          </cell>
          <cell r="BX417">
            <v>0</v>
          </cell>
          <cell r="BY417">
            <v>0</v>
          </cell>
          <cell r="BZ417"/>
          <cell r="CA417"/>
          <cell r="CB417"/>
          <cell r="CC417"/>
          <cell r="CD417">
            <v>148512</v>
          </cell>
          <cell r="CE417"/>
          <cell r="CF417"/>
          <cell r="CG417"/>
          <cell r="CH417"/>
          <cell r="CI417"/>
          <cell r="CJ417"/>
          <cell r="CK417"/>
          <cell r="CL417"/>
          <cell r="CM417"/>
          <cell r="CN417"/>
          <cell r="CO417"/>
          <cell r="CP417"/>
          <cell r="CQ417"/>
          <cell r="CR417"/>
          <cell r="CS417"/>
          <cell r="CT417"/>
          <cell r="CU417"/>
          <cell r="CV417"/>
          <cell r="CW417"/>
          <cell r="CX417"/>
          <cell r="CY417"/>
          <cell r="CZ417"/>
          <cell r="DA417"/>
        </row>
        <row r="418">
          <cell r="G418"/>
          <cell r="H418"/>
          <cell r="I418"/>
          <cell r="J418"/>
          <cell r="K418"/>
          <cell r="L418"/>
          <cell r="M418"/>
          <cell r="N418" t="str">
            <v>26907481School Turnaround Leaders Program</v>
          </cell>
          <cell r="P418" t="str">
            <v>5010</v>
          </cell>
          <cell r="Q418"/>
          <cell r="R418"/>
          <cell r="S418"/>
          <cell r="T418"/>
          <cell r="U418"/>
          <cell r="V418"/>
          <cell r="W418"/>
          <cell r="X418"/>
          <cell r="Y418"/>
          <cell r="Z418"/>
          <cell r="AA418"/>
          <cell r="AB418"/>
          <cell r="AC418"/>
          <cell r="AD418"/>
          <cell r="AE418"/>
          <cell r="AF418"/>
          <cell r="AG418"/>
          <cell r="AH418"/>
          <cell r="AI418"/>
          <cell r="AJ418"/>
          <cell r="AK418"/>
          <cell r="AL418"/>
          <cell r="AM418"/>
          <cell r="AN418"/>
          <cell r="AO418"/>
          <cell r="AP418"/>
          <cell r="AQ418"/>
          <cell r="AR418"/>
          <cell r="AS418"/>
          <cell r="AT418"/>
          <cell r="AU418"/>
          <cell r="AV418"/>
          <cell r="AW418"/>
          <cell r="AX418"/>
          <cell r="AY418"/>
          <cell r="AZ418"/>
          <cell r="BA418"/>
          <cell r="BB418"/>
          <cell r="BC418"/>
          <cell r="BD418"/>
          <cell r="BE418"/>
          <cell r="BF418"/>
          <cell r="BG418"/>
          <cell r="BH418"/>
          <cell r="BI418"/>
          <cell r="BJ418"/>
          <cell r="BK418"/>
          <cell r="BL418"/>
          <cell r="BM418"/>
          <cell r="BN418"/>
          <cell r="BO418"/>
          <cell r="BP418"/>
          <cell r="BQ418"/>
          <cell r="BR418"/>
          <cell r="BS418"/>
          <cell r="BT418"/>
          <cell r="BU418"/>
          <cell r="BV418"/>
          <cell r="BW418"/>
          <cell r="BX418"/>
          <cell r="BY418"/>
          <cell r="BZ418"/>
          <cell r="CA418"/>
          <cell r="CB418"/>
          <cell r="CC418"/>
          <cell r="CD418"/>
          <cell r="CE418"/>
          <cell r="CF418"/>
          <cell r="CG418"/>
          <cell r="CH418"/>
          <cell r="CI418"/>
          <cell r="CJ418"/>
          <cell r="CK418"/>
          <cell r="CL418"/>
          <cell r="CM418"/>
          <cell r="CN418"/>
          <cell r="CO418"/>
          <cell r="CP418"/>
          <cell r="CQ418"/>
          <cell r="CR418"/>
          <cell r="CS418"/>
          <cell r="CT418"/>
          <cell r="CU418"/>
          <cell r="CV418"/>
          <cell r="CW418"/>
          <cell r="CX418"/>
          <cell r="CY418"/>
          <cell r="CZ418"/>
          <cell r="DA418"/>
        </row>
        <row r="419">
          <cell r="G419"/>
          <cell r="H419"/>
          <cell r="I419"/>
          <cell r="J419"/>
          <cell r="K419"/>
          <cell r="L419"/>
          <cell r="M419"/>
          <cell r="N419" t="str">
            <v>2690N/ASchool Turnaround Leaders Program</v>
          </cell>
          <cell r="P419" t="str">
            <v>5010</v>
          </cell>
          <cell r="Q419"/>
          <cell r="R419"/>
          <cell r="S419"/>
          <cell r="T419"/>
          <cell r="U419"/>
          <cell r="V419"/>
          <cell r="W419"/>
          <cell r="X419"/>
          <cell r="Y419"/>
          <cell r="Z419"/>
          <cell r="AA419"/>
          <cell r="AB419"/>
          <cell r="AC419"/>
          <cell r="AD419"/>
          <cell r="AE419"/>
          <cell r="AF419"/>
          <cell r="AG419"/>
          <cell r="AH419"/>
          <cell r="AI419"/>
          <cell r="AJ419"/>
          <cell r="AK419"/>
          <cell r="AL419"/>
          <cell r="AM419"/>
          <cell r="AN419"/>
          <cell r="AO419"/>
          <cell r="AP419"/>
          <cell r="AQ419"/>
          <cell r="AR419"/>
          <cell r="AS419"/>
          <cell r="AT419"/>
          <cell r="AU419"/>
          <cell r="AV419"/>
          <cell r="AW419"/>
          <cell r="AX419"/>
          <cell r="AY419"/>
          <cell r="AZ419"/>
          <cell r="BA419"/>
          <cell r="BB419"/>
          <cell r="BC419"/>
          <cell r="BD419"/>
          <cell r="BE419"/>
          <cell r="BF419"/>
          <cell r="BG419"/>
          <cell r="BH419"/>
          <cell r="BI419"/>
          <cell r="BJ419"/>
          <cell r="BK419"/>
          <cell r="BL419"/>
          <cell r="BM419"/>
          <cell r="BN419"/>
          <cell r="BO419"/>
          <cell r="BP419"/>
          <cell r="BQ419"/>
          <cell r="BR419"/>
          <cell r="BS419"/>
          <cell r="BT419"/>
          <cell r="BU419"/>
          <cell r="BV419"/>
          <cell r="BW419"/>
          <cell r="BX419"/>
          <cell r="BY419"/>
          <cell r="BZ419"/>
          <cell r="CA419"/>
          <cell r="CB419"/>
          <cell r="CC419"/>
          <cell r="CD419"/>
          <cell r="CE419"/>
          <cell r="CF419"/>
          <cell r="CG419"/>
          <cell r="CH419"/>
          <cell r="CI419"/>
          <cell r="CJ419"/>
          <cell r="CK419"/>
          <cell r="CL419"/>
          <cell r="CM419"/>
          <cell r="CN419"/>
          <cell r="CO419"/>
          <cell r="CP419"/>
          <cell r="CQ419"/>
          <cell r="CR419"/>
          <cell r="CS419"/>
          <cell r="CT419"/>
          <cell r="CU419"/>
          <cell r="CV419"/>
          <cell r="CW419"/>
          <cell r="CX419"/>
          <cell r="CY419"/>
          <cell r="CZ419"/>
          <cell r="DA419"/>
        </row>
        <row r="420">
          <cell r="F420" t="str">
            <v>09</v>
          </cell>
          <cell r="G420" t="str">
            <v>0</v>
          </cell>
          <cell r="H420" t="str">
            <v>1</v>
          </cell>
          <cell r="I420" t="str">
            <v>0</v>
          </cell>
          <cell r="J420" t="str">
            <v>0</v>
          </cell>
          <cell r="K420"/>
          <cell r="L420" t="str">
            <v>0100</v>
          </cell>
          <cell r="M420" t="str">
            <v>02</v>
          </cell>
          <cell r="N420" t="str">
            <v>2690N/ASchool Turnaround Leaders Program</v>
          </cell>
          <cell r="P420" t="str">
            <v>5010</v>
          </cell>
          <cell r="Q420" t="str">
            <v>70*C</v>
          </cell>
          <cell r="R420"/>
          <cell r="S420"/>
          <cell r="T420"/>
          <cell r="U420"/>
          <cell r="V420"/>
          <cell r="W420"/>
          <cell r="X420"/>
          <cell r="Y420"/>
          <cell r="Z420"/>
          <cell r="AA420"/>
          <cell r="AB420"/>
          <cell r="AC420"/>
          <cell r="AD420"/>
          <cell r="AE420"/>
          <cell r="AF420"/>
          <cell r="AG420"/>
          <cell r="AH420"/>
          <cell r="AI420"/>
          <cell r="AJ420"/>
          <cell r="AK420"/>
          <cell r="AL420"/>
          <cell r="AM420"/>
          <cell r="AN420"/>
          <cell r="AO420"/>
          <cell r="AP420"/>
          <cell r="AQ420"/>
          <cell r="AR420"/>
          <cell r="AS420"/>
          <cell r="AT420"/>
          <cell r="AU420"/>
          <cell r="AV420" t="str">
            <v>S010A180006</v>
          </cell>
          <cell r="AW420"/>
          <cell r="AX420">
            <v>161110</v>
          </cell>
          <cell r="AY420"/>
          <cell r="AZ420"/>
          <cell r="BA420"/>
          <cell r="BB420"/>
          <cell r="BC420"/>
          <cell r="BD420"/>
          <cell r="BE420"/>
          <cell r="BF420"/>
          <cell r="BG420"/>
          <cell r="BH420"/>
          <cell r="BI420"/>
          <cell r="BJ420"/>
          <cell r="BK420"/>
          <cell r="BL420"/>
          <cell r="BM420"/>
          <cell r="BN420"/>
          <cell r="BO420"/>
          <cell r="BP420"/>
          <cell r="BQ420"/>
          <cell r="BR420"/>
          <cell r="BS420"/>
          <cell r="BT420"/>
          <cell r="BU420"/>
          <cell r="BV420"/>
          <cell r="BW420">
            <v>0</v>
          </cell>
          <cell r="BX420">
            <v>0</v>
          </cell>
          <cell r="BY420">
            <v>161110</v>
          </cell>
          <cell r="BZ420" t="str">
            <v>S010A190006</v>
          </cell>
          <cell r="CA420"/>
          <cell r="CB420">
            <v>60000</v>
          </cell>
          <cell r="CC420"/>
          <cell r="CD420"/>
          <cell r="CE420"/>
          <cell r="CF420"/>
          <cell r="CG420"/>
          <cell r="CH420"/>
          <cell r="CI420"/>
          <cell r="CJ420"/>
          <cell r="CK420"/>
          <cell r="CL420"/>
          <cell r="CM420"/>
          <cell r="CN420"/>
          <cell r="CO420"/>
          <cell r="CP420"/>
          <cell r="CQ420"/>
          <cell r="CR420"/>
          <cell r="CS420"/>
          <cell r="CT420"/>
          <cell r="CU420"/>
          <cell r="CV420"/>
          <cell r="CW420"/>
          <cell r="CX420"/>
          <cell r="CY420"/>
          <cell r="CZ420"/>
          <cell r="DA420"/>
        </row>
        <row r="421">
          <cell r="F421" t="str">
            <v>09</v>
          </cell>
          <cell r="G421" t="str">
            <v>0</v>
          </cell>
          <cell r="H421" t="str">
            <v>1</v>
          </cell>
          <cell r="I421" t="str">
            <v>0</v>
          </cell>
          <cell r="J421" t="str">
            <v>0</v>
          </cell>
          <cell r="K421"/>
          <cell r="L421" t="str">
            <v>0100</v>
          </cell>
          <cell r="M421" t="str">
            <v>02</v>
          </cell>
          <cell r="N421" t="str">
            <v>27602522School Turnaround Leaders Program</v>
          </cell>
          <cell r="P421" t="str">
            <v>5010</v>
          </cell>
          <cell r="Q421" t="str">
            <v>70*C</v>
          </cell>
          <cell r="R421"/>
          <cell r="S421"/>
          <cell r="T421"/>
          <cell r="U421"/>
          <cell r="V421"/>
          <cell r="W421"/>
          <cell r="X421"/>
          <cell r="Y421"/>
          <cell r="Z421"/>
          <cell r="AA421"/>
          <cell r="AB421"/>
          <cell r="AC421"/>
          <cell r="AD421"/>
          <cell r="AE421"/>
          <cell r="AF421"/>
          <cell r="AG421"/>
          <cell r="AH421"/>
          <cell r="AI421"/>
          <cell r="AJ421"/>
          <cell r="AK421"/>
          <cell r="AL421"/>
          <cell r="AM421"/>
          <cell r="AN421"/>
          <cell r="AO421"/>
          <cell r="AP421"/>
          <cell r="AQ421"/>
          <cell r="AR421"/>
          <cell r="AS421"/>
          <cell r="AT421"/>
          <cell r="AU421"/>
          <cell r="AV421" t="str">
            <v>S010A180006</v>
          </cell>
          <cell r="AW421"/>
          <cell r="AX421">
            <v>47520</v>
          </cell>
          <cell r="AY421"/>
          <cell r="AZ421"/>
          <cell r="BA421"/>
          <cell r="BB421"/>
          <cell r="BC421"/>
          <cell r="BD421"/>
          <cell r="BE421"/>
          <cell r="BF421"/>
          <cell r="BG421"/>
          <cell r="BH421"/>
          <cell r="BI421"/>
          <cell r="BJ421"/>
          <cell r="BK421"/>
          <cell r="BL421"/>
          <cell r="BM421"/>
          <cell r="BN421"/>
          <cell r="BO421"/>
          <cell r="BP421"/>
          <cell r="BQ421"/>
          <cell r="BR421"/>
          <cell r="BS421">
            <v>-38190</v>
          </cell>
          <cell r="BT421"/>
          <cell r="BU421"/>
          <cell r="BV421"/>
          <cell r="BW421">
            <v>-38190</v>
          </cell>
          <cell r="BX421">
            <v>0</v>
          </cell>
          <cell r="BY421">
            <v>9330</v>
          </cell>
          <cell r="BZ421" t="str">
            <v>S010A190006</v>
          </cell>
          <cell r="CA421"/>
          <cell r="CB421">
            <v>82000</v>
          </cell>
          <cell r="CC421"/>
          <cell r="CD421"/>
          <cell r="CE421"/>
          <cell r="CF421"/>
          <cell r="CG421"/>
          <cell r="CH421"/>
          <cell r="CI421"/>
          <cell r="CJ421"/>
          <cell r="CK421"/>
          <cell r="CL421"/>
          <cell r="CM421"/>
          <cell r="CN421"/>
          <cell r="CO421"/>
          <cell r="CP421"/>
          <cell r="CQ421"/>
          <cell r="CR421"/>
          <cell r="CS421"/>
          <cell r="CT421"/>
          <cell r="CU421"/>
          <cell r="CV421"/>
          <cell r="CW421"/>
          <cell r="CX421"/>
          <cell r="CY421"/>
          <cell r="CZ421"/>
          <cell r="DA421">
            <v>-91330</v>
          </cell>
        </row>
        <row r="422">
          <cell r="F422" t="str">
            <v>09</v>
          </cell>
          <cell r="G422" t="str">
            <v>0</v>
          </cell>
          <cell r="H422" t="str">
            <v>1</v>
          </cell>
          <cell r="I422" t="str">
            <v>0</v>
          </cell>
          <cell r="J422" t="str">
            <v>0</v>
          </cell>
          <cell r="K422"/>
          <cell r="L422" t="str">
            <v>0100</v>
          </cell>
          <cell r="M422" t="str">
            <v>02</v>
          </cell>
          <cell r="N422" t="str">
            <v>31204425School Turnaround Leaders Program</v>
          </cell>
          <cell r="P422" t="str">
            <v>5010</v>
          </cell>
          <cell r="Q422" t="str">
            <v>70*C</v>
          </cell>
          <cell r="R422"/>
          <cell r="S422"/>
          <cell r="T422"/>
          <cell r="U422"/>
          <cell r="V422"/>
          <cell r="W422"/>
          <cell r="X422"/>
          <cell r="Y422"/>
          <cell r="Z422"/>
          <cell r="AA422"/>
          <cell r="AB422"/>
          <cell r="AC422"/>
          <cell r="AD422"/>
          <cell r="AE422"/>
          <cell r="AF422"/>
          <cell r="AG422"/>
          <cell r="AH422"/>
          <cell r="AI422"/>
          <cell r="AJ422"/>
          <cell r="AK422"/>
          <cell r="AL422"/>
          <cell r="AM422"/>
          <cell r="AN422"/>
          <cell r="AO422"/>
          <cell r="AP422"/>
          <cell r="AQ422"/>
          <cell r="AR422"/>
          <cell r="AS422"/>
          <cell r="AT422"/>
          <cell r="AU422"/>
          <cell r="AV422" t="str">
            <v>S010A180006</v>
          </cell>
          <cell r="AW422"/>
          <cell r="AX422">
            <v>39284</v>
          </cell>
          <cell r="AY422"/>
          <cell r="AZ422"/>
          <cell r="BA422"/>
          <cell r="BB422"/>
          <cell r="BC422"/>
          <cell r="BD422"/>
          <cell r="BE422"/>
          <cell r="BF422"/>
          <cell r="BG422"/>
          <cell r="BH422"/>
          <cell r="BI422"/>
          <cell r="BJ422"/>
          <cell r="BK422"/>
          <cell r="BL422"/>
          <cell r="BM422"/>
          <cell r="BN422"/>
          <cell r="BO422"/>
          <cell r="BP422"/>
          <cell r="BQ422"/>
          <cell r="BR422"/>
          <cell r="BS422"/>
          <cell r="BT422"/>
          <cell r="BU422"/>
          <cell r="BV422"/>
          <cell r="BW422">
            <v>0</v>
          </cell>
          <cell r="BX422">
            <v>0</v>
          </cell>
          <cell r="BY422">
            <v>39284</v>
          </cell>
          <cell r="BZ422" t="str">
            <v>S010A190006</v>
          </cell>
          <cell r="CA422"/>
          <cell r="CB422">
            <v>2040</v>
          </cell>
          <cell r="CC422"/>
          <cell r="CD422"/>
          <cell r="CE422"/>
          <cell r="CF422"/>
          <cell r="CG422"/>
          <cell r="CH422"/>
          <cell r="CI422">
            <v>-8258.86</v>
          </cell>
          <cell r="CJ422"/>
          <cell r="CK422">
            <v>-31025.14</v>
          </cell>
          <cell r="CL422"/>
          <cell r="CM422"/>
          <cell r="CN422"/>
          <cell r="CO422"/>
          <cell r="CP422"/>
          <cell r="CQ422"/>
          <cell r="CR422"/>
          <cell r="CS422"/>
          <cell r="CT422"/>
          <cell r="CU422"/>
          <cell r="CV422"/>
          <cell r="CW422"/>
          <cell r="CX422"/>
          <cell r="CY422"/>
          <cell r="CZ422"/>
          <cell r="DA422"/>
        </row>
        <row r="423">
          <cell r="G423"/>
          <cell r="H423"/>
          <cell r="I423"/>
          <cell r="J423"/>
          <cell r="K423"/>
          <cell r="L423"/>
          <cell r="M423" t="str">
            <v xml:space="preserve"> </v>
          </cell>
          <cell r="N423" t="str">
            <v/>
          </cell>
          <cell r="Q423" t="str">
            <v>STLDP Total</v>
          </cell>
          <cell r="R423"/>
          <cell r="S423"/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/>
          <cell r="AW423">
            <v>0</v>
          </cell>
          <cell r="AX423">
            <v>1531150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-38190</v>
          </cell>
          <cell r="BT423">
            <v>0</v>
          </cell>
          <cell r="BU423">
            <v>-118735</v>
          </cell>
          <cell r="BV423">
            <v>0</v>
          </cell>
          <cell r="BW423">
            <v>-156925</v>
          </cell>
          <cell r="BX423">
            <v>0</v>
          </cell>
          <cell r="BY423">
            <v>1374225</v>
          </cell>
          <cell r="BZ423"/>
          <cell r="CA423">
            <v>0</v>
          </cell>
          <cell r="CB423">
            <v>662098</v>
          </cell>
          <cell r="CC423"/>
          <cell r="CD423">
            <v>309016.26799999998</v>
          </cell>
          <cell r="CE423">
            <v>-20275</v>
          </cell>
          <cell r="CF423">
            <v>0</v>
          </cell>
          <cell r="CG423">
            <v>0</v>
          </cell>
          <cell r="CH423">
            <v>0</v>
          </cell>
          <cell r="CI423">
            <v>-8258.86</v>
          </cell>
          <cell r="CJ423">
            <v>0</v>
          </cell>
          <cell r="CK423">
            <v>-31025.14</v>
          </cell>
          <cell r="CL423">
            <v>0</v>
          </cell>
          <cell r="CM423">
            <v>-397529.06</v>
          </cell>
          <cell r="CN423">
            <v>0</v>
          </cell>
          <cell r="CO423">
            <v>0</v>
          </cell>
          <cell r="CP423">
            <v>0</v>
          </cell>
          <cell r="CQ423">
            <v>-116443.94</v>
          </cell>
          <cell r="CR423">
            <v>0</v>
          </cell>
          <cell r="CS423">
            <v>-14920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-38005.440000000002</v>
          </cell>
          <cell r="CZ423">
            <v>0</v>
          </cell>
          <cell r="DA423">
            <v>-91330</v>
          </cell>
        </row>
        <row r="424">
          <cell r="G424"/>
          <cell r="H424"/>
          <cell r="I424"/>
          <cell r="J424"/>
          <cell r="K424"/>
          <cell r="L424"/>
          <cell r="M424" t="str">
            <v xml:space="preserve"> </v>
          </cell>
          <cell r="N424" t="str">
            <v/>
          </cell>
          <cell r="Q424"/>
          <cell r="R424"/>
          <cell r="S424"/>
          <cell r="T424"/>
          <cell r="U424"/>
          <cell r="V424"/>
          <cell r="W424"/>
          <cell r="X424"/>
          <cell r="Y424"/>
          <cell r="Z424"/>
          <cell r="AA424"/>
          <cell r="AB424"/>
          <cell r="AC424"/>
          <cell r="AD424"/>
          <cell r="AE424"/>
          <cell r="AF424"/>
          <cell r="AG424"/>
          <cell r="AH424"/>
          <cell r="AI424"/>
          <cell r="AJ424"/>
          <cell r="AK424"/>
          <cell r="AL424"/>
          <cell r="AM424"/>
          <cell r="AN424"/>
          <cell r="AO424"/>
          <cell r="AP424"/>
          <cell r="AQ424"/>
          <cell r="AR424"/>
          <cell r="AS424"/>
          <cell r="AT424"/>
          <cell r="AU424"/>
          <cell r="AV424"/>
          <cell r="AW424"/>
          <cell r="AX424"/>
          <cell r="AY424"/>
          <cell r="AZ424"/>
          <cell r="BA424"/>
          <cell r="BB424"/>
          <cell r="BC424"/>
          <cell r="BD424"/>
          <cell r="BE424"/>
          <cell r="BF424"/>
          <cell r="BG424"/>
          <cell r="BH424"/>
          <cell r="BI424"/>
          <cell r="BJ424"/>
          <cell r="BK424"/>
          <cell r="BL424"/>
          <cell r="BM424"/>
          <cell r="BN424"/>
          <cell r="BO424"/>
          <cell r="BP424"/>
          <cell r="BQ424"/>
          <cell r="BR424"/>
          <cell r="BS424"/>
          <cell r="BT424"/>
          <cell r="BU424"/>
          <cell r="BV424"/>
          <cell r="BW424"/>
          <cell r="BX424"/>
          <cell r="BY424"/>
          <cell r="BZ424"/>
          <cell r="CA424"/>
          <cell r="CB424"/>
          <cell r="CC424"/>
          <cell r="CD424"/>
          <cell r="CE424"/>
          <cell r="CF424"/>
          <cell r="CG424"/>
          <cell r="CH424"/>
          <cell r="CI424"/>
          <cell r="CJ424"/>
          <cell r="CK424"/>
          <cell r="CL424"/>
          <cell r="CM424"/>
          <cell r="CN424"/>
          <cell r="CO424"/>
          <cell r="CP424"/>
          <cell r="CQ424"/>
          <cell r="CR424"/>
          <cell r="CS424"/>
          <cell r="CT424"/>
          <cell r="CU424"/>
          <cell r="CV424"/>
          <cell r="CW424"/>
          <cell r="CX424"/>
          <cell r="CY424"/>
          <cell r="CZ424"/>
          <cell r="DA424"/>
        </row>
        <row r="425">
          <cell r="F425" t="str">
            <v>YY</v>
          </cell>
          <cell r="G425" t="str">
            <v>0</v>
          </cell>
          <cell r="H425" t="str">
            <v>0</v>
          </cell>
          <cell r="I425" t="str">
            <v>0</v>
          </cell>
          <cell r="J425" t="str">
            <v>1</v>
          </cell>
          <cell r="K425"/>
          <cell r="L425" t="str">
            <v>0001</v>
          </cell>
          <cell r="M425" t="str">
            <v>04</v>
          </cell>
          <cell r="N425" t="str">
            <v>2760N/AReallocated Assistance Fund</v>
          </cell>
          <cell r="P425" t="str">
            <v>5010</v>
          </cell>
          <cell r="Q425" t="str">
            <v>70*C</v>
          </cell>
          <cell r="R425"/>
          <cell r="S425"/>
          <cell r="T425"/>
          <cell r="U425"/>
          <cell r="V425"/>
          <cell r="W425"/>
          <cell r="X425"/>
          <cell r="Y425"/>
          <cell r="Z425"/>
          <cell r="AA425"/>
          <cell r="AB425"/>
          <cell r="AC425"/>
          <cell r="AD425"/>
          <cell r="AE425"/>
          <cell r="AF425"/>
          <cell r="AG425"/>
          <cell r="AH425"/>
          <cell r="AI425"/>
          <cell r="AJ425"/>
          <cell r="AK425"/>
          <cell r="AL425"/>
          <cell r="AM425"/>
          <cell r="AN425"/>
          <cell r="AO425"/>
          <cell r="AP425"/>
          <cell r="AQ425"/>
          <cell r="AR425"/>
          <cell r="AS425"/>
          <cell r="AT425"/>
          <cell r="AU425"/>
          <cell r="AV425"/>
          <cell r="AW425"/>
          <cell r="AX425"/>
          <cell r="AY425"/>
          <cell r="AZ425"/>
          <cell r="BA425"/>
          <cell r="BB425"/>
          <cell r="BC425"/>
          <cell r="BD425"/>
          <cell r="BE425"/>
          <cell r="BF425"/>
          <cell r="BG425"/>
          <cell r="BH425"/>
          <cell r="BI425"/>
          <cell r="BJ425"/>
          <cell r="BK425"/>
          <cell r="BL425"/>
          <cell r="BM425"/>
          <cell r="BN425"/>
          <cell r="BO425"/>
          <cell r="BP425"/>
          <cell r="BQ425"/>
          <cell r="BR425"/>
          <cell r="BS425"/>
          <cell r="BT425"/>
          <cell r="BU425"/>
          <cell r="BV425"/>
          <cell r="BW425">
            <v>0</v>
          </cell>
          <cell r="BX425">
            <v>0</v>
          </cell>
          <cell r="BY425">
            <v>0</v>
          </cell>
          <cell r="CA425"/>
          <cell r="CB425"/>
          <cell r="CC425"/>
          <cell r="CD425"/>
          <cell r="CE425"/>
          <cell r="CF425"/>
          <cell r="CG425"/>
          <cell r="CH425"/>
          <cell r="CI425"/>
          <cell r="CJ425"/>
          <cell r="CK425"/>
          <cell r="CL425"/>
          <cell r="CM425"/>
          <cell r="CN425"/>
          <cell r="CO425"/>
          <cell r="CP425"/>
          <cell r="CQ425"/>
          <cell r="CR425"/>
          <cell r="CS425"/>
          <cell r="CT425"/>
          <cell r="CU425"/>
          <cell r="CV425"/>
          <cell r="CW425"/>
          <cell r="CX425"/>
          <cell r="CY425"/>
          <cell r="CZ425"/>
          <cell r="DA425"/>
        </row>
        <row r="426">
          <cell r="F426" t="str">
            <v>YY</v>
          </cell>
          <cell r="G426" t="str">
            <v>0</v>
          </cell>
          <cell r="H426" t="str">
            <v>0</v>
          </cell>
          <cell r="I426" t="str">
            <v>0</v>
          </cell>
          <cell r="J426" t="str">
            <v>1</v>
          </cell>
          <cell r="K426"/>
          <cell r="L426" t="str">
            <v>0001</v>
          </cell>
          <cell r="M426" t="str">
            <v>04</v>
          </cell>
          <cell r="N426" t="str">
            <v>9025N/AReallocated Assistance Fund</v>
          </cell>
          <cell r="P426" t="str">
            <v>5010</v>
          </cell>
          <cell r="Q426" t="str">
            <v>70*C</v>
          </cell>
          <cell r="R426"/>
          <cell r="S426"/>
          <cell r="T426"/>
          <cell r="U426"/>
          <cell r="V426"/>
          <cell r="W426"/>
          <cell r="X426"/>
          <cell r="Y426"/>
          <cell r="Z426"/>
          <cell r="AA426"/>
          <cell r="AB426"/>
          <cell r="AC426"/>
          <cell r="AD426"/>
          <cell r="AE426"/>
          <cell r="AF426"/>
          <cell r="AG426"/>
          <cell r="AH426"/>
          <cell r="AI426"/>
          <cell r="AJ426"/>
          <cell r="AK426"/>
          <cell r="AL426"/>
          <cell r="AM426"/>
          <cell r="AN426"/>
          <cell r="AO426"/>
          <cell r="AP426"/>
          <cell r="AQ426"/>
          <cell r="AR426"/>
          <cell r="AS426"/>
          <cell r="AT426"/>
          <cell r="AU426"/>
          <cell r="AV426"/>
          <cell r="AW426"/>
          <cell r="AX426"/>
          <cell r="AY426"/>
          <cell r="AZ426"/>
          <cell r="BA426"/>
          <cell r="BB426"/>
          <cell r="BC426"/>
          <cell r="BD426"/>
          <cell r="BE426"/>
          <cell r="BF426"/>
          <cell r="BG426"/>
          <cell r="BH426"/>
          <cell r="BI426"/>
          <cell r="BJ426"/>
          <cell r="BK426"/>
          <cell r="BL426"/>
          <cell r="BM426"/>
          <cell r="BN426"/>
          <cell r="BO426"/>
          <cell r="BP426"/>
          <cell r="BQ426"/>
          <cell r="BR426"/>
          <cell r="BS426"/>
          <cell r="BT426"/>
          <cell r="BU426"/>
          <cell r="BV426"/>
          <cell r="BW426">
            <v>0</v>
          </cell>
          <cell r="BX426">
            <v>0</v>
          </cell>
          <cell r="BY426">
            <v>0</v>
          </cell>
          <cell r="CA426"/>
          <cell r="CB426"/>
          <cell r="CC426"/>
          <cell r="CD426"/>
          <cell r="CE426"/>
          <cell r="CF426"/>
          <cell r="CG426"/>
          <cell r="CH426"/>
          <cell r="CI426"/>
          <cell r="CJ426"/>
          <cell r="CK426"/>
          <cell r="CL426"/>
          <cell r="CM426"/>
          <cell r="CN426"/>
          <cell r="CO426"/>
          <cell r="CP426"/>
          <cell r="CQ426"/>
          <cell r="CR426"/>
          <cell r="CS426"/>
          <cell r="CT426"/>
          <cell r="CU426"/>
          <cell r="CV426"/>
          <cell r="CW426"/>
          <cell r="CX426"/>
          <cell r="CY426"/>
          <cell r="CZ426"/>
          <cell r="DA426"/>
        </row>
        <row r="427">
          <cell r="G427"/>
          <cell r="H427"/>
          <cell r="I427"/>
          <cell r="J427"/>
          <cell r="K427"/>
          <cell r="L427"/>
          <cell r="M427" t="str">
            <v xml:space="preserve"> </v>
          </cell>
          <cell r="N427" t="str">
            <v/>
          </cell>
          <cell r="Q427" t="str">
            <v>Reallocated Assistance Fund Total</v>
          </cell>
          <cell r="R427"/>
          <cell r="S427"/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/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/>
          <cell r="CA427">
            <v>0</v>
          </cell>
          <cell r="CB427">
            <v>0</v>
          </cell>
          <cell r="CC427"/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</row>
        <row r="428">
          <cell r="F428"/>
          <cell r="G428"/>
          <cell r="H428"/>
          <cell r="I428"/>
          <cell r="J428"/>
          <cell r="K428"/>
          <cell r="L428"/>
          <cell r="M428" t="str">
            <v xml:space="preserve"> </v>
          </cell>
          <cell r="N428" t="str">
            <v/>
          </cell>
          <cell r="R428"/>
          <cell r="S428"/>
          <cell r="AW428"/>
        </row>
        <row r="429">
          <cell r="F429" t="str">
            <v>08</v>
          </cell>
          <cell r="G429" t="str">
            <v>0</v>
          </cell>
          <cell r="H429" t="str">
            <v>1</v>
          </cell>
          <cell r="I429" t="str">
            <v>0</v>
          </cell>
          <cell r="J429" t="str">
            <v>0</v>
          </cell>
          <cell r="K429"/>
          <cell r="L429" t="str">
            <v>0100</v>
          </cell>
          <cell r="M429" t="str">
            <v>02</v>
          </cell>
          <cell r="N429" t="str">
            <v>1010N/ASupervisor Pilot</v>
          </cell>
          <cell r="P429" t="str">
            <v>5010</v>
          </cell>
          <cell r="Q429" t="str">
            <v>70*C</v>
          </cell>
          <cell r="R429"/>
          <cell r="S429"/>
          <cell r="T429"/>
          <cell r="U429"/>
          <cell r="V429"/>
          <cell r="W429"/>
          <cell r="X429"/>
          <cell r="Y429"/>
          <cell r="Z429"/>
          <cell r="AA429"/>
          <cell r="AB429"/>
          <cell r="AC429"/>
          <cell r="AD429"/>
          <cell r="AE429"/>
          <cell r="AF429"/>
          <cell r="AG429"/>
          <cell r="AH429"/>
          <cell r="AI429"/>
          <cell r="AJ429"/>
          <cell r="AK429"/>
          <cell r="AL429"/>
          <cell r="AM429"/>
          <cell r="AN429"/>
          <cell r="AO429"/>
          <cell r="AP429"/>
          <cell r="AQ429"/>
          <cell r="AR429"/>
          <cell r="AS429"/>
          <cell r="AT429"/>
          <cell r="AU429"/>
          <cell r="AV429" t="str">
            <v>S010A180006</v>
          </cell>
          <cell r="AW429"/>
          <cell r="AX429">
            <v>40000</v>
          </cell>
          <cell r="AY429"/>
          <cell r="AZ429"/>
          <cell r="BA429"/>
          <cell r="BB429"/>
          <cell r="BC429"/>
          <cell r="BD429"/>
          <cell r="BE429"/>
          <cell r="BF429"/>
          <cell r="BG429"/>
          <cell r="BH429"/>
          <cell r="BI429"/>
          <cell r="BJ429"/>
          <cell r="BK429"/>
          <cell r="BL429"/>
          <cell r="BM429"/>
          <cell r="BN429"/>
          <cell r="BO429"/>
          <cell r="BP429"/>
          <cell r="BQ429"/>
          <cell r="BR429"/>
          <cell r="BS429"/>
          <cell r="BT429"/>
          <cell r="BU429"/>
          <cell r="BV429"/>
          <cell r="BW429">
            <v>0</v>
          </cell>
          <cell r="BX429">
            <v>0</v>
          </cell>
          <cell r="BY429">
            <v>40000</v>
          </cell>
          <cell r="CA429"/>
          <cell r="CB429"/>
          <cell r="CC429"/>
          <cell r="CD429"/>
          <cell r="CE429"/>
          <cell r="CF429"/>
          <cell r="CG429"/>
          <cell r="CH429"/>
          <cell r="CI429"/>
          <cell r="CJ429"/>
          <cell r="CK429"/>
          <cell r="CL429"/>
          <cell r="CM429"/>
          <cell r="CN429"/>
          <cell r="CO429"/>
          <cell r="CP429"/>
          <cell r="CQ429">
            <v>-12467.16</v>
          </cell>
          <cell r="CR429"/>
          <cell r="CS429">
            <v>-6150</v>
          </cell>
          <cell r="CT429"/>
          <cell r="CU429"/>
          <cell r="CV429"/>
          <cell r="CW429">
            <v>-1249.06</v>
          </cell>
          <cell r="CX429"/>
          <cell r="CY429"/>
          <cell r="CZ429"/>
          <cell r="DA429"/>
        </row>
        <row r="430">
          <cell r="F430" t="str">
            <v>08</v>
          </cell>
          <cell r="G430" t="str">
            <v>0</v>
          </cell>
          <cell r="H430" t="str">
            <v>1</v>
          </cell>
          <cell r="I430" t="str">
            <v>0</v>
          </cell>
          <cell r="J430" t="str">
            <v>0</v>
          </cell>
          <cell r="K430"/>
          <cell r="L430" t="str">
            <v>0100</v>
          </cell>
          <cell r="M430" t="str">
            <v>02</v>
          </cell>
          <cell r="N430" t="str">
            <v>3120N/ASupervisor Pilot</v>
          </cell>
          <cell r="P430" t="str">
            <v>5010</v>
          </cell>
          <cell r="Q430" t="str">
            <v>70*C</v>
          </cell>
          <cell r="R430"/>
          <cell r="S430"/>
          <cell r="T430"/>
          <cell r="U430"/>
          <cell r="V430"/>
          <cell r="W430"/>
          <cell r="X430"/>
          <cell r="Y430"/>
          <cell r="Z430"/>
          <cell r="AA430"/>
          <cell r="AB430"/>
          <cell r="AC430"/>
          <cell r="AD430"/>
          <cell r="AE430"/>
          <cell r="AF430"/>
          <cell r="AG430"/>
          <cell r="AH430"/>
          <cell r="AI430"/>
          <cell r="AJ430"/>
          <cell r="AK430"/>
          <cell r="AL430"/>
          <cell r="AM430"/>
          <cell r="AN430"/>
          <cell r="AO430"/>
          <cell r="AP430"/>
          <cell r="AQ430"/>
          <cell r="AR430"/>
          <cell r="AS430"/>
          <cell r="AT430"/>
          <cell r="AU430"/>
          <cell r="AV430" t="str">
            <v>S010A180006</v>
          </cell>
          <cell r="AW430"/>
          <cell r="AX430">
            <v>30000</v>
          </cell>
          <cell r="AY430"/>
          <cell r="AZ430"/>
          <cell r="BA430"/>
          <cell r="BB430"/>
          <cell r="BC430"/>
          <cell r="BD430"/>
          <cell r="BE430"/>
          <cell r="BF430"/>
          <cell r="BG430"/>
          <cell r="BH430"/>
          <cell r="BI430"/>
          <cell r="BJ430"/>
          <cell r="BK430"/>
          <cell r="BL430"/>
          <cell r="BM430"/>
          <cell r="BN430"/>
          <cell r="BO430"/>
          <cell r="BP430"/>
          <cell r="BQ430"/>
          <cell r="BR430"/>
          <cell r="BS430"/>
          <cell r="BT430"/>
          <cell r="BU430"/>
          <cell r="BV430"/>
          <cell r="BW430">
            <v>0</v>
          </cell>
          <cell r="BX430">
            <v>0</v>
          </cell>
          <cell r="BY430">
            <v>30000</v>
          </cell>
          <cell r="CA430"/>
          <cell r="CB430"/>
          <cell r="CC430"/>
          <cell r="CD430"/>
          <cell r="CE430"/>
          <cell r="CF430"/>
          <cell r="CG430"/>
          <cell r="CH430"/>
          <cell r="CI430"/>
          <cell r="CJ430"/>
          <cell r="CK430"/>
          <cell r="CL430"/>
          <cell r="CM430"/>
          <cell r="CN430"/>
          <cell r="CO430"/>
          <cell r="CP430"/>
          <cell r="CQ430"/>
          <cell r="CR430"/>
          <cell r="CS430"/>
          <cell r="CT430"/>
          <cell r="CU430"/>
          <cell r="CV430"/>
          <cell r="CW430"/>
          <cell r="CX430"/>
          <cell r="CY430">
            <v>-8868.7999999999993</v>
          </cell>
          <cell r="CZ430"/>
          <cell r="DA430"/>
        </row>
        <row r="431">
          <cell r="G431"/>
          <cell r="H431"/>
          <cell r="I431"/>
          <cell r="J431"/>
          <cell r="K431"/>
          <cell r="L431"/>
          <cell r="M431" t="str">
            <v xml:space="preserve"> </v>
          </cell>
          <cell r="N431" t="str">
            <v/>
          </cell>
          <cell r="Q431" t="str">
            <v>Supervisor Pilot Total</v>
          </cell>
          <cell r="R431"/>
          <cell r="S431"/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/>
          <cell r="AW431">
            <v>0</v>
          </cell>
          <cell r="AX431">
            <v>70000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70000</v>
          </cell>
          <cell r="BZ431"/>
          <cell r="CA431">
            <v>0</v>
          </cell>
          <cell r="CB431">
            <v>0</v>
          </cell>
          <cell r="CC431"/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-12467.16</v>
          </cell>
          <cell r="CR431">
            <v>0</v>
          </cell>
          <cell r="CS431">
            <v>-6150</v>
          </cell>
          <cell r="CT431">
            <v>0</v>
          </cell>
          <cell r="CU431">
            <v>0</v>
          </cell>
          <cell r="CV431">
            <v>0</v>
          </cell>
          <cell r="CW431">
            <v>-1249.06</v>
          </cell>
          <cell r="CX431">
            <v>0</v>
          </cell>
          <cell r="CY431">
            <v>-8868.7999999999993</v>
          </cell>
          <cell r="CZ431">
            <v>0</v>
          </cell>
          <cell r="DA431">
            <v>0</v>
          </cell>
        </row>
        <row r="432">
          <cell r="F432"/>
          <cell r="G432"/>
          <cell r="H432"/>
          <cell r="I432"/>
          <cell r="J432"/>
          <cell r="K432"/>
          <cell r="L432"/>
          <cell r="M432" t="str">
            <v xml:space="preserve"> </v>
          </cell>
          <cell r="N432" t="str">
            <v/>
          </cell>
          <cell r="R432"/>
          <cell r="S432"/>
          <cell r="AW432"/>
        </row>
        <row r="433">
          <cell r="F433" t="str">
            <v>10</v>
          </cell>
          <cell r="G433" t="str">
            <v>1</v>
          </cell>
          <cell r="H433" t="str">
            <v>0</v>
          </cell>
          <cell r="I433" t="str">
            <v>0</v>
          </cell>
          <cell r="J433" t="str">
            <v>0</v>
          </cell>
          <cell r="K433" t="str">
            <v>0</v>
          </cell>
          <cell r="L433" t="str">
            <v>1000</v>
          </cell>
          <cell r="M433" t="str">
            <v>01</v>
          </cell>
          <cell r="N433" t="str">
            <v>00206376Turnaround Network</v>
          </cell>
          <cell r="O433" t="str">
            <v>S010A170006</v>
          </cell>
          <cell r="P433" t="str">
            <v>5010</v>
          </cell>
          <cell r="Q433" t="str">
            <v>70*C</v>
          </cell>
          <cell r="R433"/>
          <cell r="S433"/>
          <cell r="T433">
            <v>50000</v>
          </cell>
          <cell r="AS433">
            <v>0</v>
          </cell>
          <cell r="AT433">
            <v>0</v>
          </cell>
          <cell r="AU433">
            <v>50000</v>
          </cell>
          <cell r="AV433"/>
          <cell r="AW433"/>
          <cell r="BE433">
            <v>-20940</v>
          </cell>
          <cell r="BG433">
            <v>-1871</v>
          </cell>
          <cell r="BI433">
            <v>-2227</v>
          </cell>
          <cell r="BK433">
            <v>-825</v>
          </cell>
          <cell r="BM433">
            <v>-388</v>
          </cell>
          <cell r="BQ433">
            <v>-821</v>
          </cell>
          <cell r="BS433">
            <v>-337</v>
          </cell>
          <cell r="BW433">
            <v>-27409</v>
          </cell>
          <cell r="BX433">
            <v>0</v>
          </cell>
          <cell r="BY433">
            <v>22591</v>
          </cell>
          <cell r="BZ433"/>
          <cell r="CE433">
            <v>-17</v>
          </cell>
          <cell r="CI433">
            <v>-9845.17</v>
          </cell>
          <cell r="CK433">
            <v>-12403.28</v>
          </cell>
        </row>
        <row r="434">
          <cell r="F434" t="str">
            <v>10</v>
          </cell>
          <cell r="G434" t="str">
            <v>1</v>
          </cell>
          <cell r="H434" t="str">
            <v>0</v>
          </cell>
          <cell r="I434" t="str">
            <v>0</v>
          </cell>
          <cell r="J434" t="str">
            <v>0</v>
          </cell>
          <cell r="K434" t="str">
            <v>0</v>
          </cell>
          <cell r="L434" t="str">
            <v>1000</v>
          </cell>
          <cell r="M434" t="str">
            <v>01</v>
          </cell>
          <cell r="N434" t="str">
            <v>0020N/A Turnaround Network</v>
          </cell>
          <cell r="O434" t="str">
            <v>S010A170006</v>
          </cell>
          <cell r="P434" t="str">
            <v>5010</v>
          </cell>
          <cell r="Q434" t="str">
            <v>70*C</v>
          </cell>
          <cell r="R434"/>
          <cell r="S434"/>
          <cell r="T434">
            <v>30000</v>
          </cell>
          <cell r="AS434">
            <v>0</v>
          </cell>
          <cell r="AT434">
            <v>0</v>
          </cell>
          <cell r="AU434">
            <v>30000</v>
          </cell>
          <cell r="AV434"/>
          <cell r="AW434"/>
          <cell r="BE434">
            <v>-8265</v>
          </cell>
          <cell r="BI434">
            <v>-5490</v>
          </cell>
          <cell r="BK434">
            <v>-1319</v>
          </cell>
          <cell r="BM434">
            <v>-677</v>
          </cell>
          <cell r="BW434">
            <v>-15751</v>
          </cell>
          <cell r="BX434">
            <v>0</v>
          </cell>
          <cell r="BY434">
            <v>14249</v>
          </cell>
          <cell r="BZ434"/>
          <cell r="CE434">
            <v>-1626</v>
          </cell>
          <cell r="CI434">
            <v>-4572.5600000000004</v>
          </cell>
          <cell r="CK434">
            <v>-6179.44</v>
          </cell>
          <cell r="CW434">
            <v>-1871</v>
          </cell>
        </row>
        <row r="435">
          <cell r="F435" t="str">
            <v>10</v>
          </cell>
          <cell r="G435" t="str">
            <v>0</v>
          </cell>
          <cell r="H435" t="str">
            <v>0</v>
          </cell>
          <cell r="I435" t="str">
            <v>0</v>
          </cell>
          <cell r="J435" t="str">
            <v>0</v>
          </cell>
          <cell r="K435" t="str">
            <v>0</v>
          </cell>
          <cell r="L435" t="str">
            <v>0000</v>
          </cell>
          <cell r="M435" t="str">
            <v>X</v>
          </cell>
          <cell r="N435" t="str">
            <v>00305982Turnaround Network</v>
          </cell>
          <cell r="O435" t="str">
            <v>Old Funding Source</v>
          </cell>
          <cell r="P435" t="str">
            <v>5010</v>
          </cell>
          <cell r="Q435" t="str">
            <v>70*C</v>
          </cell>
          <cell r="R435"/>
          <cell r="S435"/>
          <cell r="AS435">
            <v>0</v>
          </cell>
          <cell r="AT435">
            <v>0</v>
          </cell>
          <cell r="AU435">
            <v>2336</v>
          </cell>
          <cell r="AW435"/>
          <cell r="BW435">
            <v>0</v>
          </cell>
          <cell r="BX435">
            <v>0</v>
          </cell>
          <cell r="BY435">
            <v>2336</v>
          </cell>
        </row>
        <row r="436">
          <cell r="F436" t="str">
            <v>10</v>
          </cell>
          <cell r="G436" t="str">
            <v>1</v>
          </cell>
          <cell r="H436" t="str">
            <v>0</v>
          </cell>
          <cell r="I436" t="str">
            <v>0</v>
          </cell>
          <cell r="J436" t="str">
            <v>0</v>
          </cell>
          <cell r="K436" t="str">
            <v>0</v>
          </cell>
          <cell r="L436" t="str">
            <v>1000</v>
          </cell>
          <cell r="M436" t="str">
            <v>01</v>
          </cell>
          <cell r="N436" t="str">
            <v>00305982Turnaround Network</v>
          </cell>
          <cell r="O436" t="str">
            <v>S010A170006</v>
          </cell>
          <cell r="P436" t="str">
            <v>5010</v>
          </cell>
          <cell r="Q436" t="str">
            <v>70*C</v>
          </cell>
          <cell r="R436">
            <v>43229</v>
          </cell>
          <cell r="S436">
            <v>43229</v>
          </cell>
          <cell r="T436">
            <v>50000</v>
          </cell>
          <cell r="AS436">
            <v>0</v>
          </cell>
          <cell r="AT436">
            <v>0</v>
          </cell>
          <cell r="AU436">
            <v>50000</v>
          </cell>
          <cell r="AV436"/>
          <cell r="AW436"/>
          <cell r="BE436">
            <v>-3618</v>
          </cell>
          <cell r="BI436">
            <v>-1541</v>
          </cell>
          <cell r="BK436">
            <v>-1129</v>
          </cell>
          <cell r="BM436">
            <v>-694</v>
          </cell>
          <cell r="BW436">
            <v>-6982</v>
          </cell>
          <cell r="BX436">
            <v>0</v>
          </cell>
          <cell r="BY436">
            <v>43018</v>
          </cell>
          <cell r="BZ436"/>
        </row>
        <row r="437">
          <cell r="F437" t="str">
            <v>10</v>
          </cell>
          <cell r="G437" t="str">
            <v>1</v>
          </cell>
          <cell r="H437" t="str">
            <v>0</v>
          </cell>
          <cell r="I437" t="str">
            <v>0</v>
          </cell>
          <cell r="J437" t="str">
            <v>0</v>
          </cell>
          <cell r="K437" t="str">
            <v>0</v>
          </cell>
          <cell r="L437" t="str">
            <v>1000</v>
          </cell>
          <cell r="M437" t="str">
            <v>01</v>
          </cell>
          <cell r="N437" t="str">
            <v>0030N/ATurnaround Network</v>
          </cell>
          <cell r="O437" t="str">
            <v>S010A170006</v>
          </cell>
          <cell r="P437" t="str">
            <v>5010</v>
          </cell>
          <cell r="Q437" t="str">
            <v>70*C</v>
          </cell>
          <cell r="R437"/>
          <cell r="S437"/>
          <cell r="T437">
            <v>10000</v>
          </cell>
          <cell r="AS437">
            <v>0</v>
          </cell>
          <cell r="AT437">
            <v>0</v>
          </cell>
          <cell r="AU437">
            <v>10000</v>
          </cell>
          <cell r="AV437"/>
          <cell r="AW437"/>
          <cell r="BW437">
            <v>0</v>
          </cell>
          <cell r="BX437">
            <v>0</v>
          </cell>
          <cell r="BY437">
            <v>10000</v>
          </cell>
          <cell r="BZ437"/>
        </row>
        <row r="438">
          <cell r="F438" t="str">
            <v>10</v>
          </cell>
          <cell r="G438" t="str">
            <v>0</v>
          </cell>
          <cell r="H438" t="str">
            <v>0</v>
          </cell>
          <cell r="I438" t="str">
            <v>1</v>
          </cell>
          <cell r="J438" t="str">
            <v>0</v>
          </cell>
          <cell r="K438" t="str">
            <v>0</v>
          </cell>
          <cell r="L438" t="str">
            <v>0010</v>
          </cell>
          <cell r="M438" t="str">
            <v>03</v>
          </cell>
          <cell r="N438" t="str">
            <v>01202752Turnaround Network</v>
          </cell>
          <cell r="O438"/>
          <cell r="P438" t="str">
            <v>5010</v>
          </cell>
          <cell r="Q438" t="str">
            <v>70*C</v>
          </cell>
          <cell r="R438"/>
          <cell r="S438"/>
          <cell r="T438"/>
          <cell r="U438"/>
          <cell r="V438"/>
          <cell r="W438"/>
          <cell r="X438"/>
          <cell r="Y438"/>
          <cell r="Z438"/>
          <cell r="AA438"/>
          <cell r="AB438"/>
          <cell r="AC438"/>
          <cell r="AD438"/>
          <cell r="AE438"/>
          <cell r="AF438"/>
          <cell r="AG438"/>
          <cell r="AH438"/>
          <cell r="AI438"/>
          <cell r="AJ438"/>
          <cell r="AK438"/>
          <cell r="AL438"/>
          <cell r="AM438"/>
          <cell r="AN438"/>
          <cell r="AO438"/>
          <cell r="AP438"/>
          <cell r="AQ438"/>
          <cell r="AR438"/>
          <cell r="AS438">
            <v>0</v>
          </cell>
          <cell r="AT438">
            <v>0</v>
          </cell>
          <cell r="AU438">
            <v>0</v>
          </cell>
          <cell r="AV438"/>
          <cell r="AW438"/>
          <cell r="AX438"/>
          <cell r="AY438"/>
          <cell r="AZ438"/>
          <cell r="BA438"/>
          <cell r="BB438"/>
          <cell r="BC438"/>
          <cell r="BD438"/>
          <cell r="BE438"/>
          <cell r="BF438"/>
          <cell r="BG438"/>
          <cell r="BH438"/>
          <cell r="BI438"/>
          <cell r="BJ438"/>
          <cell r="BK438"/>
          <cell r="BL438"/>
          <cell r="BM438"/>
          <cell r="BN438"/>
          <cell r="BO438"/>
          <cell r="BP438"/>
          <cell r="BQ438"/>
          <cell r="BR438"/>
          <cell r="BS438"/>
          <cell r="BT438"/>
          <cell r="BU438"/>
          <cell r="BV438"/>
          <cell r="BW438">
            <v>0</v>
          </cell>
          <cell r="BX438">
            <v>0</v>
          </cell>
          <cell r="BY438">
            <v>0</v>
          </cell>
          <cell r="BZ438"/>
          <cell r="CA438"/>
          <cell r="CB438"/>
          <cell r="CC438"/>
          <cell r="CD438">
            <v>15647.4558</v>
          </cell>
          <cell r="CE438"/>
          <cell r="CF438"/>
          <cell r="CG438"/>
          <cell r="CH438"/>
          <cell r="CI438"/>
          <cell r="CJ438"/>
          <cell r="CK438"/>
          <cell r="CL438"/>
          <cell r="CM438"/>
          <cell r="CN438"/>
          <cell r="CO438"/>
          <cell r="CP438"/>
          <cell r="CQ438"/>
          <cell r="CR438"/>
          <cell r="CS438"/>
          <cell r="CT438"/>
          <cell r="CU438"/>
          <cell r="CV438"/>
          <cell r="CW438"/>
          <cell r="CX438"/>
          <cell r="CY438"/>
          <cell r="CZ438"/>
          <cell r="DA438"/>
        </row>
        <row r="439">
          <cell r="F439" t="str">
            <v>10</v>
          </cell>
          <cell r="G439" t="str">
            <v>1</v>
          </cell>
          <cell r="H439" t="str">
            <v>0</v>
          </cell>
          <cell r="I439" t="str">
            <v>0</v>
          </cell>
          <cell r="J439" t="str">
            <v>0</v>
          </cell>
          <cell r="K439" t="str">
            <v>0</v>
          </cell>
          <cell r="L439" t="str">
            <v>1000</v>
          </cell>
          <cell r="M439" t="str">
            <v>01</v>
          </cell>
          <cell r="N439" t="str">
            <v>01800464Turnaround Network</v>
          </cell>
          <cell r="O439" t="str">
            <v>S010A170006</v>
          </cell>
          <cell r="P439" t="str">
            <v>5010</v>
          </cell>
          <cell r="Q439" t="str">
            <v>70*C</v>
          </cell>
          <cell r="R439"/>
          <cell r="S439"/>
          <cell r="T439">
            <v>106594</v>
          </cell>
          <cell r="AS439">
            <v>0</v>
          </cell>
          <cell r="AT439">
            <v>0</v>
          </cell>
          <cell r="AU439">
            <v>106594</v>
          </cell>
          <cell r="AV439"/>
          <cell r="AW439"/>
          <cell r="BI439">
            <v>-7191</v>
          </cell>
          <cell r="BQ439">
            <v>-9680</v>
          </cell>
          <cell r="BW439">
            <v>-16871</v>
          </cell>
          <cell r="BX439">
            <v>0</v>
          </cell>
          <cell r="BY439">
            <v>89723</v>
          </cell>
          <cell r="BZ439" t="str">
            <v>S010A190006</v>
          </cell>
          <cell r="CB439">
            <v>30000</v>
          </cell>
          <cell r="CI439">
            <v>-35998.019999999997</v>
          </cell>
        </row>
        <row r="440">
          <cell r="F440" t="str">
            <v>10</v>
          </cell>
          <cell r="G440" t="str">
            <v>0</v>
          </cell>
          <cell r="H440" t="str">
            <v>0</v>
          </cell>
          <cell r="I440" t="str">
            <v>0</v>
          </cell>
          <cell r="J440" t="str">
            <v>0</v>
          </cell>
          <cell r="K440" t="str">
            <v>0</v>
          </cell>
          <cell r="L440" t="str">
            <v>0000</v>
          </cell>
          <cell r="M440" t="str">
            <v>X</v>
          </cell>
          <cell r="N440" t="str">
            <v>01806310Turnaround Network</v>
          </cell>
          <cell r="O440" t="str">
            <v>Old Funding Source</v>
          </cell>
          <cell r="P440" t="str">
            <v>5010</v>
          </cell>
          <cell r="Q440" t="str">
            <v>70*C</v>
          </cell>
          <cell r="R440">
            <v>43229</v>
          </cell>
          <cell r="S440">
            <v>43229</v>
          </cell>
          <cell r="AS440">
            <v>0</v>
          </cell>
          <cell r="AT440">
            <v>0</v>
          </cell>
          <cell r="AU440">
            <v>3154</v>
          </cell>
          <cell r="AW440"/>
          <cell r="BW440">
            <v>0</v>
          </cell>
          <cell r="BX440">
            <v>0</v>
          </cell>
          <cell r="BY440">
            <v>3154</v>
          </cell>
          <cell r="CK440">
            <v>-3154</v>
          </cell>
        </row>
        <row r="441">
          <cell r="F441" t="str">
            <v>10</v>
          </cell>
          <cell r="G441" t="str">
            <v>1</v>
          </cell>
          <cell r="H441" t="str">
            <v>0</v>
          </cell>
          <cell r="I441" t="str">
            <v>0</v>
          </cell>
          <cell r="J441" t="str">
            <v>0</v>
          </cell>
          <cell r="K441" t="str">
            <v>0</v>
          </cell>
          <cell r="L441" t="str">
            <v>1000</v>
          </cell>
          <cell r="M441" t="str">
            <v>01</v>
          </cell>
          <cell r="N441" t="str">
            <v>01806310Turnaround Network</v>
          </cell>
          <cell r="O441" t="str">
            <v>S010A170006</v>
          </cell>
          <cell r="P441" t="str">
            <v>5010</v>
          </cell>
          <cell r="Q441" t="str">
            <v>70*C</v>
          </cell>
          <cell r="R441"/>
          <cell r="S441"/>
          <cell r="T441">
            <v>101569</v>
          </cell>
          <cell r="AS441">
            <v>0</v>
          </cell>
          <cell r="AT441">
            <v>0</v>
          </cell>
          <cell r="AU441">
            <v>101569</v>
          </cell>
          <cell r="AV441"/>
          <cell r="AW441"/>
          <cell r="BE441">
            <v>-32640</v>
          </cell>
          <cell r="BG441">
            <v>-13357</v>
          </cell>
          <cell r="BI441">
            <v>-3695</v>
          </cell>
          <cell r="BK441">
            <v>-3516</v>
          </cell>
          <cell r="BO441">
            <v>-1682</v>
          </cell>
          <cell r="BU441">
            <v>-4846</v>
          </cell>
          <cell r="BW441">
            <v>-59736</v>
          </cell>
          <cell r="BX441">
            <v>0</v>
          </cell>
          <cell r="BY441">
            <v>41833</v>
          </cell>
          <cell r="BZ441" t="str">
            <v>S010A190006</v>
          </cell>
          <cell r="CB441">
            <v>30000</v>
          </cell>
          <cell r="CI441">
            <v>-24332.52</v>
          </cell>
          <cell r="CK441">
            <v>-13950.68</v>
          </cell>
        </row>
        <row r="442">
          <cell r="F442" t="str">
            <v>10</v>
          </cell>
          <cell r="G442" t="str">
            <v>0</v>
          </cell>
          <cell r="H442" t="str">
            <v>0</v>
          </cell>
          <cell r="I442" t="str">
            <v>0</v>
          </cell>
          <cell r="J442" t="str">
            <v>0</v>
          </cell>
          <cell r="K442" t="str">
            <v>0</v>
          </cell>
          <cell r="L442" t="str">
            <v>0000</v>
          </cell>
          <cell r="M442" t="str">
            <v>X</v>
          </cell>
          <cell r="N442" t="str">
            <v>01808078Turnaround Network</v>
          </cell>
          <cell r="O442" t="str">
            <v>Old Funding Source</v>
          </cell>
          <cell r="P442" t="str">
            <v>5010</v>
          </cell>
          <cell r="Q442" t="str">
            <v>70*C</v>
          </cell>
          <cell r="R442"/>
          <cell r="S442"/>
          <cell r="AS442">
            <v>0</v>
          </cell>
          <cell r="AT442">
            <v>0</v>
          </cell>
          <cell r="AU442">
            <v>85</v>
          </cell>
          <cell r="AW442"/>
          <cell r="BW442">
            <v>0</v>
          </cell>
          <cell r="BX442">
            <v>0</v>
          </cell>
          <cell r="BY442">
            <v>85</v>
          </cell>
          <cell r="CK442">
            <v>-85</v>
          </cell>
        </row>
        <row r="443">
          <cell r="F443" t="str">
            <v>10</v>
          </cell>
          <cell r="G443" t="str">
            <v>1</v>
          </cell>
          <cell r="H443" t="str">
            <v>0</v>
          </cell>
          <cell r="I443" t="str">
            <v>0</v>
          </cell>
          <cell r="J443" t="str">
            <v>0</v>
          </cell>
          <cell r="K443" t="str">
            <v>0</v>
          </cell>
          <cell r="L443" t="str">
            <v>1000</v>
          </cell>
          <cell r="M443" t="str">
            <v>01</v>
          </cell>
          <cell r="N443" t="str">
            <v>01808078Turnaround Network</v>
          </cell>
          <cell r="O443" t="str">
            <v>S010A170006</v>
          </cell>
          <cell r="P443" t="str">
            <v>5010</v>
          </cell>
          <cell r="Q443" t="str">
            <v>70*C</v>
          </cell>
          <cell r="R443"/>
          <cell r="S443"/>
          <cell r="T443">
            <v>97760</v>
          </cell>
          <cell r="AS443">
            <v>0</v>
          </cell>
          <cell r="AT443">
            <v>0</v>
          </cell>
          <cell r="AU443">
            <v>97760</v>
          </cell>
          <cell r="AV443"/>
          <cell r="AW443"/>
          <cell r="BE443">
            <v>-31603</v>
          </cell>
          <cell r="BG443">
            <v>-14768</v>
          </cell>
          <cell r="BI443">
            <v>-231</v>
          </cell>
          <cell r="BK443">
            <v>-1866</v>
          </cell>
          <cell r="BM443">
            <v>-1149</v>
          </cell>
          <cell r="BQ443">
            <v>-16180</v>
          </cell>
          <cell r="BU443">
            <v>-951</v>
          </cell>
          <cell r="BW443">
            <v>-66748</v>
          </cell>
          <cell r="BX443">
            <v>0</v>
          </cell>
          <cell r="BY443">
            <v>31012</v>
          </cell>
          <cell r="BZ443" t="str">
            <v>S010A190006</v>
          </cell>
          <cell r="CB443">
            <v>30000</v>
          </cell>
          <cell r="CK443">
            <v>-6933.0599999999995</v>
          </cell>
          <cell r="CO443">
            <v>-18164.72</v>
          </cell>
        </row>
        <row r="444">
          <cell r="F444" t="str">
            <v>10</v>
          </cell>
          <cell r="G444" t="str">
            <v>0</v>
          </cell>
          <cell r="H444" t="str">
            <v>0</v>
          </cell>
          <cell r="I444" t="str">
            <v>1</v>
          </cell>
          <cell r="J444" t="str">
            <v>0</v>
          </cell>
          <cell r="K444" t="str">
            <v>0</v>
          </cell>
          <cell r="L444" t="str">
            <v>0010</v>
          </cell>
          <cell r="M444" t="str">
            <v>03</v>
          </cell>
          <cell r="N444" t="str">
            <v>01809140Turnaround Network</v>
          </cell>
          <cell r="O444" t="str">
            <v>Old Funding Source</v>
          </cell>
          <cell r="P444" t="str">
            <v>5010</v>
          </cell>
          <cell r="Q444" t="str">
            <v>70*C</v>
          </cell>
          <cell r="R444"/>
          <cell r="S444"/>
          <cell r="AS444">
            <v>0</v>
          </cell>
          <cell r="AT444">
            <v>0</v>
          </cell>
          <cell r="AU444">
            <v>5520</v>
          </cell>
          <cell r="AW444"/>
          <cell r="BW444">
            <v>0</v>
          </cell>
          <cell r="BX444">
            <v>0</v>
          </cell>
          <cell r="BY444">
            <v>5520</v>
          </cell>
          <cell r="CD444">
            <v>32967</v>
          </cell>
        </row>
        <row r="445">
          <cell r="F445" t="str">
            <v>10</v>
          </cell>
          <cell r="G445" t="str">
            <v>0</v>
          </cell>
          <cell r="H445" t="str">
            <v>0</v>
          </cell>
          <cell r="I445" t="str">
            <v>0</v>
          </cell>
          <cell r="J445" t="str">
            <v>0</v>
          </cell>
          <cell r="K445" t="str">
            <v>0</v>
          </cell>
          <cell r="L445" t="str">
            <v>0000</v>
          </cell>
          <cell r="M445" t="str">
            <v>X</v>
          </cell>
          <cell r="N445" t="str">
            <v>0180N/ATurnaround Network</v>
          </cell>
          <cell r="O445" t="str">
            <v>Old Funding Source</v>
          </cell>
          <cell r="P445" t="str">
            <v>5010</v>
          </cell>
          <cell r="Q445" t="str">
            <v>70*C</v>
          </cell>
          <cell r="R445"/>
          <cell r="S445"/>
          <cell r="AS445">
            <v>0</v>
          </cell>
          <cell r="AT445">
            <v>0</v>
          </cell>
          <cell r="AU445">
            <v>20175</v>
          </cell>
          <cell r="AW445"/>
          <cell r="BW445">
            <v>0</v>
          </cell>
          <cell r="BX445">
            <v>0</v>
          </cell>
          <cell r="BY445">
            <v>20175</v>
          </cell>
        </row>
        <row r="446">
          <cell r="F446" t="str">
            <v>10</v>
          </cell>
          <cell r="G446" t="str">
            <v>1</v>
          </cell>
          <cell r="H446" t="str">
            <v>0</v>
          </cell>
          <cell r="I446" t="str">
            <v>0</v>
          </cell>
          <cell r="J446" t="str">
            <v>0</v>
          </cell>
          <cell r="K446" t="str">
            <v>0</v>
          </cell>
          <cell r="L446" t="str">
            <v>1000</v>
          </cell>
          <cell r="M446" t="str">
            <v>01</v>
          </cell>
          <cell r="N446" t="str">
            <v>0180N/ATurnaround Network</v>
          </cell>
          <cell r="O446" t="str">
            <v>S010A170006</v>
          </cell>
          <cell r="P446" t="str">
            <v>5010</v>
          </cell>
          <cell r="Q446" t="str">
            <v>70*C</v>
          </cell>
          <cell r="R446"/>
          <cell r="S446"/>
          <cell r="T446">
            <v>40439</v>
          </cell>
          <cell r="AS446">
            <v>0</v>
          </cell>
          <cell r="AT446">
            <v>0</v>
          </cell>
          <cell r="AU446">
            <v>40439</v>
          </cell>
          <cell r="AV446"/>
          <cell r="AW446"/>
          <cell r="BM446">
            <v>-992</v>
          </cell>
          <cell r="BO446">
            <v>-3903</v>
          </cell>
          <cell r="BQ446">
            <v>-4461</v>
          </cell>
          <cell r="BS446">
            <v>-2480</v>
          </cell>
          <cell r="BU446">
            <v>-705</v>
          </cell>
          <cell r="BW446">
            <v>-12541</v>
          </cell>
          <cell r="BX446">
            <v>0</v>
          </cell>
          <cell r="BY446">
            <v>27898</v>
          </cell>
          <cell r="BZ446" t="str">
            <v>S010A190006</v>
          </cell>
          <cell r="CA446">
            <v>30000</v>
          </cell>
          <cell r="CI446">
            <v>-704.04</v>
          </cell>
        </row>
        <row r="447">
          <cell r="F447"/>
          <cell r="G447"/>
          <cell r="H447"/>
          <cell r="I447"/>
          <cell r="J447"/>
          <cell r="K447" t="str">
            <v>0</v>
          </cell>
          <cell r="L447"/>
          <cell r="M447"/>
          <cell r="N447" t="str">
            <v>08806002Turnaround Network</v>
          </cell>
          <cell r="P447" t="str">
            <v>5010</v>
          </cell>
          <cell r="Q447"/>
          <cell r="R447"/>
          <cell r="S447"/>
          <cell r="T447"/>
          <cell r="U447"/>
          <cell r="V447"/>
          <cell r="W447"/>
          <cell r="X447"/>
          <cell r="Y447"/>
          <cell r="Z447"/>
          <cell r="AA447"/>
          <cell r="AB447"/>
          <cell r="AC447"/>
          <cell r="AD447"/>
          <cell r="AE447"/>
          <cell r="AF447"/>
          <cell r="AG447"/>
          <cell r="AH447"/>
          <cell r="AI447"/>
          <cell r="AJ447"/>
          <cell r="AK447"/>
          <cell r="AL447"/>
          <cell r="AM447"/>
          <cell r="AN447"/>
          <cell r="AO447"/>
          <cell r="AP447"/>
          <cell r="AQ447"/>
          <cell r="AR447"/>
          <cell r="AS447"/>
          <cell r="AT447"/>
          <cell r="AU447"/>
          <cell r="AV447"/>
          <cell r="AW447"/>
          <cell r="AX447"/>
          <cell r="AY447"/>
          <cell r="AZ447"/>
          <cell r="BA447"/>
          <cell r="BB447"/>
          <cell r="BC447"/>
          <cell r="BD447"/>
          <cell r="BE447"/>
          <cell r="BF447"/>
          <cell r="BG447"/>
          <cell r="BH447"/>
          <cell r="BI447"/>
          <cell r="BJ447"/>
          <cell r="BK447"/>
          <cell r="BL447"/>
          <cell r="BM447"/>
          <cell r="BN447"/>
          <cell r="BO447"/>
          <cell r="BP447"/>
          <cell r="BQ447"/>
          <cell r="BR447"/>
          <cell r="BS447"/>
          <cell r="BT447"/>
          <cell r="BU447"/>
          <cell r="BV447"/>
          <cell r="BW447"/>
          <cell r="BX447"/>
          <cell r="BY447"/>
          <cell r="BZ447"/>
          <cell r="CA447"/>
          <cell r="CB447"/>
          <cell r="CC447"/>
          <cell r="CD447"/>
          <cell r="CE447"/>
          <cell r="CF447"/>
          <cell r="CG447"/>
          <cell r="CH447"/>
          <cell r="CI447"/>
          <cell r="CJ447"/>
          <cell r="CK447"/>
          <cell r="CL447"/>
          <cell r="CM447"/>
          <cell r="CN447"/>
          <cell r="CO447"/>
          <cell r="CP447"/>
          <cell r="CQ447"/>
          <cell r="CR447"/>
          <cell r="CS447"/>
          <cell r="CT447"/>
          <cell r="CU447"/>
          <cell r="CV447"/>
          <cell r="CW447"/>
          <cell r="CX447"/>
          <cell r="CY447"/>
          <cell r="CZ447"/>
          <cell r="DA447"/>
        </row>
        <row r="448">
          <cell r="F448" t="str">
            <v>10</v>
          </cell>
          <cell r="G448" t="str">
            <v>0</v>
          </cell>
          <cell r="H448" t="str">
            <v>0</v>
          </cell>
          <cell r="I448" t="str">
            <v>0</v>
          </cell>
          <cell r="J448" t="str">
            <v>0</v>
          </cell>
          <cell r="K448" t="str">
            <v>1</v>
          </cell>
          <cell r="L448" t="str">
            <v>0000</v>
          </cell>
          <cell r="M448" t="str">
            <v>X</v>
          </cell>
          <cell r="N448" t="str">
            <v>08802183Turnaround Network</v>
          </cell>
          <cell r="P448" t="str">
            <v>5013</v>
          </cell>
          <cell r="Q448" t="str">
            <v>70*C</v>
          </cell>
          <cell r="R448"/>
          <cell r="S448"/>
          <cell r="T448"/>
          <cell r="U448"/>
          <cell r="V448"/>
          <cell r="W448"/>
          <cell r="X448"/>
          <cell r="Y448"/>
          <cell r="Z448"/>
          <cell r="AA448"/>
          <cell r="AB448"/>
          <cell r="AC448"/>
          <cell r="AD448"/>
          <cell r="AE448"/>
          <cell r="AF448"/>
          <cell r="AG448"/>
          <cell r="AH448"/>
          <cell r="AI448"/>
          <cell r="AJ448"/>
          <cell r="AK448"/>
          <cell r="AL448"/>
          <cell r="AM448"/>
          <cell r="AN448"/>
          <cell r="AO448"/>
          <cell r="AP448"/>
          <cell r="AQ448"/>
          <cell r="AR448"/>
          <cell r="AS448"/>
          <cell r="AT448"/>
          <cell r="AU448"/>
          <cell r="AV448"/>
          <cell r="AW448"/>
          <cell r="AX448"/>
          <cell r="AY448"/>
          <cell r="AZ448"/>
          <cell r="BA448"/>
          <cell r="BB448"/>
          <cell r="BC448"/>
          <cell r="BD448"/>
          <cell r="BE448"/>
          <cell r="BF448"/>
          <cell r="BG448"/>
          <cell r="BH448"/>
          <cell r="BI448"/>
          <cell r="BJ448"/>
          <cell r="BK448"/>
          <cell r="BL448"/>
          <cell r="BM448"/>
          <cell r="BN448"/>
          <cell r="BO448"/>
          <cell r="BP448"/>
          <cell r="BQ448"/>
          <cell r="BR448"/>
          <cell r="BS448"/>
          <cell r="BT448"/>
          <cell r="BU448"/>
          <cell r="BV448"/>
          <cell r="BW448"/>
          <cell r="BX448"/>
          <cell r="BY448"/>
          <cell r="BZ448"/>
          <cell r="CA448"/>
          <cell r="CB448"/>
          <cell r="CC448"/>
          <cell r="CD448"/>
          <cell r="CE448"/>
          <cell r="CF448"/>
          <cell r="CG448"/>
          <cell r="CH448"/>
          <cell r="CI448"/>
          <cell r="CJ448"/>
          <cell r="CK448"/>
          <cell r="CL448"/>
          <cell r="CM448"/>
          <cell r="CN448"/>
          <cell r="CO448"/>
          <cell r="CP448"/>
          <cell r="CQ448"/>
          <cell r="CR448"/>
          <cell r="CS448"/>
          <cell r="CT448"/>
          <cell r="CU448"/>
          <cell r="CV448"/>
          <cell r="CW448"/>
          <cell r="CX448"/>
          <cell r="CY448"/>
          <cell r="CZ448"/>
          <cell r="DA448"/>
        </row>
        <row r="449">
          <cell r="F449" t="str">
            <v>10</v>
          </cell>
          <cell r="G449" t="str">
            <v>0</v>
          </cell>
          <cell r="H449" t="str">
            <v>0</v>
          </cell>
          <cell r="I449" t="str">
            <v>0</v>
          </cell>
          <cell r="J449" t="str">
            <v>0</v>
          </cell>
          <cell r="K449" t="str">
            <v>0</v>
          </cell>
          <cell r="L449" t="str">
            <v>0000</v>
          </cell>
          <cell r="M449" t="str">
            <v>X</v>
          </cell>
          <cell r="N449" t="str">
            <v>09906952Turnaround Network</v>
          </cell>
          <cell r="O449" t="str">
            <v>Old Funding Source</v>
          </cell>
          <cell r="P449" t="str">
            <v>5010</v>
          </cell>
          <cell r="Q449" t="str">
            <v>70*C</v>
          </cell>
          <cell r="R449">
            <v>43229</v>
          </cell>
          <cell r="S449">
            <v>43229</v>
          </cell>
          <cell r="AS449">
            <v>0</v>
          </cell>
          <cell r="AT449">
            <v>0</v>
          </cell>
          <cell r="AU449">
            <v>10138</v>
          </cell>
          <cell r="AW449"/>
          <cell r="BS449">
            <v>-8324</v>
          </cell>
          <cell r="BW449">
            <v>-8324</v>
          </cell>
          <cell r="BX449">
            <v>0</v>
          </cell>
          <cell r="BY449">
            <v>1814</v>
          </cell>
        </row>
        <row r="450">
          <cell r="F450" t="str">
            <v>10</v>
          </cell>
          <cell r="G450" t="str">
            <v>1</v>
          </cell>
          <cell r="H450" t="str">
            <v>0</v>
          </cell>
          <cell r="I450" t="str">
            <v>0</v>
          </cell>
          <cell r="J450" t="str">
            <v>0</v>
          </cell>
          <cell r="K450" t="str">
            <v>0</v>
          </cell>
          <cell r="L450" t="str">
            <v>1000</v>
          </cell>
          <cell r="M450" t="str">
            <v>01</v>
          </cell>
          <cell r="N450" t="str">
            <v>09906952Turnaround Network</v>
          </cell>
          <cell r="O450" t="str">
            <v>S010A170006</v>
          </cell>
          <cell r="P450" t="str">
            <v>5010</v>
          </cell>
          <cell r="Q450" t="str">
            <v>70*C</v>
          </cell>
          <cell r="R450">
            <v>43229</v>
          </cell>
          <cell r="S450">
            <v>43229</v>
          </cell>
          <cell r="T450">
            <v>50406</v>
          </cell>
          <cell r="AS450">
            <v>0</v>
          </cell>
          <cell r="AT450">
            <v>0</v>
          </cell>
          <cell r="AU450">
            <v>50406</v>
          </cell>
          <cell r="AV450"/>
          <cell r="AW450"/>
          <cell r="BG450">
            <v>-4629</v>
          </cell>
          <cell r="BO450">
            <v>-5046</v>
          </cell>
          <cell r="BW450">
            <v>-9675</v>
          </cell>
          <cell r="BX450">
            <v>0</v>
          </cell>
          <cell r="BY450">
            <v>40731</v>
          </cell>
          <cell r="BZ450"/>
          <cell r="CI450">
            <v>-32407</v>
          </cell>
        </row>
        <row r="451">
          <cell r="F451" t="str">
            <v>10</v>
          </cell>
          <cell r="G451" t="str">
            <v>0</v>
          </cell>
          <cell r="H451" t="str">
            <v>0</v>
          </cell>
          <cell r="I451" t="str">
            <v>0</v>
          </cell>
          <cell r="J451" t="str">
            <v>0</v>
          </cell>
          <cell r="K451" t="str">
            <v>0</v>
          </cell>
          <cell r="L451" t="str">
            <v>0000</v>
          </cell>
          <cell r="M451" t="str">
            <v>X</v>
          </cell>
          <cell r="N451" t="str">
            <v>0990N/ATurnaround Network</v>
          </cell>
          <cell r="O451" t="str">
            <v>Old Funding Source</v>
          </cell>
          <cell r="P451" t="str">
            <v>5010</v>
          </cell>
          <cell r="Q451" t="str">
            <v>70*C</v>
          </cell>
          <cell r="R451">
            <v>43229</v>
          </cell>
          <cell r="S451">
            <v>43229</v>
          </cell>
          <cell r="AS451">
            <v>0</v>
          </cell>
          <cell r="AT451">
            <v>0</v>
          </cell>
          <cell r="AU451">
            <v>1597</v>
          </cell>
          <cell r="AW451"/>
          <cell r="BW451">
            <v>0</v>
          </cell>
          <cell r="BX451">
            <v>0</v>
          </cell>
          <cell r="BY451">
            <v>1597</v>
          </cell>
        </row>
        <row r="452">
          <cell r="F452" t="str">
            <v>10</v>
          </cell>
          <cell r="G452" t="str">
            <v>1</v>
          </cell>
          <cell r="H452" t="str">
            <v>0</v>
          </cell>
          <cell r="I452" t="str">
            <v>0</v>
          </cell>
          <cell r="J452" t="str">
            <v>0</v>
          </cell>
          <cell r="K452" t="str">
            <v>0</v>
          </cell>
          <cell r="L452" t="str">
            <v>1000</v>
          </cell>
          <cell r="M452" t="str">
            <v>01</v>
          </cell>
          <cell r="N452" t="str">
            <v>0990N/ATurnaround Network</v>
          </cell>
          <cell r="O452" t="str">
            <v>S010A170006</v>
          </cell>
          <cell r="P452" t="str">
            <v>5010</v>
          </cell>
          <cell r="Q452" t="str">
            <v>70*C</v>
          </cell>
          <cell r="R452">
            <v>43229</v>
          </cell>
          <cell r="S452">
            <v>43229</v>
          </cell>
          <cell r="T452">
            <v>10000</v>
          </cell>
          <cell r="AS452">
            <v>0</v>
          </cell>
          <cell r="AT452">
            <v>0</v>
          </cell>
          <cell r="AU452">
            <v>10000</v>
          </cell>
          <cell r="AV452"/>
          <cell r="AW452"/>
          <cell r="BW452">
            <v>0</v>
          </cell>
          <cell r="BX452">
            <v>0</v>
          </cell>
          <cell r="BY452">
            <v>10000</v>
          </cell>
          <cell r="BZ452"/>
        </row>
        <row r="453">
          <cell r="F453" t="str">
            <v>10</v>
          </cell>
          <cell r="G453" t="str">
            <v>0</v>
          </cell>
          <cell r="H453" t="str">
            <v>0</v>
          </cell>
          <cell r="I453" t="str">
            <v>0</v>
          </cell>
          <cell r="J453" t="str">
            <v>0</v>
          </cell>
          <cell r="K453" t="str">
            <v>0</v>
          </cell>
          <cell r="L453" t="str">
            <v>0000</v>
          </cell>
          <cell r="M453" t="str">
            <v>X</v>
          </cell>
          <cell r="N453" t="str">
            <v>10103920Turnaround Network</v>
          </cell>
          <cell r="O453" t="str">
            <v>Old Funding Source</v>
          </cell>
          <cell r="P453" t="str">
            <v>5010</v>
          </cell>
          <cell r="Q453" t="str">
            <v>70*C</v>
          </cell>
          <cell r="R453"/>
          <cell r="S453"/>
          <cell r="AS453">
            <v>0</v>
          </cell>
          <cell r="AT453">
            <v>0</v>
          </cell>
          <cell r="AU453">
            <v>455</v>
          </cell>
          <cell r="AW453"/>
          <cell r="BW453">
            <v>0</v>
          </cell>
          <cell r="BX453">
            <v>0</v>
          </cell>
          <cell r="BY453">
            <v>455</v>
          </cell>
        </row>
        <row r="454">
          <cell r="F454" t="str">
            <v>10</v>
          </cell>
          <cell r="G454" t="str">
            <v>1</v>
          </cell>
          <cell r="H454" t="str">
            <v>0</v>
          </cell>
          <cell r="I454" t="str">
            <v>0</v>
          </cell>
          <cell r="J454" t="str">
            <v>0</v>
          </cell>
          <cell r="K454" t="str">
            <v>0</v>
          </cell>
          <cell r="L454" t="str">
            <v>1000</v>
          </cell>
          <cell r="M454" t="str">
            <v>01</v>
          </cell>
          <cell r="N454" t="str">
            <v>10103920Turnaround Network</v>
          </cell>
          <cell r="O454" t="str">
            <v>S010A170006</v>
          </cell>
          <cell r="P454" t="str">
            <v>5010</v>
          </cell>
          <cell r="Q454" t="str">
            <v>70*C</v>
          </cell>
          <cell r="R454"/>
          <cell r="S454"/>
          <cell r="T454">
            <v>50000</v>
          </cell>
          <cell r="AS454">
            <v>0</v>
          </cell>
          <cell r="AT454">
            <v>0</v>
          </cell>
          <cell r="AU454">
            <v>50000</v>
          </cell>
          <cell r="AV454"/>
          <cell r="AW454"/>
          <cell r="BA454">
            <v>-5675</v>
          </cell>
          <cell r="BE454">
            <v>-199</v>
          </cell>
          <cell r="BM454">
            <v>-10976</v>
          </cell>
          <cell r="BO454">
            <v>-30593</v>
          </cell>
          <cell r="BQ454">
            <v>-1411</v>
          </cell>
          <cell r="BW454">
            <v>-48854</v>
          </cell>
          <cell r="BX454">
            <v>0</v>
          </cell>
          <cell r="BY454">
            <v>1146</v>
          </cell>
          <cell r="BZ454"/>
          <cell r="CH454">
            <v>-727</v>
          </cell>
        </row>
        <row r="455">
          <cell r="F455" t="str">
            <v>10</v>
          </cell>
          <cell r="G455" t="str">
            <v>0</v>
          </cell>
          <cell r="H455" t="str">
            <v>0</v>
          </cell>
          <cell r="I455" t="str">
            <v>0</v>
          </cell>
          <cell r="J455" t="str">
            <v>0</v>
          </cell>
          <cell r="K455" t="str">
            <v>0</v>
          </cell>
          <cell r="L455" t="str">
            <v>0000</v>
          </cell>
          <cell r="M455" t="str">
            <v>X</v>
          </cell>
          <cell r="N455" t="str">
            <v>10105988Turnaround Network</v>
          </cell>
          <cell r="O455" t="str">
            <v>Old Funding Source</v>
          </cell>
          <cell r="P455" t="str">
            <v>5010</v>
          </cell>
          <cell r="Q455" t="str">
            <v>70*C</v>
          </cell>
          <cell r="R455"/>
          <cell r="S455"/>
          <cell r="AS455">
            <v>0</v>
          </cell>
          <cell r="AT455">
            <v>0</v>
          </cell>
          <cell r="AU455">
            <v>1777</v>
          </cell>
          <cell r="AW455"/>
          <cell r="BW455">
            <v>0</v>
          </cell>
          <cell r="BX455">
            <v>0</v>
          </cell>
          <cell r="BY455">
            <v>1777</v>
          </cell>
          <cell r="CQ455">
            <v>-1777</v>
          </cell>
        </row>
        <row r="456">
          <cell r="F456" t="str">
            <v>10</v>
          </cell>
          <cell r="G456" t="str">
            <v>1</v>
          </cell>
          <cell r="H456" t="str">
            <v>0</v>
          </cell>
          <cell r="I456" t="str">
            <v>0</v>
          </cell>
          <cell r="J456" t="str">
            <v>0</v>
          </cell>
          <cell r="K456" t="str">
            <v>0</v>
          </cell>
          <cell r="L456" t="str">
            <v>1000</v>
          </cell>
          <cell r="M456" t="str">
            <v>01</v>
          </cell>
          <cell r="N456" t="str">
            <v>10105988Turnaround Network</v>
          </cell>
          <cell r="O456" t="str">
            <v>S010A170006</v>
          </cell>
          <cell r="P456" t="str">
            <v>5010</v>
          </cell>
          <cell r="Q456" t="str">
            <v>70*C</v>
          </cell>
          <cell r="R456"/>
          <cell r="S456"/>
          <cell r="T456">
            <v>100000</v>
          </cell>
          <cell r="AS456">
            <v>0</v>
          </cell>
          <cell r="AT456">
            <v>0</v>
          </cell>
          <cell r="AU456">
            <v>100000</v>
          </cell>
          <cell r="AV456"/>
          <cell r="AW456"/>
          <cell r="BE456">
            <v>-638</v>
          </cell>
          <cell r="BG456">
            <v>-2800</v>
          </cell>
          <cell r="BI456">
            <v>-1010</v>
          </cell>
          <cell r="BK456">
            <v>-1107</v>
          </cell>
          <cell r="BM456">
            <v>-12023</v>
          </cell>
          <cell r="BO456">
            <v>-5053</v>
          </cell>
          <cell r="BQ456">
            <v>-15177</v>
          </cell>
          <cell r="BU456">
            <v>-38869</v>
          </cell>
          <cell r="BW456">
            <v>-76677</v>
          </cell>
          <cell r="BX456">
            <v>0</v>
          </cell>
          <cell r="BY456">
            <v>23323</v>
          </cell>
          <cell r="BZ456" t="str">
            <v>S010A180006</v>
          </cell>
          <cell r="CB456">
            <v>32016</v>
          </cell>
          <cell r="CH456">
            <v>-22506</v>
          </cell>
          <cell r="CQ456">
            <v>-12714.5</v>
          </cell>
          <cell r="CU456">
            <v>-7245.75</v>
          </cell>
          <cell r="CY456">
            <v>-8706.49</v>
          </cell>
        </row>
        <row r="457">
          <cell r="F457" t="str">
            <v>10</v>
          </cell>
          <cell r="G457" t="str">
            <v>0</v>
          </cell>
          <cell r="H457" t="str">
            <v>0</v>
          </cell>
          <cell r="I457" t="str">
            <v>0</v>
          </cell>
          <cell r="J457" t="str">
            <v>0</v>
          </cell>
          <cell r="K457" t="str">
            <v>0</v>
          </cell>
          <cell r="L457" t="str">
            <v>0000</v>
          </cell>
          <cell r="M457" t="str">
            <v>X</v>
          </cell>
          <cell r="N457" t="str">
            <v>10108457Turnaround Network</v>
          </cell>
          <cell r="O457" t="str">
            <v>Old Funding Source</v>
          </cell>
          <cell r="P457" t="str">
            <v>5010</v>
          </cell>
          <cell r="Q457" t="str">
            <v>70*C</v>
          </cell>
          <cell r="R457"/>
          <cell r="S457"/>
          <cell r="AS457">
            <v>0</v>
          </cell>
          <cell r="AT457">
            <v>0</v>
          </cell>
          <cell r="AU457">
            <v>2906</v>
          </cell>
          <cell r="AW457"/>
          <cell r="BW457">
            <v>0</v>
          </cell>
          <cell r="BX457">
            <v>0</v>
          </cell>
          <cell r="BY457">
            <v>2906</v>
          </cell>
        </row>
        <row r="458">
          <cell r="F458" t="str">
            <v>10</v>
          </cell>
          <cell r="G458" t="str">
            <v>1</v>
          </cell>
          <cell r="H458" t="str">
            <v>0</v>
          </cell>
          <cell r="I458" t="str">
            <v>0</v>
          </cell>
          <cell r="J458" t="str">
            <v>0</v>
          </cell>
          <cell r="K458" t="str">
            <v>0</v>
          </cell>
          <cell r="L458" t="str">
            <v>1000</v>
          </cell>
          <cell r="M458" t="str">
            <v>01</v>
          </cell>
          <cell r="N458" t="str">
            <v>10108457Turnaround Network</v>
          </cell>
          <cell r="O458" t="str">
            <v>S010A170006</v>
          </cell>
          <cell r="P458" t="str">
            <v>5010</v>
          </cell>
          <cell r="Q458" t="str">
            <v>70*C</v>
          </cell>
          <cell r="R458"/>
          <cell r="S458"/>
          <cell r="T458">
            <v>50000</v>
          </cell>
          <cell r="AS458">
            <v>0</v>
          </cell>
          <cell r="AT458">
            <v>0</v>
          </cell>
          <cell r="AU458">
            <v>50000</v>
          </cell>
          <cell r="AV458"/>
          <cell r="AW458"/>
          <cell r="BM458">
            <v>-11250</v>
          </cell>
          <cell r="BQ458">
            <v>-12040</v>
          </cell>
          <cell r="BU458">
            <v>-11250</v>
          </cell>
          <cell r="BW458">
            <v>-34540</v>
          </cell>
          <cell r="BX458">
            <v>0</v>
          </cell>
          <cell r="BY458">
            <v>15460</v>
          </cell>
          <cell r="BZ458"/>
          <cell r="CH458">
            <v>-15398</v>
          </cell>
        </row>
        <row r="459">
          <cell r="F459" t="str">
            <v>10</v>
          </cell>
          <cell r="G459" t="str">
            <v>0</v>
          </cell>
          <cell r="H459" t="str">
            <v>0</v>
          </cell>
          <cell r="I459" t="str">
            <v>0</v>
          </cell>
          <cell r="J459" t="str">
            <v>0</v>
          </cell>
          <cell r="K459" t="str">
            <v>0</v>
          </cell>
          <cell r="L459" t="str">
            <v>0000</v>
          </cell>
          <cell r="M459" t="str">
            <v>X</v>
          </cell>
          <cell r="N459" t="str">
            <v>10109404Turnaround Network</v>
          </cell>
          <cell r="O459" t="str">
            <v>Old Funding Source</v>
          </cell>
          <cell r="P459" t="str">
            <v>5010</v>
          </cell>
          <cell r="Q459" t="str">
            <v>70*C</v>
          </cell>
          <cell r="R459"/>
          <cell r="S459"/>
          <cell r="AS459">
            <v>0</v>
          </cell>
          <cell r="AT459">
            <v>0</v>
          </cell>
          <cell r="AU459">
            <v>1</v>
          </cell>
          <cell r="AW459"/>
          <cell r="BW459">
            <v>0</v>
          </cell>
          <cell r="BX459">
            <v>0</v>
          </cell>
          <cell r="BY459">
            <v>1</v>
          </cell>
        </row>
        <row r="460">
          <cell r="F460" t="str">
            <v>10</v>
          </cell>
          <cell r="G460" t="str">
            <v>1</v>
          </cell>
          <cell r="H460" t="str">
            <v>0</v>
          </cell>
          <cell r="I460" t="str">
            <v>0</v>
          </cell>
          <cell r="J460" t="str">
            <v>0</v>
          </cell>
          <cell r="K460" t="str">
            <v>0</v>
          </cell>
          <cell r="L460" t="str">
            <v>1000</v>
          </cell>
          <cell r="M460" t="str">
            <v>01</v>
          </cell>
          <cell r="N460" t="str">
            <v>10109445Turnaround Network</v>
          </cell>
          <cell r="O460" t="str">
            <v>S010A170006</v>
          </cell>
          <cell r="P460" t="str">
            <v>5010</v>
          </cell>
          <cell r="Q460" t="str">
            <v>70*C</v>
          </cell>
          <cell r="R460"/>
          <cell r="S460"/>
          <cell r="T460">
            <v>50000</v>
          </cell>
          <cell r="AS460">
            <v>0</v>
          </cell>
          <cell r="AT460">
            <v>0</v>
          </cell>
          <cell r="AU460">
            <v>50000</v>
          </cell>
          <cell r="AV460"/>
          <cell r="AW460"/>
          <cell r="BE460">
            <v>-6262</v>
          </cell>
          <cell r="BG460">
            <v>-1509</v>
          </cell>
          <cell r="BI460">
            <v>-522</v>
          </cell>
          <cell r="BK460">
            <v>-143</v>
          </cell>
          <cell r="BM460">
            <v>-11325</v>
          </cell>
          <cell r="BO460">
            <v>-1113</v>
          </cell>
          <cell r="BQ460">
            <v>-10146</v>
          </cell>
          <cell r="BS460">
            <v>-8250</v>
          </cell>
          <cell r="BU460">
            <v>-233</v>
          </cell>
          <cell r="BW460">
            <v>-39503</v>
          </cell>
          <cell r="BX460">
            <v>0</v>
          </cell>
          <cell r="BY460">
            <v>10497</v>
          </cell>
          <cell r="BZ460"/>
          <cell r="CH460">
            <v>-10442</v>
          </cell>
        </row>
        <row r="461">
          <cell r="F461" t="str">
            <v>10</v>
          </cell>
          <cell r="G461" t="str">
            <v>1</v>
          </cell>
          <cell r="H461" t="str">
            <v>0</v>
          </cell>
          <cell r="I461" t="str">
            <v>0</v>
          </cell>
          <cell r="J461" t="str">
            <v>0</v>
          </cell>
          <cell r="K461" t="str">
            <v>0</v>
          </cell>
          <cell r="L461" t="str">
            <v>1000</v>
          </cell>
          <cell r="M461" t="str">
            <v>01</v>
          </cell>
          <cell r="N461" t="str">
            <v>10109618Turnaround Network</v>
          </cell>
          <cell r="O461" t="str">
            <v>S010A170006</v>
          </cell>
          <cell r="P461" t="str">
            <v>5010</v>
          </cell>
          <cell r="Q461" t="str">
            <v>70*C</v>
          </cell>
          <cell r="R461"/>
          <cell r="S461"/>
          <cell r="T461">
            <v>70103</v>
          </cell>
          <cell r="AS461">
            <v>0</v>
          </cell>
          <cell r="AT461">
            <v>0</v>
          </cell>
          <cell r="AU461">
            <v>70103</v>
          </cell>
          <cell r="AV461"/>
          <cell r="AW461"/>
          <cell r="BA461">
            <v>-6730</v>
          </cell>
          <cell r="BE461">
            <v>-9391</v>
          </cell>
          <cell r="BG461">
            <v>-3782</v>
          </cell>
          <cell r="BK461">
            <v>-132</v>
          </cell>
          <cell r="BM461">
            <v>-8250</v>
          </cell>
          <cell r="BO461">
            <v>-1725</v>
          </cell>
          <cell r="BQ461">
            <v>-10104</v>
          </cell>
          <cell r="BU461">
            <v>-18601</v>
          </cell>
          <cell r="BW461">
            <v>-58715</v>
          </cell>
          <cell r="BX461">
            <v>0</v>
          </cell>
          <cell r="BY461">
            <v>11388</v>
          </cell>
          <cell r="BZ461" t="str">
            <v>S010A180006</v>
          </cell>
          <cell r="CB461">
            <v>61913</v>
          </cell>
          <cell r="CH461">
            <v>-9550</v>
          </cell>
          <cell r="CQ461">
            <v>-22028.52</v>
          </cell>
          <cell r="CS461">
            <v>-2033.88</v>
          </cell>
          <cell r="CU461">
            <v>-7245.75</v>
          </cell>
          <cell r="CW461">
            <v>-14654.35</v>
          </cell>
          <cell r="DA461">
            <v>-4695.75</v>
          </cell>
        </row>
        <row r="462">
          <cell r="F462" t="str">
            <v>10</v>
          </cell>
          <cell r="G462" t="str">
            <v>0</v>
          </cell>
          <cell r="H462" t="str">
            <v>0</v>
          </cell>
          <cell r="I462" t="str">
            <v>0</v>
          </cell>
          <cell r="J462" t="str">
            <v>0</v>
          </cell>
          <cell r="K462" t="str">
            <v>0</v>
          </cell>
          <cell r="L462" t="str">
            <v>0000</v>
          </cell>
          <cell r="M462" t="str">
            <v>X</v>
          </cell>
          <cell r="N462" t="str">
            <v>1010N/ATurnaround Network</v>
          </cell>
          <cell r="O462" t="str">
            <v>Old Funding Source</v>
          </cell>
          <cell r="P462" t="str">
            <v>5010</v>
          </cell>
          <cell r="Q462" t="str">
            <v>70*C</v>
          </cell>
          <cell r="R462"/>
          <cell r="S462"/>
          <cell r="AS462">
            <v>0</v>
          </cell>
          <cell r="AT462">
            <v>0</v>
          </cell>
          <cell r="AU462">
            <v>205</v>
          </cell>
          <cell r="AW462"/>
          <cell r="BW462">
            <v>0</v>
          </cell>
          <cell r="BX462">
            <v>0</v>
          </cell>
          <cell r="BY462">
            <v>205</v>
          </cell>
          <cell r="CU462">
            <v>-205</v>
          </cell>
        </row>
        <row r="463">
          <cell r="F463" t="str">
            <v>10</v>
          </cell>
          <cell r="G463" t="str">
            <v>1</v>
          </cell>
          <cell r="H463" t="str">
            <v>0</v>
          </cell>
          <cell r="I463" t="str">
            <v>0</v>
          </cell>
          <cell r="J463" t="str">
            <v>0</v>
          </cell>
          <cell r="K463" t="str">
            <v>0</v>
          </cell>
          <cell r="L463" t="str">
            <v>1000</v>
          </cell>
          <cell r="M463" t="str">
            <v>01</v>
          </cell>
          <cell r="N463" t="str">
            <v>1010N/ATurnaround Network</v>
          </cell>
          <cell r="O463" t="str">
            <v>S010A170006</v>
          </cell>
          <cell r="P463" t="str">
            <v>5010</v>
          </cell>
          <cell r="Q463" t="str">
            <v>70*C</v>
          </cell>
          <cell r="R463"/>
          <cell r="S463"/>
          <cell r="T463">
            <v>50000</v>
          </cell>
          <cell r="AS463">
            <v>0</v>
          </cell>
          <cell r="AT463">
            <v>0</v>
          </cell>
          <cell r="AU463">
            <v>50000</v>
          </cell>
          <cell r="AV463"/>
          <cell r="AW463"/>
          <cell r="BE463">
            <v>-770</v>
          </cell>
          <cell r="BG463">
            <v>-3087</v>
          </cell>
          <cell r="BK463">
            <v>-964</v>
          </cell>
          <cell r="BM463">
            <v>-8250</v>
          </cell>
          <cell r="BO463">
            <v>-2418</v>
          </cell>
          <cell r="BQ463">
            <v>-8915</v>
          </cell>
          <cell r="BS463">
            <v>-8250</v>
          </cell>
          <cell r="BU463">
            <v>-940</v>
          </cell>
          <cell r="BW463">
            <v>-33594</v>
          </cell>
          <cell r="BX463">
            <v>0</v>
          </cell>
          <cell r="BY463">
            <v>16406</v>
          </cell>
          <cell r="BZ463" t="str">
            <v>S010A180006</v>
          </cell>
          <cell r="CB463">
            <v>21344</v>
          </cell>
          <cell r="CH463">
            <v>-9963</v>
          </cell>
          <cell r="CQ463">
            <v>-13277</v>
          </cell>
          <cell r="CS463">
            <v>-350</v>
          </cell>
          <cell r="CU463">
            <v>-4216.03</v>
          </cell>
          <cell r="CW463">
            <v>-1195.78</v>
          </cell>
          <cell r="CY463">
            <v>-2754.25</v>
          </cell>
          <cell r="DA463">
            <v>-3758.5</v>
          </cell>
        </row>
        <row r="464">
          <cell r="F464" t="str">
            <v>10</v>
          </cell>
          <cell r="G464" t="str">
            <v>1</v>
          </cell>
          <cell r="H464" t="str">
            <v>0</v>
          </cell>
          <cell r="I464" t="str">
            <v>0</v>
          </cell>
          <cell r="J464" t="str">
            <v>0</v>
          </cell>
          <cell r="K464" t="str">
            <v>0</v>
          </cell>
          <cell r="L464" t="str">
            <v>1000</v>
          </cell>
          <cell r="M464" t="str">
            <v>01</v>
          </cell>
          <cell r="N464" t="str">
            <v>11808038Turnaround Network</v>
          </cell>
          <cell r="O464" t="str">
            <v>S010A170006</v>
          </cell>
          <cell r="P464" t="str">
            <v>5010</v>
          </cell>
          <cell r="Q464" t="str">
            <v>70*C</v>
          </cell>
          <cell r="R464"/>
          <cell r="S464"/>
          <cell r="T464">
            <v>70444</v>
          </cell>
          <cell r="AS464">
            <v>0</v>
          </cell>
          <cell r="AT464">
            <v>0</v>
          </cell>
          <cell r="AU464">
            <v>70444</v>
          </cell>
          <cell r="AV464"/>
          <cell r="AW464"/>
          <cell r="BG464">
            <v>-28755</v>
          </cell>
          <cell r="BU464">
            <v>-29673</v>
          </cell>
          <cell r="BW464">
            <v>-58428</v>
          </cell>
          <cell r="BX464">
            <v>0</v>
          </cell>
          <cell r="BY464">
            <v>12016</v>
          </cell>
          <cell r="BZ464" t="str">
            <v>S010A190006</v>
          </cell>
          <cell r="CB464">
            <v>60000</v>
          </cell>
        </row>
        <row r="465">
          <cell r="F465" t="str">
            <v>10</v>
          </cell>
          <cell r="G465" t="str">
            <v>1</v>
          </cell>
          <cell r="H465" t="str">
            <v>0</v>
          </cell>
          <cell r="I465" t="str">
            <v>0</v>
          </cell>
          <cell r="J465" t="str">
            <v>0</v>
          </cell>
          <cell r="K465" t="str">
            <v>0</v>
          </cell>
          <cell r="L465" t="str">
            <v>1000</v>
          </cell>
          <cell r="M465" t="str">
            <v>01</v>
          </cell>
          <cell r="N465" t="str">
            <v>14200109Turnaround Network</v>
          </cell>
          <cell r="O465" t="str">
            <v>S010A170006</v>
          </cell>
          <cell r="P465" t="str">
            <v>5010</v>
          </cell>
          <cell r="Q465" t="str">
            <v>70*C</v>
          </cell>
          <cell r="R465">
            <v>43229</v>
          </cell>
          <cell r="S465">
            <v>43229</v>
          </cell>
          <cell r="T465">
            <v>79215</v>
          </cell>
          <cell r="AS465">
            <v>0</v>
          </cell>
          <cell r="AT465">
            <v>0</v>
          </cell>
          <cell r="AU465">
            <v>79215</v>
          </cell>
          <cell r="AV465"/>
          <cell r="AW465"/>
          <cell r="BE465">
            <v>-35288</v>
          </cell>
          <cell r="BG465">
            <v>-3342</v>
          </cell>
          <cell r="BI465">
            <v>-7667</v>
          </cell>
          <cell r="BK465">
            <v>-3490</v>
          </cell>
          <cell r="BM465">
            <v>-5079</v>
          </cell>
          <cell r="BO465">
            <v>-3582</v>
          </cell>
          <cell r="BQ465">
            <v>-3941</v>
          </cell>
          <cell r="BS465">
            <v>-3411</v>
          </cell>
          <cell r="BU465">
            <v>-3410</v>
          </cell>
          <cell r="BW465">
            <v>-69210</v>
          </cell>
          <cell r="BX465">
            <v>0</v>
          </cell>
          <cell r="BY465">
            <v>10005</v>
          </cell>
          <cell r="BZ465" t="str">
            <v>S010A190006</v>
          </cell>
          <cell r="CB465">
            <v>75000</v>
          </cell>
          <cell r="CE465">
            <v>-3409</v>
          </cell>
          <cell r="CI465">
            <v>-6596</v>
          </cell>
          <cell r="CO465">
            <v>-32319.96</v>
          </cell>
          <cell r="CU465">
            <v>-1750.58</v>
          </cell>
          <cell r="CW465">
            <v>-2950.85</v>
          </cell>
        </row>
        <row r="466">
          <cell r="F466" t="str">
            <v>10</v>
          </cell>
          <cell r="G466" t="str">
            <v>1</v>
          </cell>
          <cell r="H466" t="str">
            <v>0</v>
          </cell>
          <cell r="I466" t="str">
            <v>0</v>
          </cell>
          <cell r="J466" t="str">
            <v>0</v>
          </cell>
          <cell r="K466" t="str">
            <v>0</v>
          </cell>
          <cell r="L466" t="str">
            <v>1000</v>
          </cell>
          <cell r="M466" t="str">
            <v>01</v>
          </cell>
          <cell r="N466" t="str">
            <v>14204422Turnaround Network</v>
          </cell>
          <cell r="O466" t="str">
            <v>S010A170006</v>
          </cell>
          <cell r="P466" t="str">
            <v>5010</v>
          </cell>
          <cell r="Q466" t="str">
            <v>70*C</v>
          </cell>
          <cell r="R466">
            <v>43229</v>
          </cell>
          <cell r="S466">
            <v>43229</v>
          </cell>
          <cell r="T466">
            <v>50350</v>
          </cell>
          <cell r="AS466">
            <v>0</v>
          </cell>
          <cell r="AT466">
            <v>0</v>
          </cell>
          <cell r="AU466">
            <v>50350</v>
          </cell>
          <cell r="AV466"/>
          <cell r="AW466"/>
          <cell r="BE466">
            <v>-3797</v>
          </cell>
          <cell r="BG466">
            <v>-3797</v>
          </cell>
          <cell r="BI466">
            <v>-3766</v>
          </cell>
          <cell r="BK466">
            <v>-3757</v>
          </cell>
          <cell r="BM466">
            <v>-3769</v>
          </cell>
          <cell r="BO466">
            <v>-3765</v>
          </cell>
          <cell r="BQ466">
            <v>-3760</v>
          </cell>
          <cell r="BS466">
            <v>-3768</v>
          </cell>
          <cell r="BU466">
            <v>-3760</v>
          </cell>
          <cell r="BW466">
            <v>-33939</v>
          </cell>
          <cell r="BX466">
            <v>0</v>
          </cell>
          <cell r="BY466">
            <v>16411</v>
          </cell>
          <cell r="BZ466"/>
          <cell r="CI466">
            <v>-4239.6000000000004</v>
          </cell>
          <cell r="CK466">
            <v>-12171.4</v>
          </cell>
        </row>
        <row r="467">
          <cell r="F467" t="str">
            <v>10</v>
          </cell>
          <cell r="G467" t="str">
            <v>1</v>
          </cell>
          <cell r="H467" t="str">
            <v>0</v>
          </cell>
          <cell r="I467" t="str">
            <v>0</v>
          </cell>
          <cell r="J467" t="str">
            <v>0</v>
          </cell>
          <cell r="K467" t="str">
            <v>0</v>
          </cell>
          <cell r="L467" t="str">
            <v>1000</v>
          </cell>
          <cell r="M467" t="str">
            <v>01</v>
          </cell>
          <cell r="N467" t="str">
            <v>14205354Turnaround Network</v>
          </cell>
          <cell r="O467" t="str">
            <v>S010A170006</v>
          </cell>
          <cell r="P467" t="str">
            <v>5010</v>
          </cell>
          <cell r="Q467" t="str">
            <v>70*C</v>
          </cell>
          <cell r="R467"/>
          <cell r="S467"/>
          <cell r="T467">
            <v>101511</v>
          </cell>
          <cell r="AS467">
            <v>0</v>
          </cell>
          <cell r="AT467">
            <v>0</v>
          </cell>
          <cell r="AU467">
            <v>101511</v>
          </cell>
          <cell r="AV467"/>
          <cell r="AW467"/>
          <cell r="BE467">
            <v>-2955</v>
          </cell>
          <cell r="BG467">
            <v>-8141</v>
          </cell>
          <cell r="BI467">
            <v>-13550</v>
          </cell>
          <cell r="BK467">
            <v>-6620</v>
          </cell>
          <cell r="BM467">
            <v>-1671</v>
          </cell>
          <cell r="BO467">
            <v>-5145</v>
          </cell>
          <cell r="BQ467">
            <v>-2158</v>
          </cell>
          <cell r="BS467">
            <v>-1404</v>
          </cell>
          <cell r="BU467">
            <v>-7084</v>
          </cell>
          <cell r="BW467">
            <v>-48728</v>
          </cell>
          <cell r="BX467">
            <v>0</v>
          </cell>
          <cell r="BY467">
            <v>52783</v>
          </cell>
          <cell r="BZ467" t="str">
            <v>S010A190006</v>
          </cell>
          <cell r="CA467">
            <v>30000</v>
          </cell>
          <cell r="CE467">
            <v>-5783</v>
          </cell>
          <cell r="CI467">
            <v>-23763.9</v>
          </cell>
          <cell r="CK467">
            <v>-23236.1</v>
          </cell>
          <cell r="CO467">
            <v>-1974.15</v>
          </cell>
          <cell r="CQ467">
            <v>-9801.6</v>
          </cell>
          <cell r="CS467">
            <v>-1358.47</v>
          </cell>
          <cell r="CU467">
            <v>-4475.59</v>
          </cell>
          <cell r="CW467">
            <v>-2366.3000000000002</v>
          </cell>
          <cell r="CY467">
            <v>-5369.14</v>
          </cell>
          <cell r="DA467">
            <v>-4643.46</v>
          </cell>
        </row>
        <row r="468">
          <cell r="F468" t="str">
            <v>10</v>
          </cell>
          <cell r="G468" t="str">
            <v>0</v>
          </cell>
          <cell r="H468" t="str">
            <v>0</v>
          </cell>
          <cell r="I468" t="str">
            <v>0</v>
          </cell>
          <cell r="J468" t="str">
            <v>0</v>
          </cell>
          <cell r="K468" t="str">
            <v>0</v>
          </cell>
          <cell r="L468" t="str">
            <v>0000</v>
          </cell>
          <cell r="M468" t="str">
            <v>X</v>
          </cell>
          <cell r="N468" t="str">
            <v>14205972Turnaround Network</v>
          </cell>
          <cell r="O468" t="str">
            <v>Old Funding Source</v>
          </cell>
          <cell r="P468" t="str">
            <v>5010</v>
          </cell>
          <cell r="Q468" t="str">
            <v>70*C</v>
          </cell>
          <cell r="R468">
            <v>43229</v>
          </cell>
          <cell r="S468">
            <v>43229</v>
          </cell>
          <cell r="AS468">
            <v>0</v>
          </cell>
          <cell r="AT468">
            <v>0</v>
          </cell>
          <cell r="AU468">
            <v>7854</v>
          </cell>
          <cell r="AW468"/>
          <cell r="BW468">
            <v>0</v>
          </cell>
          <cell r="BX468">
            <v>0</v>
          </cell>
          <cell r="BY468">
            <v>7854</v>
          </cell>
          <cell r="CK468">
            <v>-7854</v>
          </cell>
        </row>
        <row r="469">
          <cell r="F469" t="str">
            <v>10</v>
          </cell>
          <cell r="G469" t="str">
            <v>1</v>
          </cell>
          <cell r="H469" t="str">
            <v>0</v>
          </cell>
          <cell r="I469" t="str">
            <v>0</v>
          </cell>
          <cell r="J469" t="str">
            <v>0</v>
          </cell>
          <cell r="K469" t="str">
            <v>0</v>
          </cell>
          <cell r="L469" t="str">
            <v>1000</v>
          </cell>
          <cell r="M469" t="str">
            <v>01</v>
          </cell>
          <cell r="N469" t="str">
            <v>14205972Turnaround Network</v>
          </cell>
          <cell r="O469" t="str">
            <v>S010A170006</v>
          </cell>
          <cell r="P469" t="str">
            <v>5010</v>
          </cell>
          <cell r="Q469" t="str">
            <v>70*C</v>
          </cell>
          <cell r="R469">
            <v>43229</v>
          </cell>
          <cell r="S469">
            <v>43229</v>
          </cell>
          <cell r="T469">
            <v>101501</v>
          </cell>
          <cell r="AS469">
            <v>0</v>
          </cell>
          <cell r="AT469">
            <v>0</v>
          </cell>
          <cell r="AU469">
            <v>101501</v>
          </cell>
          <cell r="AV469"/>
          <cell r="AW469"/>
          <cell r="BE469">
            <v>-14637</v>
          </cell>
          <cell r="BI469">
            <v>-16000</v>
          </cell>
          <cell r="BK469">
            <v>-899</v>
          </cell>
          <cell r="BS469">
            <v>-295</v>
          </cell>
          <cell r="BU469">
            <v>-887</v>
          </cell>
          <cell r="BW469">
            <v>-32718</v>
          </cell>
          <cell r="BX469">
            <v>0</v>
          </cell>
          <cell r="BY469">
            <v>68783</v>
          </cell>
          <cell r="BZ469" t="str">
            <v>S010A190006</v>
          </cell>
          <cell r="CA469">
            <v>30000</v>
          </cell>
          <cell r="CI469">
            <v>-2392.62</v>
          </cell>
          <cell r="CK469">
            <v>-46183.5</v>
          </cell>
          <cell r="CO469">
            <v>-573.88</v>
          </cell>
          <cell r="CQ469">
            <v>-8990.4599999999991</v>
          </cell>
          <cell r="CS469">
            <v>-531.04999999999995</v>
          </cell>
        </row>
        <row r="470">
          <cell r="F470" t="str">
            <v>10</v>
          </cell>
          <cell r="G470" t="str">
            <v>0</v>
          </cell>
          <cell r="H470" t="str">
            <v>0</v>
          </cell>
          <cell r="I470" t="str">
            <v>0</v>
          </cell>
          <cell r="J470" t="str">
            <v>0</v>
          </cell>
          <cell r="K470" t="str">
            <v>0</v>
          </cell>
          <cell r="L470" t="str">
            <v>0000</v>
          </cell>
          <cell r="M470" t="str">
            <v>X</v>
          </cell>
          <cell r="N470" t="str">
            <v>14206090Turnaround Network</v>
          </cell>
          <cell r="P470" t="str">
            <v>5010</v>
          </cell>
          <cell r="Q470" t="str">
            <v>70*C</v>
          </cell>
          <cell r="R470">
            <v>43168</v>
          </cell>
          <cell r="S470">
            <v>43168</v>
          </cell>
          <cell r="AS470">
            <v>0</v>
          </cell>
          <cell r="AT470">
            <v>0</v>
          </cell>
          <cell r="AU470">
            <v>0</v>
          </cell>
          <cell r="AW470"/>
          <cell r="BW470">
            <v>0</v>
          </cell>
          <cell r="BX470">
            <v>0</v>
          </cell>
          <cell r="BY470">
            <v>0</v>
          </cell>
          <cell r="BZ470" t="str">
            <v>S010A190006</v>
          </cell>
          <cell r="CB470">
            <v>30000</v>
          </cell>
        </row>
        <row r="471">
          <cell r="F471" t="str">
            <v>10</v>
          </cell>
          <cell r="G471" t="str">
            <v>1</v>
          </cell>
          <cell r="H471" t="str">
            <v>0</v>
          </cell>
          <cell r="I471" t="str">
            <v>0</v>
          </cell>
          <cell r="J471" t="str">
            <v>0</v>
          </cell>
          <cell r="K471" t="str">
            <v>0</v>
          </cell>
          <cell r="L471" t="str">
            <v>1000</v>
          </cell>
          <cell r="M471" t="str">
            <v>01</v>
          </cell>
          <cell r="N471" t="str">
            <v>14208834Turnaround Network</v>
          </cell>
          <cell r="O471" t="str">
            <v>S010A170006</v>
          </cell>
          <cell r="P471" t="str">
            <v>5010</v>
          </cell>
          <cell r="Q471" t="str">
            <v>70*C</v>
          </cell>
          <cell r="R471"/>
          <cell r="S471"/>
          <cell r="T471">
            <v>51810</v>
          </cell>
          <cell r="AS471">
            <v>0</v>
          </cell>
          <cell r="AT471">
            <v>0</v>
          </cell>
          <cell r="AU471">
            <v>51810</v>
          </cell>
          <cell r="AV471"/>
          <cell r="AW471"/>
          <cell r="BE471">
            <v>-23108</v>
          </cell>
          <cell r="BG471">
            <v>-4974</v>
          </cell>
          <cell r="BI471">
            <v>-2135</v>
          </cell>
          <cell r="BK471">
            <v>-2904</v>
          </cell>
          <cell r="BM471">
            <v>-10465</v>
          </cell>
          <cell r="BO471">
            <v>-3680</v>
          </cell>
          <cell r="BQ471">
            <v>-1208</v>
          </cell>
          <cell r="BS471">
            <v>-2096</v>
          </cell>
          <cell r="BW471">
            <v>-50570</v>
          </cell>
          <cell r="BX471">
            <v>0</v>
          </cell>
          <cell r="BY471">
            <v>1240</v>
          </cell>
          <cell r="BZ471" t="str">
            <v>S010A190006</v>
          </cell>
          <cell r="CA471">
            <v>75000</v>
          </cell>
          <cell r="CH471">
            <v>-1240</v>
          </cell>
          <cell r="CO471">
            <v>-5331.7</v>
          </cell>
          <cell r="CQ471">
            <v>-27876.29</v>
          </cell>
          <cell r="CS471">
            <v>-2938.27</v>
          </cell>
          <cell r="CU471">
            <v>-14368.93</v>
          </cell>
          <cell r="CW471">
            <v>-9242.48</v>
          </cell>
          <cell r="CY471">
            <v>-2503.71</v>
          </cell>
          <cell r="DA471">
            <v>-2955.21</v>
          </cell>
        </row>
        <row r="472">
          <cell r="F472" t="str">
            <v>10</v>
          </cell>
          <cell r="G472" t="str">
            <v>1</v>
          </cell>
          <cell r="H472" t="str">
            <v>0</v>
          </cell>
          <cell r="I472" t="str">
            <v>0</v>
          </cell>
          <cell r="J472" t="str">
            <v>0</v>
          </cell>
          <cell r="K472" t="str">
            <v>0</v>
          </cell>
          <cell r="L472" t="str">
            <v>1000</v>
          </cell>
          <cell r="M472" t="str">
            <v>01</v>
          </cell>
          <cell r="N472" t="str">
            <v>14209154Turnaround Network</v>
          </cell>
          <cell r="O472" t="str">
            <v>S010A170006</v>
          </cell>
          <cell r="P472" t="str">
            <v>5010</v>
          </cell>
          <cell r="Q472" t="str">
            <v>70*C</v>
          </cell>
          <cell r="R472">
            <v>43229</v>
          </cell>
          <cell r="S472">
            <v>43229</v>
          </cell>
          <cell r="T472">
            <v>52810</v>
          </cell>
          <cell r="AS472">
            <v>0</v>
          </cell>
          <cell r="AT472">
            <v>0</v>
          </cell>
          <cell r="AU472">
            <v>52810</v>
          </cell>
          <cell r="AV472"/>
          <cell r="AW472"/>
          <cell r="BE472">
            <v>-11155</v>
          </cell>
          <cell r="BG472">
            <v>-1011</v>
          </cell>
          <cell r="BI472">
            <v>-2221</v>
          </cell>
          <cell r="BK472">
            <v>-146</v>
          </cell>
          <cell r="BO472">
            <v>-231</v>
          </cell>
          <cell r="BQ472">
            <v>-524</v>
          </cell>
          <cell r="BS472">
            <v>-3913</v>
          </cell>
          <cell r="BW472">
            <v>-19201</v>
          </cell>
          <cell r="BX472">
            <v>0</v>
          </cell>
          <cell r="BY472">
            <v>33609</v>
          </cell>
          <cell r="BZ472"/>
          <cell r="CE472">
            <v>-5170</v>
          </cell>
          <cell r="CH472">
            <v>-15976</v>
          </cell>
          <cell r="CI472">
            <v>-12463</v>
          </cell>
        </row>
        <row r="473">
          <cell r="F473" t="str">
            <v>10</v>
          </cell>
          <cell r="G473" t="str">
            <v>1</v>
          </cell>
          <cell r="H473" t="str">
            <v>0</v>
          </cell>
          <cell r="I473" t="str">
            <v>0</v>
          </cell>
          <cell r="J473" t="str">
            <v>0</v>
          </cell>
          <cell r="K473" t="str">
            <v>0</v>
          </cell>
          <cell r="L473" t="str">
            <v>1000</v>
          </cell>
          <cell r="M473" t="str">
            <v>01</v>
          </cell>
          <cell r="N473" t="str">
            <v>1420N/ATurnaround Network</v>
          </cell>
          <cell r="O473" t="str">
            <v>S010A170006</v>
          </cell>
          <cell r="P473" t="str">
            <v>5010</v>
          </cell>
          <cell r="Q473" t="str">
            <v>70*C</v>
          </cell>
          <cell r="R473">
            <v>43229</v>
          </cell>
          <cell r="S473">
            <v>43229</v>
          </cell>
          <cell r="T473">
            <v>50438</v>
          </cell>
          <cell r="AS473">
            <v>0</v>
          </cell>
          <cell r="AT473">
            <v>0</v>
          </cell>
          <cell r="AU473">
            <v>50438</v>
          </cell>
          <cell r="AV473"/>
          <cell r="AW473"/>
          <cell r="BE473">
            <v>-39630</v>
          </cell>
          <cell r="BG473">
            <v>-1098</v>
          </cell>
          <cell r="BI473">
            <v>-811</v>
          </cell>
          <cell r="BK473">
            <v>-1080</v>
          </cell>
          <cell r="BM473">
            <v>-1295</v>
          </cell>
          <cell r="BO473">
            <v>-789</v>
          </cell>
          <cell r="BU473">
            <v>-5735</v>
          </cell>
          <cell r="BW473">
            <v>-50438</v>
          </cell>
          <cell r="BX473">
            <v>0</v>
          </cell>
          <cell r="BY473">
            <v>0</v>
          </cell>
          <cell r="BZ473" t="str">
            <v>S010A190006</v>
          </cell>
          <cell r="CA473">
            <v>70000</v>
          </cell>
        </row>
        <row r="474">
          <cell r="F474" t="str">
            <v>10</v>
          </cell>
          <cell r="G474" t="str">
            <v>0</v>
          </cell>
          <cell r="H474" t="str">
            <v>1</v>
          </cell>
          <cell r="I474" t="str">
            <v>0</v>
          </cell>
          <cell r="J474" t="str">
            <v>0</v>
          </cell>
          <cell r="K474" t="str">
            <v>0</v>
          </cell>
          <cell r="L474" t="str">
            <v>0100</v>
          </cell>
          <cell r="M474" t="str">
            <v>02</v>
          </cell>
          <cell r="N474" t="str">
            <v>15600510Turnaround Network</v>
          </cell>
          <cell r="P474" t="str">
            <v>5010</v>
          </cell>
          <cell r="Q474" t="str">
            <v>70*C</v>
          </cell>
          <cell r="R474"/>
          <cell r="S474"/>
          <cell r="AS474">
            <v>0</v>
          </cell>
          <cell r="AT474">
            <v>0</v>
          </cell>
          <cell r="AU474">
            <v>0</v>
          </cell>
          <cell r="AV474" t="str">
            <v>S010A180006</v>
          </cell>
          <cell r="AW474"/>
          <cell r="AX474">
            <v>30000</v>
          </cell>
          <cell r="BW474">
            <v>0</v>
          </cell>
          <cell r="BX474">
            <v>0</v>
          </cell>
          <cell r="BY474">
            <v>30000</v>
          </cell>
          <cell r="BZ474"/>
          <cell r="CE474">
            <v>-5789.06</v>
          </cell>
          <cell r="CH474">
            <v>-4617.3999999999996</v>
          </cell>
          <cell r="CI474">
            <v>-2800</v>
          </cell>
          <cell r="CO474">
            <v>-8812.8900000000012</v>
          </cell>
          <cell r="CW474">
            <v>-1799.12</v>
          </cell>
          <cell r="CY474">
            <v>-5271.92</v>
          </cell>
        </row>
        <row r="475">
          <cell r="F475" t="str">
            <v>10</v>
          </cell>
          <cell r="G475" t="str">
            <v>0</v>
          </cell>
          <cell r="H475" t="str">
            <v>0</v>
          </cell>
          <cell r="I475" t="str">
            <v>0</v>
          </cell>
          <cell r="J475" t="str">
            <v>0</v>
          </cell>
          <cell r="K475" t="str">
            <v>0</v>
          </cell>
          <cell r="L475" t="str">
            <v>0000</v>
          </cell>
          <cell r="M475" t="str">
            <v>X</v>
          </cell>
          <cell r="N475" t="str">
            <v>15605170Turnaround Network</v>
          </cell>
          <cell r="O475" t="str">
            <v>Old Funding Source</v>
          </cell>
          <cell r="P475" t="str">
            <v>5010</v>
          </cell>
          <cell r="Q475" t="str">
            <v>70*C</v>
          </cell>
          <cell r="R475"/>
          <cell r="S475"/>
          <cell r="AS475">
            <v>0</v>
          </cell>
          <cell r="AT475">
            <v>0</v>
          </cell>
          <cell r="AU475">
            <v>7943</v>
          </cell>
          <cell r="AW475"/>
          <cell r="BW475">
            <v>0</v>
          </cell>
          <cell r="BX475">
            <v>0</v>
          </cell>
          <cell r="BY475">
            <v>7943</v>
          </cell>
          <cell r="CO475">
            <v>-1017.7</v>
          </cell>
          <cell r="CQ475">
            <v>-729.96</v>
          </cell>
          <cell r="CS475">
            <v>-1128.75</v>
          </cell>
          <cell r="CU475">
            <v>-1414.21</v>
          </cell>
          <cell r="CW475">
            <v>-1834.14</v>
          </cell>
          <cell r="CY475">
            <v>-220</v>
          </cell>
        </row>
        <row r="476">
          <cell r="F476" t="str">
            <v>10</v>
          </cell>
          <cell r="G476" t="str">
            <v>1</v>
          </cell>
          <cell r="H476" t="str">
            <v>1</v>
          </cell>
          <cell r="I476" t="str">
            <v>0</v>
          </cell>
          <cell r="J476" t="str">
            <v>0</v>
          </cell>
          <cell r="K476" t="str">
            <v>0</v>
          </cell>
          <cell r="L476" t="str">
            <v>1100</v>
          </cell>
          <cell r="M476" t="str">
            <v>X</v>
          </cell>
          <cell r="N476" t="str">
            <v>15605170Turnaround Network</v>
          </cell>
          <cell r="O476" t="str">
            <v>S010A170006</v>
          </cell>
          <cell r="P476" t="str">
            <v>5010</v>
          </cell>
          <cell r="Q476" t="str">
            <v>70*C</v>
          </cell>
          <cell r="R476"/>
          <cell r="S476"/>
          <cell r="T476">
            <v>100260</v>
          </cell>
          <cell r="AS476">
            <v>0</v>
          </cell>
          <cell r="AT476">
            <v>0</v>
          </cell>
          <cell r="AU476">
            <v>100260</v>
          </cell>
          <cell r="AV476" t="str">
            <v>S010A180006</v>
          </cell>
          <cell r="AW476"/>
          <cell r="AX476">
            <v>29924</v>
          </cell>
          <cell r="BG476">
            <v>-54417</v>
          </cell>
          <cell r="BI476">
            <v>-2375</v>
          </cell>
          <cell r="BK476">
            <v>-2815</v>
          </cell>
          <cell r="BM476">
            <v>-231</v>
          </cell>
          <cell r="BO476">
            <v>-6385</v>
          </cell>
          <cell r="BQ476">
            <v>-2064</v>
          </cell>
          <cell r="BS476">
            <v>-2838</v>
          </cell>
          <cell r="BW476">
            <v>-71125</v>
          </cell>
          <cell r="BX476">
            <v>0</v>
          </cell>
          <cell r="BY476">
            <v>59059</v>
          </cell>
          <cell r="BZ476"/>
          <cell r="CH476">
            <v>-3635.09</v>
          </cell>
          <cell r="CI476">
            <v>-5900.04</v>
          </cell>
          <cell r="CO476">
            <v>-14194.13</v>
          </cell>
        </row>
        <row r="477">
          <cell r="F477" t="str">
            <v>10</v>
          </cell>
          <cell r="G477" t="str">
            <v>0</v>
          </cell>
          <cell r="H477" t="str">
            <v>1</v>
          </cell>
          <cell r="I477" t="str">
            <v>0</v>
          </cell>
          <cell r="J477" t="str">
            <v>0</v>
          </cell>
          <cell r="K477" t="str">
            <v>0</v>
          </cell>
          <cell r="L477" t="str">
            <v>0100</v>
          </cell>
          <cell r="M477" t="str">
            <v>02</v>
          </cell>
          <cell r="N477" t="str">
            <v>15606194Turnaround Network</v>
          </cell>
          <cell r="P477" t="str">
            <v>5010</v>
          </cell>
          <cell r="Q477" t="str">
            <v>70*C</v>
          </cell>
          <cell r="R477"/>
          <cell r="S477"/>
          <cell r="AS477">
            <v>0</v>
          </cell>
          <cell r="AT477">
            <v>0</v>
          </cell>
          <cell r="AU477">
            <v>0</v>
          </cell>
          <cell r="AV477" t="str">
            <v>S010A180006</v>
          </cell>
          <cell r="AW477"/>
          <cell r="AX477">
            <v>30000</v>
          </cell>
          <cell r="BW477">
            <v>0</v>
          </cell>
          <cell r="BX477">
            <v>0</v>
          </cell>
          <cell r="BY477">
            <v>30000</v>
          </cell>
          <cell r="BZ477"/>
          <cell r="CO477">
            <v>-5261.91</v>
          </cell>
          <cell r="CQ477">
            <v>-1158.43</v>
          </cell>
          <cell r="CS477">
            <v>-140.66</v>
          </cell>
          <cell r="CU477">
            <v>-855.2</v>
          </cell>
          <cell r="CW477">
            <v>-320</v>
          </cell>
          <cell r="CY477">
            <v>-512.64</v>
          </cell>
          <cell r="DA477">
            <v>-1491.46</v>
          </cell>
        </row>
        <row r="478">
          <cell r="F478" t="str">
            <v>10</v>
          </cell>
          <cell r="G478" t="str">
            <v>0</v>
          </cell>
          <cell r="H478" t="str">
            <v>0</v>
          </cell>
          <cell r="I478" t="str">
            <v>0</v>
          </cell>
          <cell r="J478" t="str">
            <v>0</v>
          </cell>
          <cell r="K478" t="str">
            <v>0</v>
          </cell>
          <cell r="L478" t="str">
            <v>0000</v>
          </cell>
          <cell r="M478" t="str">
            <v>X</v>
          </cell>
          <cell r="N478" t="str">
            <v>15608918Turnaround Network</v>
          </cell>
          <cell r="O478" t="str">
            <v>Old Funding Source</v>
          </cell>
          <cell r="P478" t="str">
            <v>5010</v>
          </cell>
          <cell r="Q478" t="str">
            <v>70*C</v>
          </cell>
          <cell r="R478"/>
          <cell r="S478"/>
          <cell r="AS478">
            <v>0</v>
          </cell>
          <cell r="AT478">
            <v>0</v>
          </cell>
          <cell r="AU478">
            <v>11883</v>
          </cell>
          <cell r="AW478"/>
          <cell r="BW478">
            <v>0</v>
          </cell>
          <cell r="BX478">
            <v>0</v>
          </cell>
          <cell r="BY478">
            <v>11883</v>
          </cell>
          <cell r="CO478">
            <v>-54.83</v>
          </cell>
          <cell r="CQ478">
            <v>-151.83000000000001</v>
          </cell>
          <cell r="CS478">
            <v>-7732.03</v>
          </cell>
          <cell r="CU478">
            <v>-700</v>
          </cell>
          <cell r="CY478">
            <v>-252.84</v>
          </cell>
          <cell r="DA478">
            <v>-56</v>
          </cell>
        </row>
        <row r="479">
          <cell r="F479" t="str">
            <v>10</v>
          </cell>
          <cell r="G479" t="str">
            <v>1</v>
          </cell>
          <cell r="H479" t="str">
            <v>1</v>
          </cell>
          <cell r="I479" t="str">
            <v>0</v>
          </cell>
          <cell r="J479" t="str">
            <v>0</v>
          </cell>
          <cell r="K479" t="str">
            <v>0</v>
          </cell>
          <cell r="L479" t="str">
            <v>1100</v>
          </cell>
          <cell r="M479" t="str">
            <v>X</v>
          </cell>
          <cell r="N479" t="str">
            <v>15608918Turnaround Network</v>
          </cell>
          <cell r="O479" t="str">
            <v>S010A170006</v>
          </cell>
          <cell r="P479" t="str">
            <v>5010</v>
          </cell>
          <cell r="Q479" t="str">
            <v>70*C</v>
          </cell>
          <cell r="R479"/>
          <cell r="S479"/>
          <cell r="T479">
            <v>100270</v>
          </cell>
          <cell r="AS479">
            <v>0</v>
          </cell>
          <cell r="AT479">
            <v>0</v>
          </cell>
          <cell r="AU479">
            <v>100270</v>
          </cell>
          <cell r="AV479" t="str">
            <v>S010A180006</v>
          </cell>
          <cell r="AW479"/>
          <cell r="AX479">
            <v>30000</v>
          </cell>
          <cell r="BG479">
            <v>-14192</v>
          </cell>
          <cell r="BI479">
            <v>-5294</v>
          </cell>
          <cell r="BK479">
            <v>-415</v>
          </cell>
          <cell r="BM479">
            <v>-14677</v>
          </cell>
          <cell r="BO479">
            <v>-3998</v>
          </cell>
          <cell r="BQ479">
            <v>-2980</v>
          </cell>
          <cell r="BS479">
            <v>-3431</v>
          </cell>
          <cell r="BW479">
            <v>-44987</v>
          </cell>
          <cell r="BX479">
            <v>0</v>
          </cell>
          <cell r="BY479">
            <v>85283</v>
          </cell>
          <cell r="BZ479"/>
          <cell r="CE479">
            <v>-2295.06</v>
          </cell>
          <cell r="CH479">
            <v>-759.2</v>
          </cell>
          <cell r="CI479">
            <v>-626</v>
          </cell>
          <cell r="CO479">
            <v>-11826.69</v>
          </cell>
        </row>
        <row r="480">
          <cell r="F480" t="str">
            <v>10</v>
          </cell>
          <cell r="G480" t="str">
            <v>0</v>
          </cell>
          <cell r="H480" t="str">
            <v>1</v>
          </cell>
          <cell r="I480" t="str">
            <v>0</v>
          </cell>
          <cell r="J480" t="str">
            <v>0</v>
          </cell>
          <cell r="K480" t="str">
            <v>0</v>
          </cell>
          <cell r="L480" t="str">
            <v>0100</v>
          </cell>
          <cell r="M480" t="str">
            <v>02</v>
          </cell>
          <cell r="N480" t="str">
            <v>15609228Turnaround Network</v>
          </cell>
          <cell r="P480" t="str">
            <v>5010</v>
          </cell>
          <cell r="Q480" t="str">
            <v>70*C</v>
          </cell>
          <cell r="R480"/>
          <cell r="S480"/>
          <cell r="AS480">
            <v>0</v>
          </cell>
          <cell r="AT480">
            <v>0</v>
          </cell>
          <cell r="AU480">
            <v>0</v>
          </cell>
          <cell r="AV480" t="str">
            <v>S010A180006</v>
          </cell>
          <cell r="AW480"/>
          <cell r="AX480">
            <v>30000</v>
          </cell>
          <cell r="BW480">
            <v>0</v>
          </cell>
          <cell r="BX480">
            <v>0</v>
          </cell>
          <cell r="BY480">
            <v>30000</v>
          </cell>
          <cell r="BZ480"/>
          <cell r="CH480">
            <v>-4865.1400000000003</v>
          </cell>
          <cell r="CI480">
            <v>-3470</v>
          </cell>
          <cell r="CO480">
            <v>-10851.22</v>
          </cell>
          <cell r="CS480">
            <v>-1327.36</v>
          </cell>
          <cell r="CU480">
            <v>-1486.43</v>
          </cell>
          <cell r="CW480">
            <v>-7410</v>
          </cell>
          <cell r="CY480">
            <v>-589.85</v>
          </cell>
        </row>
        <row r="481">
          <cell r="F481" t="str">
            <v>10</v>
          </cell>
          <cell r="G481" t="str">
            <v>0</v>
          </cell>
          <cell r="H481" t="str">
            <v>0</v>
          </cell>
          <cell r="I481" t="str">
            <v>0</v>
          </cell>
          <cell r="J481" t="str">
            <v>0</v>
          </cell>
          <cell r="K481" t="str">
            <v>0</v>
          </cell>
          <cell r="L481" t="str">
            <v>0000</v>
          </cell>
          <cell r="M481" t="str">
            <v>X</v>
          </cell>
          <cell r="N481" t="str">
            <v>15609674Turnaround Network</v>
          </cell>
          <cell r="O481" t="str">
            <v>Old Funding Source</v>
          </cell>
          <cell r="P481" t="str">
            <v>5010</v>
          </cell>
          <cell r="Q481" t="str">
            <v>70*C</v>
          </cell>
          <cell r="R481"/>
          <cell r="S481"/>
          <cell r="AS481">
            <v>0</v>
          </cell>
          <cell r="AT481">
            <v>0</v>
          </cell>
          <cell r="AU481">
            <v>6463</v>
          </cell>
          <cell r="AW481"/>
          <cell r="BW481">
            <v>0</v>
          </cell>
          <cell r="BX481">
            <v>0</v>
          </cell>
          <cell r="BY481">
            <v>6463</v>
          </cell>
        </row>
        <row r="482">
          <cell r="F482" t="str">
            <v>10</v>
          </cell>
          <cell r="G482" t="str">
            <v>1</v>
          </cell>
          <cell r="H482" t="str">
            <v>0</v>
          </cell>
          <cell r="I482" t="str">
            <v>0</v>
          </cell>
          <cell r="J482" t="str">
            <v>0</v>
          </cell>
          <cell r="K482" t="str">
            <v>0</v>
          </cell>
          <cell r="L482" t="str">
            <v>1000</v>
          </cell>
          <cell r="M482" t="str">
            <v>01</v>
          </cell>
          <cell r="N482" t="str">
            <v>15609674Turnaround Network</v>
          </cell>
          <cell r="O482" t="str">
            <v>S010A170006</v>
          </cell>
          <cell r="P482" t="str">
            <v>5010</v>
          </cell>
          <cell r="Q482" t="str">
            <v>70*C</v>
          </cell>
          <cell r="R482"/>
          <cell r="S482"/>
          <cell r="T482">
            <v>100265</v>
          </cell>
          <cell r="AS482">
            <v>0</v>
          </cell>
          <cell r="AT482">
            <v>0</v>
          </cell>
          <cell r="AU482">
            <v>100265</v>
          </cell>
          <cell r="AV482"/>
          <cell r="AW482"/>
          <cell r="BG482">
            <v>-23683</v>
          </cell>
          <cell r="BI482">
            <v>-3020</v>
          </cell>
          <cell r="BK482">
            <v>-2814</v>
          </cell>
          <cell r="BM482">
            <v>-7838</v>
          </cell>
          <cell r="BO482">
            <v>-2909</v>
          </cell>
          <cell r="BQ482">
            <v>-6620</v>
          </cell>
          <cell r="BS482">
            <v>-10732</v>
          </cell>
          <cell r="BW482">
            <v>-57616</v>
          </cell>
          <cell r="BX482">
            <v>0</v>
          </cell>
          <cell r="BY482">
            <v>42649</v>
          </cell>
          <cell r="BZ482"/>
          <cell r="CE482">
            <v>-6995.38</v>
          </cell>
          <cell r="CH482">
            <v>-8235.86</v>
          </cell>
          <cell r="CI482">
            <v>-1283</v>
          </cell>
        </row>
        <row r="483">
          <cell r="F483" t="str">
            <v>10</v>
          </cell>
          <cell r="G483" t="str">
            <v>0</v>
          </cell>
          <cell r="H483" t="str">
            <v>0</v>
          </cell>
          <cell r="I483" t="str">
            <v>0</v>
          </cell>
          <cell r="J483" t="str">
            <v>0</v>
          </cell>
          <cell r="K483" t="str">
            <v>0</v>
          </cell>
          <cell r="L483" t="str">
            <v>0000</v>
          </cell>
          <cell r="M483" t="str">
            <v>X</v>
          </cell>
          <cell r="N483" t="str">
            <v>1560N/ATurnaround Network</v>
          </cell>
          <cell r="O483" t="str">
            <v>Old Funding Source</v>
          </cell>
          <cell r="P483" t="str">
            <v>5010</v>
          </cell>
          <cell r="Q483" t="str">
            <v>70*C</v>
          </cell>
          <cell r="R483"/>
          <cell r="S483"/>
          <cell r="AS483">
            <v>0</v>
          </cell>
          <cell r="AT483">
            <v>0</v>
          </cell>
          <cell r="AU483">
            <v>11982.41</v>
          </cell>
          <cell r="AW483"/>
          <cell r="BW483">
            <v>0</v>
          </cell>
          <cell r="BX483">
            <v>0</v>
          </cell>
          <cell r="BY483">
            <v>11982.41</v>
          </cell>
          <cell r="CW483">
            <v>-403.45</v>
          </cell>
        </row>
        <row r="484">
          <cell r="F484" t="str">
            <v>10</v>
          </cell>
          <cell r="G484" t="str">
            <v>1</v>
          </cell>
          <cell r="H484" t="str">
            <v>1</v>
          </cell>
          <cell r="I484" t="str">
            <v>0</v>
          </cell>
          <cell r="J484" t="str">
            <v>0</v>
          </cell>
          <cell r="K484" t="str">
            <v>0</v>
          </cell>
          <cell r="L484" t="str">
            <v>1100</v>
          </cell>
          <cell r="M484" t="str">
            <v>X</v>
          </cell>
          <cell r="N484" t="str">
            <v>1560N/ATurnaround Network</v>
          </cell>
          <cell r="O484" t="str">
            <v>S010A170006</v>
          </cell>
          <cell r="P484" t="str">
            <v>5010</v>
          </cell>
          <cell r="Q484" t="str">
            <v>70*C</v>
          </cell>
          <cell r="R484"/>
          <cell r="S484"/>
          <cell r="T484">
            <v>49998</v>
          </cell>
          <cell r="AS484">
            <v>0</v>
          </cell>
          <cell r="AT484">
            <v>0</v>
          </cell>
          <cell r="AU484">
            <v>49998</v>
          </cell>
          <cell r="AV484" t="str">
            <v>S010A180006</v>
          </cell>
          <cell r="AW484"/>
          <cell r="AX484">
            <v>50000</v>
          </cell>
          <cell r="BG484">
            <v>-8868</v>
          </cell>
          <cell r="BI484">
            <v>-304</v>
          </cell>
          <cell r="BK484">
            <v>-170</v>
          </cell>
          <cell r="BM484">
            <v>-14000</v>
          </cell>
          <cell r="BQ484">
            <v>-1189</v>
          </cell>
          <cell r="BS484">
            <v>-2462</v>
          </cell>
          <cell r="BW484">
            <v>-26993</v>
          </cell>
          <cell r="BX484">
            <v>0</v>
          </cell>
          <cell r="BY484">
            <v>73005</v>
          </cell>
          <cell r="BZ484"/>
          <cell r="CE484">
            <v>-129.08000000000001</v>
          </cell>
          <cell r="CH484">
            <v>-4531.6000000000004</v>
          </cell>
          <cell r="CI484">
            <v>-473</v>
          </cell>
          <cell r="CO484">
            <v>-1322.02</v>
          </cell>
          <cell r="CS484">
            <v>-1565.84</v>
          </cell>
        </row>
        <row r="485">
          <cell r="F485" t="str">
            <v>10</v>
          </cell>
          <cell r="G485" t="str">
            <v>0</v>
          </cell>
          <cell r="H485" t="str">
            <v>0</v>
          </cell>
          <cell r="I485" t="str">
            <v>1</v>
          </cell>
          <cell r="J485" t="str">
            <v>0</v>
          </cell>
          <cell r="K485" t="str">
            <v>0</v>
          </cell>
          <cell r="L485" t="str">
            <v>0010</v>
          </cell>
          <cell r="M485" t="str">
            <v>03</v>
          </cell>
          <cell r="N485" t="str">
            <v>20001520Turnaround Network</v>
          </cell>
          <cell r="O485"/>
          <cell r="P485" t="str">
            <v>5010</v>
          </cell>
          <cell r="Q485" t="str">
            <v>70*C</v>
          </cell>
          <cell r="R485"/>
          <cell r="S485"/>
          <cell r="T485"/>
          <cell r="U485"/>
          <cell r="V485"/>
          <cell r="W485"/>
          <cell r="X485"/>
          <cell r="Y485"/>
          <cell r="Z485"/>
          <cell r="AA485"/>
          <cell r="AB485"/>
          <cell r="AC485"/>
          <cell r="AD485"/>
          <cell r="AE485"/>
          <cell r="AF485"/>
          <cell r="AG485"/>
          <cell r="AH485"/>
          <cell r="AI485"/>
          <cell r="AJ485"/>
          <cell r="AK485"/>
          <cell r="AL485"/>
          <cell r="AM485"/>
          <cell r="AN485"/>
          <cell r="AO485"/>
          <cell r="AP485"/>
          <cell r="AQ485"/>
          <cell r="AR485"/>
          <cell r="AS485">
            <v>0</v>
          </cell>
          <cell r="AT485">
            <v>0</v>
          </cell>
          <cell r="AU485">
            <v>0</v>
          </cell>
          <cell r="AV485"/>
          <cell r="AW485"/>
          <cell r="AX485"/>
          <cell r="AY485"/>
          <cell r="AZ485"/>
          <cell r="BA485"/>
          <cell r="BB485"/>
          <cell r="BC485"/>
          <cell r="BD485"/>
          <cell r="BE485"/>
          <cell r="BF485"/>
          <cell r="BG485"/>
          <cell r="BH485"/>
          <cell r="BI485"/>
          <cell r="BJ485"/>
          <cell r="BK485"/>
          <cell r="BL485"/>
          <cell r="BM485"/>
          <cell r="BN485"/>
          <cell r="BO485"/>
          <cell r="BP485"/>
          <cell r="BQ485"/>
          <cell r="BR485"/>
          <cell r="BS485"/>
          <cell r="BT485"/>
          <cell r="BU485"/>
          <cell r="BV485"/>
          <cell r="BW485">
            <v>0</v>
          </cell>
          <cell r="BX485">
            <v>0</v>
          </cell>
          <cell r="BY485">
            <v>0</v>
          </cell>
          <cell r="BZ485"/>
          <cell r="CA485"/>
          <cell r="CB485"/>
          <cell r="CC485"/>
          <cell r="CD485">
            <v>15738</v>
          </cell>
          <cell r="CE485"/>
          <cell r="CF485"/>
          <cell r="CG485"/>
          <cell r="CH485"/>
          <cell r="CI485"/>
          <cell r="CJ485"/>
          <cell r="CK485"/>
          <cell r="CL485"/>
          <cell r="CM485"/>
          <cell r="CN485"/>
          <cell r="CO485"/>
          <cell r="CP485"/>
          <cell r="CQ485"/>
          <cell r="CR485"/>
          <cell r="CS485"/>
          <cell r="CT485"/>
          <cell r="CU485"/>
          <cell r="CV485"/>
          <cell r="CW485"/>
          <cell r="CX485"/>
          <cell r="CY485"/>
          <cell r="CZ485"/>
          <cell r="DA485"/>
        </row>
        <row r="486">
          <cell r="F486" t="str">
            <v>10</v>
          </cell>
          <cell r="G486" t="str">
            <v>1</v>
          </cell>
          <cell r="H486" t="str">
            <v>0</v>
          </cell>
          <cell r="I486" t="str">
            <v>0</v>
          </cell>
          <cell r="J486" t="str">
            <v>0</v>
          </cell>
          <cell r="K486" t="str">
            <v>0</v>
          </cell>
          <cell r="L486" t="str">
            <v>1000</v>
          </cell>
          <cell r="M486" t="str">
            <v>01</v>
          </cell>
          <cell r="N486" t="str">
            <v>21806366Turnaround Network</v>
          </cell>
          <cell r="O486" t="str">
            <v>S010A170006</v>
          </cell>
          <cell r="P486" t="str">
            <v>5010</v>
          </cell>
          <cell r="Q486" t="str">
            <v>70*C</v>
          </cell>
          <cell r="R486">
            <v>43229</v>
          </cell>
          <cell r="S486">
            <v>43229</v>
          </cell>
          <cell r="T486">
            <v>109068</v>
          </cell>
          <cell r="AS486">
            <v>0</v>
          </cell>
          <cell r="AT486">
            <v>0</v>
          </cell>
          <cell r="AU486">
            <v>109068</v>
          </cell>
          <cell r="AV486"/>
          <cell r="AW486"/>
          <cell r="BC486">
            <v>-45575</v>
          </cell>
          <cell r="BM486">
            <v>-33320</v>
          </cell>
          <cell r="BW486">
            <v>-78895</v>
          </cell>
          <cell r="BX486">
            <v>0</v>
          </cell>
          <cell r="BY486">
            <v>30173</v>
          </cell>
          <cell r="BZ486" t="str">
            <v>S010A190006</v>
          </cell>
          <cell r="CA486">
            <v>25000</v>
          </cell>
          <cell r="CH486">
            <v>-23514</v>
          </cell>
          <cell r="CK486">
            <v>-6659</v>
          </cell>
        </row>
        <row r="487">
          <cell r="F487"/>
          <cell r="G487"/>
          <cell r="H487"/>
          <cell r="I487"/>
          <cell r="J487"/>
          <cell r="K487" t="str">
            <v>0</v>
          </cell>
          <cell r="L487"/>
          <cell r="M487"/>
          <cell r="N487" t="str">
            <v>21804458Turnaround Network</v>
          </cell>
          <cell r="P487"/>
          <cell r="Q487"/>
          <cell r="R487"/>
          <cell r="S487"/>
          <cell r="T487"/>
          <cell r="U487"/>
          <cell r="V487"/>
          <cell r="W487"/>
          <cell r="X487"/>
          <cell r="Y487"/>
          <cell r="Z487"/>
          <cell r="AA487"/>
          <cell r="AB487"/>
          <cell r="AC487"/>
          <cell r="AD487"/>
          <cell r="AE487"/>
          <cell r="AF487"/>
          <cell r="AG487"/>
          <cell r="AH487"/>
          <cell r="AI487"/>
          <cell r="AJ487"/>
          <cell r="AK487"/>
          <cell r="AL487"/>
          <cell r="AM487"/>
          <cell r="AN487"/>
          <cell r="AO487"/>
          <cell r="AP487"/>
          <cell r="AQ487"/>
          <cell r="AR487"/>
          <cell r="AS487"/>
          <cell r="AT487"/>
          <cell r="AU487"/>
          <cell r="AV487"/>
          <cell r="AW487"/>
          <cell r="AX487"/>
          <cell r="AY487"/>
          <cell r="AZ487"/>
          <cell r="BA487"/>
          <cell r="BB487"/>
          <cell r="BC487"/>
          <cell r="BD487"/>
          <cell r="BE487"/>
          <cell r="BF487"/>
          <cell r="BG487"/>
          <cell r="BH487"/>
          <cell r="BI487"/>
          <cell r="BJ487"/>
          <cell r="BK487"/>
          <cell r="BL487"/>
          <cell r="BM487"/>
          <cell r="BN487"/>
          <cell r="BO487"/>
          <cell r="BP487"/>
          <cell r="BQ487"/>
          <cell r="BR487"/>
          <cell r="BS487"/>
          <cell r="BT487"/>
          <cell r="BU487"/>
          <cell r="BV487"/>
          <cell r="BW487"/>
          <cell r="BX487"/>
          <cell r="BY487"/>
          <cell r="BZ487"/>
          <cell r="CA487"/>
          <cell r="CB487"/>
          <cell r="CC487"/>
          <cell r="CD487"/>
          <cell r="CE487"/>
          <cell r="CF487"/>
          <cell r="CG487"/>
          <cell r="CH487"/>
          <cell r="CI487"/>
          <cell r="CJ487"/>
          <cell r="CK487"/>
          <cell r="CL487"/>
          <cell r="CM487"/>
          <cell r="CN487"/>
          <cell r="CO487"/>
          <cell r="CP487"/>
          <cell r="CQ487"/>
          <cell r="CR487"/>
          <cell r="CS487"/>
          <cell r="CT487"/>
          <cell r="CU487"/>
          <cell r="CV487"/>
          <cell r="CW487"/>
          <cell r="CX487"/>
          <cell r="CY487"/>
          <cell r="CZ487"/>
          <cell r="DA487"/>
        </row>
        <row r="488">
          <cell r="F488"/>
          <cell r="G488"/>
          <cell r="H488"/>
          <cell r="I488"/>
          <cell r="J488"/>
          <cell r="K488" t="str">
            <v>0</v>
          </cell>
          <cell r="L488"/>
          <cell r="M488"/>
          <cell r="N488" t="str">
            <v>21806466Turnaround Network</v>
          </cell>
          <cell r="P488" t="str">
            <v>5010</v>
          </cell>
          <cell r="Q488"/>
          <cell r="R488"/>
          <cell r="S488"/>
          <cell r="T488"/>
          <cell r="U488"/>
          <cell r="V488"/>
          <cell r="W488"/>
          <cell r="X488"/>
          <cell r="Y488"/>
          <cell r="Z488"/>
          <cell r="AA488"/>
          <cell r="AB488"/>
          <cell r="AC488"/>
          <cell r="AD488"/>
          <cell r="AE488"/>
          <cell r="AF488"/>
          <cell r="AG488"/>
          <cell r="AH488"/>
          <cell r="AI488"/>
          <cell r="AJ488"/>
          <cell r="AK488"/>
          <cell r="AL488"/>
          <cell r="AM488"/>
          <cell r="AN488"/>
          <cell r="AO488"/>
          <cell r="AP488"/>
          <cell r="AQ488"/>
          <cell r="AR488"/>
          <cell r="AS488"/>
          <cell r="AT488"/>
          <cell r="AU488"/>
          <cell r="AV488"/>
          <cell r="AW488"/>
          <cell r="AX488"/>
          <cell r="AY488"/>
          <cell r="AZ488"/>
          <cell r="BA488"/>
          <cell r="BB488"/>
          <cell r="BC488"/>
          <cell r="BD488"/>
          <cell r="BE488"/>
          <cell r="BF488"/>
          <cell r="BG488"/>
          <cell r="BH488"/>
          <cell r="BI488"/>
          <cell r="BJ488"/>
          <cell r="BK488"/>
          <cell r="BL488"/>
          <cell r="BM488"/>
          <cell r="BN488"/>
          <cell r="BO488"/>
          <cell r="BP488"/>
          <cell r="BQ488"/>
          <cell r="BR488"/>
          <cell r="BS488"/>
          <cell r="BT488"/>
          <cell r="BU488"/>
          <cell r="BV488"/>
          <cell r="BW488"/>
          <cell r="BX488"/>
          <cell r="BY488"/>
          <cell r="BZ488"/>
          <cell r="CA488"/>
          <cell r="CB488"/>
          <cell r="CC488"/>
          <cell r="CD488"/>
          <cell r="CE488"/>
          <cell r="CF488"/>
          <cell r="CG488"/>
          <cell r="CH488"/>
          <cell r="CI488"/>
          <cell r="CJ488"/>
          <cell r="CK488"/>
          <cell r="CL488"/>
          <cell r="CM488"/>
          <cell r="CN488"/>
          <cell r="CO488"/>
          <cell r="CP488"/>
          <cell r="CQ488"/>
          <cell r="CR488"/>
          <cell r="CS488"/>
          <cell r="CT488"/>
          <cell r="CU488"/>
          <cell r="CV488"/>
          <cell r="CW488"/>
          <cell r="CX488"/>
          <cell r="CY488"/>
          <cell r="CZ488"/>
          <cell r="DA488"/>
        </row>
        <row r="489">
          <cell r="F489"/>
          <cell r="G489"/>
          <cell r="H489"/>
          <cell r="I489"/>
          <cell r="J489"/>
          <cell r="K489" t="str">
            <v>0</v>
          </cell>
          <cell r="L489"/>
          <cell r="M489"/>
          <cell r="N489" t="str">
            <v>21806486Turnaround Network</v>
          </cell>
          <cell r="P489"/>
          <cell r="Q489"/>
          <cell r="R489"/>
          <cell r="S489"/>
          <cell r="T489"/>
          <cell r="U489"/>
          <cell r="V489"/>
          <cell r="W489"/>
          <cell r="X489"/>
          <cell r="Y489"/>
          <cell r="Z489"/>
          <cell r="AA489"/>
          <cell r="AB489"/>
          <cell r="AC489"/>
          <cell r="AD489"/>
          <cell r="AE489"/>
          <cell r="AF489"/>
          <cell r="AG489"/>
          <cell r="AH489"/>
          <cell r="AI489"/>
          <cell r="AJ489"/>
          <cell r="AK489"/>
          <cell r="AL489"/>
          <cell r="AM489"/>
          <cell r="AN489"/>
          <cell r="AO489"/>
          <cell r="AP489"/>
          <cell r="AQ489"/>
          <cell r="AR489"/>
          <cell r="AS489"/>
          <cell r="AT489"/>
          <cell r="AU489"/>
          <cell r="AV489"/>
          <cell r="AW489"/>
          <cell r="AX489"/>
          <cell r="AY489"/>
          <cell r="AZ489"/>
          <cell r="BA489"/>
          <cell r="BB489"/>
          <cell r="BC489"/>
          <cell r="BD489"/>
          <cell r="BE489"/>
          <cell r="BF489"/>
          <cell r="BG489"/>
          <cell r="BH489"/>
          <cell r="BI489"/>
          <cell r="BJ489"/>
          <cell r="BK489"/>
          <cell r="BL489"/>
          <cell r="BM489"/>
          <cell r="BN489"/>
          <cell r="BO489"/>
          <cell r="BP489"/>
          <cell r="BQ489"/>
          <cell r="BR489"/>
          <cell r="BS489"/>
          <cell r="BT489"/>
          <cell r="BU489"/>
          <cell r="BV489"/>
          <cell r="BW489"/>
          <cell r="BX489"/>
          <cell r="BY489"/>
          <cell r="BZ489"/>
          <cell r="CA489"/>
          <cell r="CB489"/>
          <cell r="CC489"/>
          <cell r="CD489"/>
          <cell r="CE489"/>
          <cell r="CF489"/>
          <cell r="CG489"/>
          <cell r="CH489"/>
          <cell r="CI489"/>
          <cell r="CJ489"/>
          <cell r="CK489"/>
          <cell r="CL489"/>
          <cell r="CM489"/>
          <cell r="CN489"/>
          <cell r="CO489"/>
          <cell r="CP489"/>
          <cell r="CQ489"/>
          <cell r="CR489"/>
          <cell r="CS489"/>
          <cell r="CT489"/>
          <cell r="CU489"/>
          <cell r="CV489"/>
          <cell r="CW489"/>
          <cell r="CX489"/>
          <cell r="CY489"/>
          <cell r="CZ489"/>
          <cell r="DA489"/>
        </row>
        <row r="490">
          <cell r="F490" t="str">
            <v>10</v>
          </cell>
          <cell r="G490" t="str">
            <v>0</v>
          </cell>
          <cell r="H490" t="str">
            <v>0</v>
          </cell>
          <cell r="I490" t="str">
            <v>0</v>
          </cell>
          <cell r="J490" t="str">
            <v>0</v>
          </cell>
          <cell r="K490" t="str">
            <v>0</v>
          </cell>
          <cell r="L490" t="str">
            <v>0000</v>
          </cell>
          <cell r="M490" t="str">
            <v>X</v>
          </cell>
          <cell r="N490" t="str">
            <v>21806486Turnaround Network</v>
          </cell>
          <cell r="O490" t="str">
            <v>Old Funding Source</v>
          </cell>
          <cell r="P490" t="str">
            <v>5010</v>
          </cell>
          <cell r="Q490" t="str">
            <v>70*C</v>
          </cell>
          <cell r="R490"/>
          <cell r="S490"/>
          <cell r="AS490">
            <v>0</v>
          </cell>
          <cell r="AT490">
            <v>0</v>
          </cell>
          <cell r="AU490">
            <v>9285</v>
          </cell>
          <cell r="AW490"/>
          <cell r="BW490">
            <v>0</v>
          </cell>
          <cell r="BX490">
            <v>0</v>
          </cell>
          <cell r="BY490">
            <v>9285</v>
          </cell>
          <cell r="CE490">
            <v>-3372</v>
          </cell>
          <cell r="CK490">
            <v>-5771</v>
          </cell>
          <cell r="CW490">
            <v>-142</v>
          </cell>
        </row>
        <row r="491">
          <cell r="F491" t="str">
            <v>10</v>
          </cell>
          <cell r="G491" t="str">
            <v>1</v>
          </cell>
          <cell r="H491" t="str">
            <v>0</v>
          </cell>
          <cell r="I491" t="str">
            <v>0</v>
          </cell>
          <cell r="J491" t="str">
            <v>0</v>
          </cell>
          <cell r="K491" t="str">
            <v>0</v>
          </cell>
          <cell r="L491" t="str">
            <v>1000</v>
          </cell>
          <cell r="M491" t="str">
            <v>01</v>
          </cell>
          <cell r="N491" t="str">
            <v>21806490Turnaround Network</v>
          </cell>
          <cell r="O491" t="str">
            <v>S010A170006</v>
          </cell>
          <cell r="P491" t="str">
            <v>5010</v>
          </cell>
          <cell r="Q491" t="str">
            <v>70*C</v>
          </cell>
          <cell r="R491">
            <v>43229</v>
          </cell>
          <cell r="S491">
            <v>43229</v>
          </cell>
          <cell r="T491">
            <v>100631</v>
          </cell>
          <cell r="AS491">
            <v>0</v>
          </cell>
          <cell r="AT491">
            <v>0</v>
          </cell>
          <cell r="AU491">
            <v>100631</v>
          </cell>
          <cell r="AV491" t="str">
            <v>S010A180006</v>
          </cell>
          <cell r="AW491">
            <v>26485</v>
          </cell>
          <cell r="BA491">
            <v>-21470</v>
          </cell>
          <cell r="BE491">
            <v>-32413</v>
          </cell>
          <cell r="BM491">
            <v>-38483</v>
          </cell>
          <cell r="BW491">
            <v>-92366</v>
          </cell>
          <cell r="BX491">
            <v>0</v>
          </cell>
          <cell r="BY491">
            <v>34750</v>
          </cell>
          <cell r="BZ491"/>
          <cell r="CE491">
            <v>-8265</v>
          </cell>
          <cell r="DA491">
            <v>-25000</v>
          </cell>
        </row>
        <row r="492">
          <cell r="F492" t="str">
            <v>10</v>
          </cell>
          <cell r="G492" t="str">
            <v>1</v>
          </cell>
          <cell r="H492" t="str">
            <v>0</v>
          </cell>
          <cell r="I492" t="str">
            <v>0</v>
          </cell>
          <cell r="J492" t="str">
            <v>0</v>
          </cell>
          <cell r="K492" t="str">
            <v>0</v>
          </cell>
          <cell r="L492" t="str">
            <v>1000</v>
          </cell>
          <cell r="M492" t="str">
            <v>01</v>
          </cell>
          <cell r="N492" t="str">
            <v>21807106Turnaround Network</v>
          </cell>
          <cell r="O492" t="str">
            <v>S010A170006</v>
          </cell>
          <cell r="P492" t="str">
            <v>5010</v>
          </cell>
          <cell r="Q492" t="str">
            <v>70*C</v>
          </cell>
          <cell r="R492">
            <v>43229</v>
          </cell>
          <cell r="S492">
            <v>43229</v>
          </cell>
          <cell r="T492">
            <v>125997</v>
          </cell>
          <cell r="AS492">
            <v>0</v>
          </cell>
          <cell r="AT492">
            <v>0</v>
          </cell>
          <cell r="AU492">
            <v>125997</v>
          </cell>
          <cell r="AV492"/>
          <cell r="AW492"/>
          <cell r="BC492">
            <v>-27142</v>
          </cell>
          <cell r="BM492">
            <v>-19346</v>
          </cell>
          <cell r="BW492">
            <v>-46488</v>
          </cell>
          <cell r="BX492">
            <v>0</v>
          </cell>
          <cell r="BY492">
            <v>79509</v>
          </cell>
          <cell r="BZ492" t="str">
            <v>S010A190006</v>
          </cell>
          <cell r="CA492">
            <v>25000</v>
          </cell>
          <cell r="CE492">
            <v>-7225</v>
          </cell>
          <cell r="CK492">
            <v>-72284</v>
          </cell>
        </row>
        <row r="493">
          <cell r="F493" t="str">
            <v>10</v>
          </cell>
          <cell r="G493" t="str">
            <v>1</v>
          </cell>
          <cell r="H493" t="str">
            <v>1</v>
          </cell>
          <cell r="I493" t="str">
            <v>0</v>
          </cell>
          <cell r="J493" t="str">
            <v>0</v>
          </cell>
          <cell r="K493" t="str">
            <v>0</v>
          </cell>
          <cell r="L493" t="str">
            <v>1100</v>
          </cell>
          <cell r="M493" t="str">
            <v>X</v>
          </cell>
          <cell r="N493" t="str">
            <v>2180N/ATurnaround Network</v>
          </cell>
          <cell r="O493" t="str">
            <v>S010A170006</v>
          </cell>
          <cell r="P493" t="str">
            <v>5010</v>
          </cell>
          <cell r="Q493" t="str">
            <v>70*C</v>
          </cell>
          <cell r="R493">
            <v>43229</v>
          </cell>
          <cell r="S493">
            <v>43229</v>
          </cell>
          <cell r="T493">
            <v>52843</v>
          </cell>
          <cell r="AS493">
            <v>0</v>
          </cell>
          <cell r="AT493">
            <v>0</v>
          </cell>
          <cell r="AU493">
            <v>52843</v>
          </cell>
          <cell r="AV493" t="str">
            <v>S010A180006</v>
          </cell>
          <cell r="AW493"/>
          <cell r="AX493">
            <v>42376</v>
          </cell>
          <cell r="BA493">
            <v>-1947</v>
          </cell>
          <cell r="BM493">
            <v>-14940</v>
          </cell>
          <cell r="BW493">
            <v>-16887</v>
          </cell>
          <cell r="BX493">
            <v>0</v>
          </cell>
          <cell r="BY493">
            <v>78332</v>
          </cell>
          <cell r="BZ493"/>
          <cell r="CE493">
            <v>-27124</v>
          </cell>
          <cell r="CO493">
            <v>-41524.57</v>
          </cell>
        </row>
        <row r="494">
          <cell r="F494" t="str">
            <v>10</v>
          </cell>
          <cell r="G494" t="str">
            <v>0</v>
          </cell>
          <cell r="H494" t="str">
            <v>0</v>
          </cell>
          <cell r="I494" t="str">
            <v>0</v>
          </cell>
          <cell r="J494" t="str">
            <v>0</v>
          </cell>
          <cell r="K494" t="str">
            <v>0</v>
          </cell>
          <cell r="L494" t="str">
            <v>0000</v>
          </cell>
          <cell r="M494" t="str">
            <v>X</v>
          </cell>
          <cell r="N494" t="str">
            <v>26901304Turnaround Network</v>
          </cell>
          <cell r="O494" t="str">
            <v>Old Funding Source</v>
          </cell>
          <cell r="P494" t="str">
            <v>5010</v>
          </cell>
          <cell r="Q494" t="str">
            <v>70*C</v>
          </cell>
          <cell r="R494">
            <v>43229</v>
          </cell>
          <cell r="S494">
            <v>43229</v>
          </cell>
          <cell r="AS494">
            <v>0</v>
          </cell>
          <cell r="AT494">
            <v>0</v>
          </cell>
          <cell r="AU494">
            <v>204</v>
          </cell>
          <cell r="AW494"/>
          <cell r="BW494">
            <v>0</v>
          </cell>
          <cell r="BX494">
            <v>0</v>
          </cell>
          <cell r="BY494">
            <v>204</v>
          </cell>
        </row>
        <row r="495">
          <cell r="F495" t="str">
            <v>10</v>
          </cell>
          <cell r="G495" t="str">
            <v>0</v>
          </cell>
          <cell r="H495" t="str">
            <v>1</v>
          </cell>
          <cell r="I495" t="str">
            <v>0</v>
          </cell>
          <cell r="J495" t="str">
            <v>0</v>
          </cell>
          <cell r="K495" t="str">
            <v>0</v>
          </cell>
          <cell r="L495" t="str">
            <v>0100</v>
          </cell>
          <cell r="M495" t="str">
            <v>02</v>
          </cell>
          <cell r="N495" t="str">
            <v>26901454Turnaround Network</v>
          </cell>
          <cell r="P495" t="str">
            <v>5010</v>
          </cell>
          <cell r="Q495" t="str">
            <v>70*C</v>
          </cell>
          <cell r="R495"/>
          <cell r="S495"/>
          <cell r="AS495">
            <v>0</v>
          </cell>
          <cell r="AT495">
            <v>0</v>
          </cell>
          <cell r="AU495">
            <v>0</v>
          </cell>
          <cell r="AV495" t="str">
            <v>S010A180006</v>
          </cell>
          <cell r="AW495"/>
          <cell r="AX495">
            <v>80000</v>
          </cell>
          <cell r="BW495">
            <v>0</v>
          </cell>
          <cell r="BX495">
            <v>0</v>
          </cell>
          <cell r="BY495">
            <v>80000</v>
          </cell>
          <cell r="BZ495"/>
          <cell r="CO495">
            <v>-61962.8</v>
          </cell>
          <cell r="CU495">
            <v>-14061.29</v>
          </cell>
        </row>
        <row r="496">
          <cell r="F496" t="str">
            <v>10</v>
          </cell>
          <cell r="G496" t="str">
            <v>1</v>
          </cell>
          <cell r="H496" t="str">
            <v>1</v>
          </cell>
          <cell r="I496" t="str">
            <v>0</v>
          </cell>
          <cell r="J496" t="str">
            <v>0</v>
          </cell>
          <cell r="K496" t="str">
            <v>0</v>
          </cell>
          <cell r="L496" t="str">
            <v>1100</v>
          </cell>
          <cell r="M496" t="str">
            <v>X</v>
          </cell>
          <cell r="N496" t="str">
            <v>26902394Turnaround Network</v>
          </cell>
          <cell r="O496" t="str">
            <v>S010A170006</v>
          </cell>
          <cell r="P496" t="str">
            <v>5010</v>
          </cell>
          <cell r="Q496" t="str">
            <v>70*C</v>
          </cell>
          <cell r="R496">
            <v>43229</v>
          </cell>
          <cell r="S496">
            <v>43229</v>
          </cell>
          <cell r="T496">
            <v>50296</v>
          </cell>
          <cell r="AS496">
            <v>0</v>
          </cell>
          <cell r="AT496">
            <v>0</v>
          </cell>
          <cell r="AU496">
            <v>50296</v>
          </cell>
          <cell r="AV496" t="str">
            <v>S010A180006</v>
          </cell>
          <cell r="AW496"/>
          <cell r="AX496">
            <v>80000</v>
          </cell>
          <cell r="BG496">
            <v>-33911</v>
          </cell>
          <cell r="BI496">
            <v>-10192</v>
          </cell>
          <cell r="BW496">
            <v>-44103</v>
          </cell>
          <cell r="BX496">
            <v>0</v>
          </cell>
          <cell r="BY496">
            <v>86193</v>
          </cell>
          <cell r="BZ496"/>
          <cell r="CI496">
            <v>-13318</v>
          </cell>
          <cell r="CO496">
            <v>-11493.2</v>
          </cell>
          <cell r="CW496">
            <v>-30606.560000000001</v>
          </cell>
          <cell r="DA496">
            <v>-486</v>
          </cell>
        </row>
        <row r="497">
          <cell r="F497" t="str">
            <v>10</v>
          </cell>
          <cell r="G497" t="str">
            <v>1</v>
          </cell>
          <cell r="H497" t="str">
            <v>1</v>
          </cell>
          <cell r="I497" t="str">
            <v>0</v>
          </cell>
          <cell r="J497" t="str">
            <v>0</v>
          </cell>
          <cell r="K497" t="str">
            <v>0</v>
          </cell>
          <cell r="L497" t="str">
            <v>1100</v>
          </cell>
          <cell r="M497" t="str">
            <v>X</v>
          </cell>
          <cell r="N497" t="str">
            <v>26903976Turnaround Network</v>
          </cell>
          <cell r="O497" t="str">
            <v>S010A170006</v>
          </cell>
          <cell r="P497" t="str">
            <v>5010</v>
          </cell>
          <cell r="Q497" t="str">
            <v>70*C</v>
          </cell>
          <cell r="R497">
            <v>43229</v>
          </cell>
          <cell r="S497">
            <v>43229</v>
          </cell>
          <cell r="T497">
            <v>50196</v>
          </cell>
          <cell r="AS497">
            <v>0</v>
          </cell>
          <cell r="AT497">
            <v>0</v>
          </cell>
          <cell r="AU497">
            <v>50196</v>
          </cell>
          <cell r="AV497" t="str">
            <v>S010A180006</v>
          </cell>
          <cell r="AW497"/>
          <cell r="AX497">
            <v>80000</v>
          </cell>
          <cell r="BG497">
            <v>-5482</v>
          </cell>
          <cell r="BI497">
            <v>-668</v>
          </cell>
          <cell r="BK497">
            <v>-11618</v>
          </cell>
          <cell r="BM497">
            <v>-2550</v>
          </cell>
          <cell r="BO497">
            <v>-8622</v>
          </cell>
          <cell r="BU497">
            <v>-13444</v>
          </cell>
          <cell r="BW497">
            <v>-42384</v>
          </cell>
          <cell r="BX497">
            <v>0</v>
          </cell>
          <cell r="BY497">
            <v>87812</v>
          </cell>
          <cell r="BZ497"/>
          <cell r="CI497">
            <v>-3578</v>
          </cell>
          <cell r="CO497">
            <v>-52255.55</v>
          </cell>
          <cell r="CS497">
            <v>-18096.59</v>
          </cell>
        </row>
        <row r="498">
          <cell r="F498" t="str">
            <v>10</v>
          </cell>
          <cell r="G498" t="str">
            <v>0</v>
          </cell>
          <cell r="H498" t="str">
            <v>0</v>
          </cell>
          <cell r="I498" t="str">
            <v>0</v>
          </cell>
          <cell r="J498" t="str">
            <v>0</v>
          </cell>
          <cell r="K498" t="str">
            <v>0</v>
          </cell>
          <cell r="L498" t="str">
            <v>0000</v>
          </cell>
          <cell r="M498" t="str">
            <v>X</v>
          </cell>
          <cell r="N498" t="str">
            <v>26905048Turnaround Network</v>
          </cell>
          <cell r="O498" t="str">
            <v>Old Funding Source</v>
          </cell>
          <cell r="P498" t="str">
            <v>5010</v>
          </cell>
          <cell r="Q498" t="str">
            <v>70*C</v>
          </cell>
          <cell r="R498">
            <v>43229</v>
          </cell>
          <cell r="S498">
            <v>43229</v>
          </cell>
          <cell r="AS498">
            <v>0</v>
          </cell>
          <cell r="AT498">
            <v>0</v>
          </cell>
          <cell r="AU498">
            <v>225</v>
          </cell>
          <cell r="AW498"/>
          <cell r="BW498">
            <v>0</v>
          </cell>
          <cell r="BX498">
            <v>0</v>
          </cell>
          <cell r="BY498">
            <v>225</v>
          </cell>
        </row>
        <row r="499">
          <cell r="F499" t="str">
            <v>10</v>
          </cell>
          <cell r="G499" t="str">
            <v>1</v>
          </cell>
          <cell r="H499" t="str">
            <v>1</v>
          </cell>
          <cell r="I499" t="str">
            <v>0</v>
          </cell>
          <cell r="J499" t="str">
            <v>0</v>
          </cell>
          <cell r="K499" t="str">
            <v>0</v>
          </cell>
          <cell r="L499" t="str">
            <v>1100</v>
          </cell>
          <cell r="M499" t="str">
            <v>X</v>
          </cell>
          <cell r="N499" t="str">
            <v>26906770Turnaround Network</v>
          </cell>
          <cell r="O499" t="str">
            <v>S010A170006</v>
          </cell>
          <cell r="P499" t="str">
            <v>5010</v>
          </cell>
          <cell r="Q499" t="str">
            <v>70*C</v>
          </cell>
          <cell r="R499"/>
          <cell r="S499"/>
          <cell r="T499">
            <v>53525</v>
          </cell>
          <cell r="AS499">
            <v>0</v>
          </cell>
          <cell r="AT499">
            <v>0</v>
          </cell>
          <cell r="AU499">
            <v>53525</v>
          </cell>
          <cell r="AV499" t="str">
            <v>S010A180006</v>
          </cell>
          <cell r="AW499"/>
          <cell r="AX499">
            <v>80000</v>
          </cell>
          <cell r="BI499">
            <v>-3868</v>
          </cell>
          <cell r="BK499">
            <v>-4673</v>
          </cell>
          <cell r="BM499">
            <v>-9255</v>
          </cell>
          <cell r="BU499">
            <v>-1968</v>
          </cell>
          <cell r="BW499">
            <v>-19764</v>
          </cell>
          <cell r="BX499">
            <v>0</v>
          </cell>
          <cell r="BY499">
            <v>113761</v>
          </cell>
          <cell r="BZ499"/>
          <cell r="CI499">
            <v>-17086</v>
          </cell>
          <cell r="CO499">
            <v>-8999.44</v>
          </cell>
          <cell r="CS499">
            <v>-14791.73</v>
          </cell>
          <cell r="CY499">
            <v>-4447.3999999999996</v>
          </cell>
          <cell r="DA499">
            <v>-1044</v>
          </cell>
        </row>
        <row r="500">
          <cell r="F500" t="str">
            <v>10</v>
          </cell>
          <cell r="G500" t="str">
            <v>1</v>
          </cell>
          <cell r="H500" t="str">
            <v>1</v>
          </cell>
          <cell r="I500" t="str">
            <v>0</v>
          </cell>
          <cell r="J500" t="str">
            <v>0</v>
          </cell>
          <cell r="K500" t="str">
            <v>0</v>
          </cell>
          <cell r="L500" t="str">
            <v>1100</v>
          </cell>
          <cell r="M500" t="str">
            <v>X</v>
          </cell>
          <cell r="N500" t="str">
            <v>2690N/ATurnaround Network</v>
          </cell>
          <cell r="O500" t="str">
            <v>S010A170006</v>
          </cell>
          <cell r="P500" t="str">
            <v>5010</v>
          </cell>
          <cell r="Q500" t="str">
            <v>70*C</v>
          </cell>
          <cell r="R500"/>
          <cell r="S500"/>
          <cell r="T500">
            <v>56202</v>
          </cell>
          <cell r="AS500">
            <v>0</v>
          </cell>
          <cell r="AT500">
            <v>0</v>
          </cell>
          <cell r="AU500">
            <v>56202</v>
          </cell>
          <cell r="AV500" t="str">
            <v>S010A180006</v>
          </cell>
          <cell r="AW500"/>
          <cell r="AX500">
            <v>40000</v>
          </cell>
          <cell r="BG500">
            <v>-56202</v>
          </cell>
          <cell r="BW500">
            <v>-56202</v>
          </cell>
          <cell r="BX500">
            <v>0</v>
          </cell>
          <cell r="BY500">
            <v>40000</v>
          </cell>
          <cell r="BZ500"/>
          <cell r="CI500">
            <v>-40000</v>
          </cell>
        </row>
        <row r="501">
          <cell r="F501" t="str">
            <v>10</v>
          </cell>
          <cell r="G501" t="str">
            <v>1</v>
          </cell>
          <cell r="H501" t="str">
            <v>0</v>
          </cell>
          <cell r="I501" t="str">
            <v>0</v>
          </cell>
          <cell r="J501" t="str">
            <v>0</v>
          </cell>
          <cell r="K501" t="str">
            <v>0</v>
          </cell>
          <cell r="L501" t="str">
            <v>1000</v>
          </cell>
          <cell r="M501" t="str">
            <v>01</v>
          </cell>
          <cell r="N501" t="str">
            <v>31201384Turnaround Network</v>
          </cell>
          <cell r="O501" t="str">
            <v>S010A170006</v>
          </cell>
          <cell r="P501" t="str">
            <v>5010</v>
          </cell>
          <cell r="Q501" t="str">
            <v>70*C</v>
          </cell>
          <cell r="R501">
            <v>43229</v>
          </cell>
          <cell r="S501">
            <v>43229</v>
          </cell>
          <cell r="T501">
            <v>50000</v>
          </cell>
          <cell r="AS501">
            <v>0</v>
          </cell>
          <cell r="AT501">
            <v>0</v>
          </cell>
          <cell r="AU501">
            <v>50000</v>
          </cell>
          <cell r="AV501"/>
          <cell r="AW501"/>
          <cell r="BG501">
            <v>-26395</v>
          </cell>
          <cell r="BI501">
            <v>-10969</v>
          </cell>
          <cell r="BK501">
            <v>-1314</v>
          </cell>
          <cell r="BQ501">
            <v>-10732</v>
          </cell>
          <cell r="BS501">
            <v>-590</v>
          </cell>
          <cell r="BW501">
            <v>-50000</v>
          </cell>
          <cell r="BX501">
            <v>0</v>
          </cell>
          <cell r="BY501">
            <v>0</v>
          </cell>
          <cell r="BZ501"/>
        </row>
        <row r="502">
          <cell r="F502" t="str">
            <v>10</v>
          </cell>
          <cell r="G502" t="str">
            <v>1</v>
          </cell>
          <cell r="H502" t="str">
            <v>0</v>
          </cell>
          <cell r="I502" t="str">
            <v>0</v>
          </cell>
          <cell r="J502" t="str">
            <v>0</v>
          </cell>
          <cell r="K502" t="str">
            <v>0</v>
          </cell>
          <cell r="L502" t="str">
            <v>1000</v>
          </cell>
          <cell r="M502" t="str">
            <v>01</v>
          </cell>
          <cell r="N502" t="str">
            <v>31203162Turnaround Network</v>
          </cell>
          <cell r="O502" t="str">
            <v>S010A170006</v>
          </cell>
          <cell r="P502" t="str">
            <v>5010</v>
          </cell>
          <cell r="Q502" t="str">
            <v>70*C</v>
          </cell>
          <cell r="R502">
            <v>43229</v>
          </cell>
          <cell r="S502">
            <v>43229</v>
          </cell>
          <cell r="T502">
            <v>100000</v>
          </cell>
          <cell r="AS502">
            <v>0</v>
          </cell>
          <cell r="AT502">
            <v>0</v>
          </cell>
          <cell r="AU502">
            <v>100000</v>
          </cell>
          <cell r="AV502"/>
          <cell r="AW502"/>
          <cell r="BG502">
            <v>-9633</v>
          </cell>
          <cell r="BI502">
            <v>-2485</v>
          </cell>
          <cell r="BK502">
            <v>-2686</v>
          </cell>
          <cell r="BM502">
            <v>-549</v>
          </cell>
          <cell r="BQ502">
            <v>-3860</v>
          </cell>
          <cell r="BS502">
            <v>-3256.22</v>
          </cell>
          <cell r="BW502">
            <v>-22469.22</v>
          </cell>
          <cell r="BX502">
            <v>0</v>
          </cell>
          <cell r="BY502">
            <v>77530.78</v>
          </cell>
          <cell r="BZ502"/>
          <cell r="CH502">
            <v>-2097.8000000000002</v>
          </cell>
          <cell r="CI502">
            <v>-17224.150000000001</v>
          </cell>
          <cell r="CK502">
            <v>-58208.83</v>
          </cell>
        </row>
        <row r="503">
          <cell r="F503" t="str">
            <v>10</v>
          </cell>
          <cell r="G503" t="str">
            <v>1</v>
          </cell>
          <cell r="H503" t="str">
            <v>0</v>
          </cell>
          <cell r="I503" t="str">
            <v>0</v>
          </cell>
          <cell r="J503" t="str">
            <v>0</v>
          </cell>
          <cell r="K503" t="str">
            <v>0</v>
          </cell>
          <cell r="L503" t="str">
            <v>1000</v>
          </cell>
          <cell r="M503" t="str">
            <v>01</v>
          </cell>
          <cell r="N503" t="str">
            <v>31204438Turnaround Network</v>
          </cell>
          <cell r="O503" t="str">
            <v>S010A170006</v>
          </cell>
          <cell r="P503" t="str">
            <v>5010</v>
          </cell>
          <cell r="Q503" t="str">
            <v>70*C</v>
          </cell>
          <cell r="R503">
            <v>43229</v>
          </cell>
          <cell r="S503">
            <v>43229</v>
          </cell>
          <cell r="T503">
            <v>80000</v>
          </cell>
          <cell r="AQ503">
            <v>-39154</v>
          </cell>
          <cell r="AS503">
            <v>-39154</v>
          </cell>
          <cell r="AT503">
            <v>0</v>
          </cell>
          <cell r="AU503">
            <v>40846</v>
          </cell>
          <cell r="AV503"/>
          <cell r="AW503"/>
          <cell r="BC503">
            <v>-1717</v>
          </cell>
          <cell r="BG503">
            <v>-3269</v>
          </cell>
          <cell r="BI503">
            <v>-1436</v>
          </cell>
          <cell r="BK503">
            <v>-373</v>
          </cell>
          <cell r="BM503">
            <v>-6660</v>
          </cell>
          <cell r="BQ503">
            <v>-12448</v>
          </cell>
          <cell r="BS503">
            <v>-8294.19</v>
          </cell>
          <cell r="BW503">
            <v>-34197.19</v>
          </cell>
          <cell r="BX503">
            <v>0</v>
          </cell>
          <cell r="BY503">
            <v>6648.8099999999977</v>
          </cell>
          <cell r="BZ503"/>
          <cell r="CI503">
            <v>-5846.48</v>
          </cell>
          <cell r="CK503">
            <v>-802.19</v>
          </cell>
        </row>
        <row r="504">
          <cell r="F504" t="str">
            <v>10</v>
          </cell>
          <cell r="G504" t="str">
            <v>0</v>
          </cell>
          <cell r="H504" t="str">
            <v>1</v>
          </cell>
          <cell r="I504" t="str">
            <v>0</v>
          </cell>
          <cell r="J504" t="str">
            <v>0</v>
          </cell>
          <cell r="K504" t="str">
            <v>0</v>
          </cell>
          <cell r="L504" t="str">
            <v>0100</v>
          </cell>
          <cell r="M504" t="str">
            <v>02</v>
          </cell>
          <cell r="N504" t="str">
            <v>31205752Turnaround Network</v>
          </cell>
          <cell r="P504" t="str">
            <v>5010</v>
          </cell>
          <cell r="Q504" t="str">
            <v>70*C</v>
          </cell>
          <cell r="R504"/>
          <cell r="S504"/>
          <cell r="AS504">
            <v>0</v>
          </cell>
          <cell r="AT504">
            <v>0</v>
          </cell>
          <cell r="AU504">
            <v>0</v>
          </cell>
          <cell r="AV504" t="str">
            <v>S010A180006</v>
          </cell>
          <cell r="AW504"/>
          <cell r="AX504">
            <v>31061</v>
          </cell>
          <cell r="BQ504">
            <v>-6526</v>
          </cell>
          <cell r="BS504">
            <v>-4655.41</v>
          </cell>
          <cell r="BW504">
            <v>-11181.41</v>
          </cell>
          <cell r="BX504">
            <v>0</v>
          </cell>
          <cell r="BY504">
            <v>19879.59</v>
          </cell>
          <cell r="BZ504" t="str">
            <v>S010A190006</v>
          </cell>
          <cell r="CB504">
            <v>28939</v>
          </cell>
          <cell r="CH504">
            <v>-1850.81</v>
          </cell>
          <cell r="CI504">
            <v>-18028.78</v>
          </cell>
          <cell r="CO504">
            <v>-16765.82</v>
          </cell>
          <cell r="CU504">
            <v>-472</v>
          </cell>
        </row>
        <row r="505">
          <cell r="F505" t="str">
            <v>10</v>
          </cell>
          <cell r="G505" t="str">
            <v>1</v>
          </cell>
          <cell r="H505" t="str">
            <v>1</v>
          </cell>
          <cell r="I505" t="str">
            <v>0</v>
          </cell>
          <cell r="J505" t="str">
            <v>0</v>
          </cell>
          <cell r="K505" t="str">
            <v>0</v>
          </cell>
          <cell r="L505" t="str">
            <v>1100</v>
          </cell>
          <cell r="M505" t="str">
            <v>X</v>
          </cell>
          <cell r="N505" t="str">
            <v>31206774Turnaround Network</v>
          </cell>
          <cell r="O505" t="str">
            <v>S010A170006</v>
          </cell>
          <cell r="P505" t="str">
            <v>5010</v>
          </cell>
          <cell r="Q505" t="str">
            <v>70*C</v>
          </cell>
          <cell r="R505">
            <v>43229</v>
          </cell>
          <cell r="S505">
            <v>43229</v>
          </cell>
          <cell r="T505">
            <v>100000</v>
          </cell>
          <cell r="AS505">
            <v>0</v>
          </cell>
          <cell r="AT505">
            <v>0</v>
          </cell>
          <cell r="AU505">
            <v>100000</v>
          </cell>
          <cell r="AV505" t="str">
            <v>S010A180006</v>
          </cell>
          <cell r="AW505"/>
          <cell r="AX505">
            <v>30000</v>
          </cell>
          <cell r="BG505">
            <v>-44146</v>
          </cell>
          <cell r="BS505">
            <v>-16210.36</v>
          </cell>
          <cell r="BW505">
            <v>-60356.36</v>
          </cell>
          <cell r="BX505">
            <v>0</v>
          </cell>
          <cell r="BY505">
            <v>69643.64</v>
          </cell>
          <cell r="BZ505" t="str">
            <v>S010A190006</v>
          </cell>
          <cell r="CB505">
            <v>30000</v>
          </cell>
          <cell r="CI505">
            <v>-9389.25</v>
          </cell>
          <cell r="CK505">
            <v>-56326.16</v>
          </cell>
          <cell r="CO505">
            <v>-31281.78</v>
          </cell>
        </row>
        <row r="506">
          <cell r="F506" t="str">
            <v>10</v>
          </cell>
          <cell r="G506" t="str">
            <v>0</v>
          </cell>
          <cell r="H506" t="str">
            <v>1</v>
          </cell>
          <cell r="I506" t="str">
            <v>0</v>
          </cell>
          <cell r="J506" t="str">
            <v>0</v>
          </cell>
          <cell r="K506" t="str">
            <v>0</v>
          </cell>
          <cell r="L506" t="str">
            <v>0100</v>
          </cell>
          <cell r="M506" t="str">
            <v>02</v>
          </cell>
          <cell r="N506" t="str">
            <v>31207700Turnaround Network</v>
          </cell>
          <cell r="P506" t="str">
            <v>5010</v>
          </cell>
          <cell r="Q506" t="str">
            <v>70*C</v>
          </cell>
          <cell r="R506"/>
          <cell r="S506"/>
          <cell r="AS506">
            <v>0</v>
          </cell>
          <cell r="AT506">
            <v>0</v>
          </cell>
          <cell r="AU506">
            <v>0</v>
          </cell>
          <cell r="AV506" t="str">
            <v>S010A180006</v>
          </cell>
          <cell r="AW506"/>
          <cell r="AX506">
            <v>4527</v>
          </cell>
          <cell r="BW506">
            <v>0</v>
          </cell>
          <cell r="BX506">
            <v>0</v>
          </cell>
          <cell r="BY506">
            <v>4527</v>
          </cell>
          <cell r="BZ506" t="str">
            <v>S010A190006</v>
          </cell>
          <cell r="CB506">
            <v>55473</v>
          </cell>
          <cell r="CI506">
            <v>-4527</v>
          </cell>
          <cell r="CK506">
            <v>-10876.07</v>
          </cell>
          <cell r="CU506">
            <v>-5324.12</v>
          </cell>
        </row>
        <row r="507">
          <cell r="F507" t="str">
            <v>10</v>
          </cell>
          <cell r="G507" t="str">
            <v>1</v>
          </cell>
          <cell r="H507" t="str">
            <v>0</v>
          </cell>
          <cell r="I507" t="str">
            <v>0</v>
          </cell>
          <cell r="J507" t="str">
            <v>0</v>
          </cell>
          <cell r="K507" t="str">
            <v>0</v>
          </cell>
          <cell r="L507" t="str">
            <v>1000</v>
          </cell>
          <cell r="M507" t="str">
            <v>01</v>
          </cell>
          <cell r="N507" t="str">
            <v>3120N/ATurnaround Network</v>
          </cell>
          <cell r="O507" t="str">
            <v>S010A170006</v>
          </cell>
          <cell r="P507" t="str">
            <v>5010</v>
          </cell>
          <cell r="Q507" t="str">
            <v>70*C</v>
          </cell>
          <cell r="R507">
            <v>43229</v>
          </cell>
          <cell r="S507">
            <v>43229</v>
          </cell>
          <cell r="T507">
            <v>40000</v>
          </cell>
          <cell r="AS507">
            <v>0</v>
          </cell>
          <cell r="AT507">
            <v>0</v>
          </cell>
          <cell r="AU507">
            <v>40000</v>
          </cell>
          <cell r="AV507"/>
          <cell r="AW507"/>
          <cell r="BG507">
            <v>-16739</v>
          </cell>
          <cell r="BI507">
            <v>-2990</v>
          </cell>
          <cell r="BK507">
            <v>-3078</v>
          </cell>
          <cell r="BM507">
            <v>-3450</v>
          </cell>
          <cell r="BQ507">
            <v>-8815</v>
          </cell>
          <cell r="BS507">
            <v>-3300.85</v>
          </cell>
          <cell r="BW507">
            <v>-38372.85</v>
          </cell>
          <cell r="BX507">
            <v>0</v>
          </cell>
          <cell r="BY507">
            <v>1627.1500000000015</v>
          </cell>
          <cell r="BZ507" t="str">
            <v>S010A190006</v>
          </cell>
          <cell r="CB507">
            <v>70000</v>
          </cell>
          <cell r="CH507">
            <v>-1562.13</v>
          </cell>
          <cell r="CI507">
            <v>-65.02</v>
          </cell>
          <cell r="CU507">
            <v>-503.27</v>
          </cell>
          <cell r="DA507">
            <v>-27057.440000000002</v>
          </cell>
        </row>
        <row r="508">
          <cell r="F508" t="str">
            <v>10</v>
          </cell>
          <cell r="G508" t="str">
            <v>0</v>
          </cell>
          <cell r="H508" t="str">
            <v>0</v>
          </cell>
          <cell r="I508" t="str">
            <v>0</v>
          </cell>
          <cell r="J508" t="str">
            <v>0</v>
          </cell>
          <cell r="K508" t="str">
            <v>1</v>
          </cell>
          <cell r="L508" t="str">
            <v>0000</v>
          </cell>
          <cell r="M508" t="str">
            <v>X</v>
          </cell>
          <cell r="N508" t="str">
            <v>31207700Turnaround Network</v>
          </cell>
          <cell r="P508" t="str">
            <v>5012</v>
          </cell>
          <cell r="Q508" t="str">
            <v>70*C</v>
          </cell>
          <cell r="R508"/>
          <cell r="S508"/>
          <cell r="T508"/>
          <cell r="U508"/>
          <cell r="V508"/>
          <cell r="W508"/>
          <cell r="X508"/>
          <cell r="Y508"/>
          <cell r="Z508"/>
          <cell r="AA508"/>
          <cell r="AB508"/>
          <cell r="AC508"/>
          <cell r="AD508"/>
          <cell r="AE508"/>
          <cell r="AF508"/>
          <cell r="AG508"/>
          <cell r="AH508"/>
          <cell r="AI508"/>
          <cell r="AJ508"/>
          <cell r="AK508"/>
          <cell r="AL508"/>
          <cell r="AM508"/>
          <cell r="AN508"/>
          <cell r="AO508"/>
          <cell r="AP508"/>
          <cell r="AQ508"/>
          <cell r="AR508"/>
          <cell r="AS508"/>
          <cell r="AT508"/>
          <cell r="AU508"/>
          <cell r="AV508"/>
          <cell r="AW508"/>
          <cell r="AX508"/>
          <cell r="AY508"/>
          <cell r="AZ508"/>
          <cell r="BA508"/>
          <cell r="BB508"/>
          <cell r="BC508"/>
          <cell r="BD508"/>
          <cell r="BE508"/>
          <cell r="BF508"/>
          <cell r="BG508"/>
          <cell r="BH508"/>
          <cell r="BI508"/>
          <cell r="BJ508"/>
          <cell r="BK508"/>
          <cell r="BL508"/>
          <cell r="BM508"/>
          <cell r="BN508"/>
          <cell r="BO508"/>
          <cell r="BP508"/>
          <cell r="BQ508"/>
          <cell r="BR508"/>
          <cell r="BS508"/>
          <cell r="BT508"/>
          <cell r="BU508"/>
          <cell r="BV508"/>
          <cell r="BW508"/>
          <cell r="BX508"/>
          <cell r="BY508"/>
          <cell r="BZ508"/>
          <cell r="CA508"/>
          <cell r="CB508"/>
          <cell r="CC508"/>
          <cell r="CD508"/>
          <cell r="CE508"/>
          <cell r="CF508"/>
          <cell r="CG508"/>
          <cell r="CH508"/>
          <cell r="CI508"/>
          <cell r="CJ508"/>
          <cell r="CK508"/>
          <cell r="CL508"/>
          <cell r="CM508"/>
          <cell r="CN508"/>
          <cell r="CO508"/>
          <cell r="CP508"/>
          <cell r="CQ508"/>
          <cell r="CR508"/>
          <cell r="CS508"/>
          <cell r="CT508"/>
          <cell r="CU508"/>
          <cell r="CV508"/>
          <cell r="CW508"/>
          <cell r="CX508"/>
          <cell r="CY508"/>
          <cell r="CZ508"/>
          <cell r="DA508"/>
        </row>
        <row r="509">
          <cell r="F509" t="str">
            <v>10</v>
          </cell>
          <cell r="G509" t="str">
            <v>0</v>
          </cell>
          <cell r="H509" t="str">
            <v>0</v>
          </cell>
          <cell r="I509" t="str">
            <v>0</v>
          </cell>
          <cell r="J509" t="str">
            <v>0</v>
          </cell>
          <cell r="K509" t="str">
            <v>1</v>
          </cell>
          <cell r="L509" t="str">
            <v>0000</v>
          </cell>
          <cell r="M509" t="str">
            <v>X</v>
          </cell>
          <cell r="N509" t="str">
            <v>30008376Turnaround Network</v>
          </cell>
          <cell r="P509" t="str">
            <v>5011</v>
          </cell>
          <cell r="Q509" t="str">
            <v>70*C</v>
          </cell>
          <cell r="R509"/>
          <cell r="S509"/>
          <cell r="T509"/>
          <cell r="U509"/>
          <cell r="V509"/>
          <cell r="W509"/>
          <cell r="X509"/>
          <cell r="Y509"/>
          <cell r="Z509"/>
          <cell r="AA509"/>
          <cell r="AB509"/>
          <cell r="AC509"/>
          <cell r="AD509"/>
          <cell r="AE509"/>
          <cell r="AF509"/>
          <cell r="AG509"/>
          <cell r="AH509"/>
          <cell r="AI509"/>
          <cell r="AJ509"/>
          <cell r="AK509"/>
          <cell r="AL509"/>
          <cell r="AM509"/>
          <cell r="AN509"/>
          <cell r="AO509"/>
          <cell r="AP509"/>
          <cell r="AQ509"/>
          <cell r="AR509"/>
          <cell r="AS509"/>
          <cell r="AT509"/>
          <cell r="AU509"/>
          <cell r="AV509"/>
          <cell r="AW509"/>
          <cell r="AX509"/>
          <cell r="AY509"/>
          <cell r="AZ509"/>
          <cell r="BA509"/>
          <cell r="BB509"/>
          <cell r="BC509"/>
          <cell r="BD509"/>
          <cell r="BE509"/>
          <cell r="BF509"/>
          <cell r="BG509"/>
          <cell r="BH509"/>
          <cell r="BI509"/>
          <cell r="BJ509"/>
          <cell r="BK509"/>
          <cell r="BL509"/>
          <cell r="BM509"/>
          <cell r="BN509"/>
          <cell r="BO509"/>
          <cell r="BP509"/>
          <cell r="BQ509"/>
          <cell r="BR509"/>
          <cell r="BS509"/>
          <cell r="BT509"/>
          <cell r="BU509"/>
          <cell r="BV509"/>
          <cell r="BW509"/>
          <cell r="BX509"/>
          <cell r="BY509"/>
          <cell r="BZ509"/>
          <cell r="CA509"/>
          <cell r="CB509"/>
          <cell r="CC509"/>
          <cell r="CD509"/>
          <cell r="CE509"/>
          <cell r="CF509"/>
          <cell r="CG509"/>
          <cell r="CH509"/>
          <cell r="CI509"/>
          <cell r="CJ509"/>
          <cell r="CK509"/>
          <cell r="CL509"/>
          <cell r="CM509"/>
          <cell r="CN509"/>
          <cell r="CO509"/>
          <cell r="CP509"/>
          <cell r="CQ509"/>
          <cell r="CR509"/>
          <cell r="CS509"/>
          <cell r="CT509"/>
          <cell r="CU509"/>
          <cell r="CV509"/>
          <cell r="CW509"/>
          <cell r="CX509"/>
          <cell r="CY509"/>
          <cell r="CZ509"/>
          <cell r="DA509"/>
        </row>
        <row r="510">
          <cell r="F510"/>
          <cell r="G510"/>
          <cell r="H510"/>
          <cell r="I510"/>
          <cell r="J510"/>
          <cell r="K510"/>
          <cell r="L510"/>
          <cell r="M510"/>
          <cell r="N510"/>
          <cell r="R510"/>
          <cell r="S510"/>
          <cell r="AV510"/>
          <cell r="AW510"/>
          <cell r="BZ510"/>
          <cell r="CH510"/>
        </row>
        <row r="511">
          <cell r="F511"/>
          <cell r="G511"/>
          <cell r="H511"/>
          <cell r="I511"/>
          <cell r="J511"/>
          <cell r="K511"/>
          <cell r="L511"/>
          <cell r="M511"/>
          <cell r="N511"/>
          <cell r="R511"/>
          <cell r="S511"/>
          <cell r="AV511"/>
          <cell r="AW511"/>
          <cell r="BZ511"/>
          <cell r="CH511"/>
        </row>
        <row r="512">
          <cell r="F512"/>
          <cell r="G512"/>
          <cell r="H512"/>
          <cell r="I512"/>
          <cell r="J512"/>
          <cell r="K512"/>
          <cell r="L512"/>
          <cell r="M512"/>
          <cell r="N512"/>
          <cell r="R512"/>
          <cell r="S512"/>
          <cell r="AV512"/>
          <cell r="AW512"/>
          <cell r="BZ512"/>
          <cell r="CH512"/>
        </row>
        <row r="513">
          <cell r="F513"/>
          <cell r="G513"/>
          <cell r="H513"/>
          <cell r="I513"/>
          <cell r="J513"/>
          <cell r="K513"/>
          <cell r="L513"/>
          <cell r="M513"/>
          <cell r="N513"/>
          <cell r="R513"/>
          <cell r="S513"/>
          <cell r="AV513"/>
          <cell r="AW513"/>
          <cell r="BZ513"/>
          <cell r="CH513"/>
        </row>
        <row r="514">
          <cell r="F514"/>
          <cell r="G514"/>
          <cell r="H514"/>
          <cell r="I514"/>
          <cell r="J514"/>
          <cell r="K514"/>
          <cell r="L514"/>
          <cell r="M514"/>
          <cell r="N514"/>
          <cell r="R514"/>
          <cell r="S514"/>
          <cell r="AV514"/>
          <cell r="AW514"/>
          <cell r="BZ514"/>
          <cell r="CH514"/>
        </row>
        <row r="515">
          <cell r="Q515" t="str">
            <v>TNP Total</v>
          </cell>
          <cell r="R515"/>
          <cell r="S515"/>
          <cell r="T515">
            <v>2794501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-39154</v>
          </cell>
          <cell r="AR515">
            <v>0</v>
          </cell>
          <cell r="AS515">
            <v>-39154</v>
          </cell>
          <cell r="AT515">
            <v>0</v>
          </cell>
          <cell r="AU515">
            <v>2859535.41</v>
          </cell>
          <cell r="AV515"/>
          <cell r="AW515">
            <v>26485</v>
          </cell>
          <cell r="AX515">
            <v>667888</v>
          </cell>
          <cell r="AY515">
            <v>0</v>
          </cell>
          <cell r="AZ515">
            <v>0</v>
          </cell>
          <cell r="BA515">
            <v>-35822</v>
          </cell>
          <cell r="BB515">
            <v>0</v>
          </cell>
          <cell r="BC515">
            <v>-74434</v>
          </cell>
          <cell r="BD515">
            <v>0</v>
          </cell>
          <cell r="BE515">
            <v>-277309</v>
          </cell>
          <cell r="BF515">
            <v>0</v>
          </cell>
          <cell r="BG515">
            <v>-393858</v>
          </cell>
          <cell r="BH515">
            <v>0</v>
          </cell>
          <cell r="BI515">
            <v>-111658</v>
          </cell>
          <cell r="BJ515">
            <v>0</v>
          </cell>
          <cell r="BK515">
            <v>-59853</v>
          </cell>
          <cell r="BL515">
            <v>0</v>
          </cell>
          <cell r="BM515">
            <v>-253552</v>
          </cell>
          <cell r="BN515">
            <v>0</v>
          </cell>
          <cell r="BO515">
            <v>-90639</v>
          </cell>
          <cell r="BP515">
            <v>0</v>
          </cell>
          <cell r="BQ515">
            <v>-155760</v>
          </cell>
          <cell r="BR515">
            <v>0</v>
          </cell>
          <cell r="BS515">
            <v>-98298.030000000013</v>
          </cell>
          <cell r="BT515">
            <v>0</v>
          </cell>
          <cell r="BU515">
            <v>-142356</v>
          </cell>
          <cell r="BV515">
            <v>0</v>
          </cell>
          <cell r="BW515">
            <v>-1693539.03</v>
          </cell>
          <cell r="BX515">
            <v>0</v>
          </cell>
          <cell r="BY515">
            <v>1860369.3800000001</v>
          </cell>
          <cell r="BZ515"/>
          <cell r="CA515">
            <v>285000</v>
          </cell>
          <cell r="CB515">
            <v>554685</v>
          </cell>
          <cell r="CC515"/>
          <cell r="CD515">
            <v>64352.455799999996</v>
          </cell>
          <cell r="CE515">
            <v>-77199.58</v>
          </cell>
          <cell r="CF515">
            <v>0</v>
          </cell>
          <cell r="CG515">
            <v>0</v>
          </cell>
          <cell r="CH515">
            <v>-141471.02999999997</v>
          </cell>
          <cell r="CI515">
            <v>-300929.15000000002</v>
          </cell>
          <cell r="CJ515">
            <v>0</v>
          </cell>
          <cell r="CK515">
            <v>-343077.71</v>
          </cell>
          <cell r="CL515">
            <v>0</v>
          </cell>
          <cell r="CM515">
            <v>0</v>
          </cell>
          <cell r="CN515">
            <v>0</v>
          </cell>
          <cell r="CO515">
            <v>-335988.96000000008</v>
          </cell>
          <cell r="CP515">
            <v>0</v>
          </cell>
          <cell r="CQ515">
            <v>-98505.59</v>
          </cell>
          <cell r="CR515">
            <v>0</v>
          </cell>
          <cell r="CS515">
            <v>-51994.630000000005</v>
          </cell>
          <cell r="CT515">
            <v>0</v>
          </cell>
          <cell r="CU515">
            <v>-64324.15</v>
          </cell>
          <cell r="CV515">
            <v>0</v>
          </cell>
          <cell r="CW515">
            <v>-74796.03</v>
          </cell>
          <cell r="CX515">
            <v>0</v>
          </cell>
          <cell r="CY515">
            <v>-30628.239999999998</v>
          </cell>
          <cell r="CZ515">
            <v>0</v>
          </cell>
          <cell r="DA515">
            <v>-71187.820000000007</v>
          </cell>
        </row>
        <row r="516">
          <cell r="Q516"/>
          <cell r="R516"/>
          <cell r="S516"/>
          <cell r="AW516"/>
        </row>
        <row r="517">
          <cell r="AV517"/>
          <cell r="AW517"/>
          <cell r="BZ517"/>
        </row>
        <row r="518">
          <cell r="Q518" t="str">
            <v>Grand Total</v>
          </cell>
          <cell r="T518">
            <v>6288047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-130038</v>
          </cell>
          <cell r="AN518">
            <v>0</v>
          </cell>
          <cell r="AO518">
            <v>-89800</v>
          </cell>
          <cell r="AP518">
            <v>0</v>
          </cell>
          <cell r="AQ518">
            <v>-122380</v>
          </cell>
          <cell r="AR518">
            <v>0</v>
          </cell>
          <cell r="AS518">
            <v>-342218</v>
          </cell>
          <cell r="AT518">
            <v>0</v>
          </cell>
          <cell r="AU518">
            <v>6050017.4100000001</v>
          </cell>
          <cell r="AV518">
            <v>0</v>
          </cell>
          <cell r="AW518">
            <v>3730196</v>
          </cell>
          <cell r="AX518">
            <v>7661323.6270000003</v>
          </cell>
          <cell r="AY518">
            <v>-103416</v>
          </cell>
          <cell r="AZ518">
            <v>0</v>
          </cell>
          <cell r="BA518">
            <v>-196010</v>
          </cell>
          <cell r="BB518">
            <v>0</v>
          </cell>
          <cell r="BC518">
            <v>-228545</v>
          </cell>
          <cell r="BD518">
            <v>0</v>
          </cell>
          <cell r="BE518">
            <v>-633693</v>
          </cell>
          <cell r="BF518">
            <v>0</v>
          </cell>
          <cell r="BG518">
            <v>-638215</v>
          </cell>
          <cell r="BH518">
            <v>0</v>
          </cell>
          <cell r="BI518">
            <v>-348436</v>
          </cell>
          <cell r="BJ518">
            <v>0</v>
          </cell>
          <cell r="BK518">
            <v>-472948</v>
          </cell>
          <cell r="BL518">
            <v>0</v>
          </cell>
          <cell r="BM518">
            <v>-561805</v>
          </cell>
          <cell r="BN518">
            <v>0</v>
          </cell>
          <cell r="BO518">
            <v>-335935</v>
          </cell>
          <cell r="BP518">
            <v>0</v>
          </cell>
          <cell r="BQ518">
            <v>-1028850</v>
          </cell>
          <cell r="BR518">
            <v>0</v>
          </cell>
          <cell r="BS518">
            <v>-530100.67000000004</v>
          </cell>
          <cell r="BT518">
            <v>0</v>
          </cell>
          <cell r="BU518">
            <v>-822982.53999999992</v>
          </cell>
          <cell r="BV518">
            <v>0</v>
          </cell>
          <cell r="BW518">
            <v>-5900936.21</v>
          </cell>
          <cell r="BX518">
            <v>0</v>
          </cell>
          <cell r="BY518">
            <v>11540600.827000001</v>
          </cell>
          <cell r="BZ518">
            <v>0</v>
          </cell>
          <cell r="CA518">
            <v>3057637</v>
          </cell>
          <cell r="CB518">
            <v>7214614</v>
          </cell>
          <cell r="CC518">
            <v>0</v>
          </cell>
          <cell r="CD518">
            <v>1342923.8993804301</v>
          </cell>
          <cell r="CE518">
            <v>-740250.39</v>
          </cell>
          <cell r="CF518">
            <v>0</v>
          </cell>
          <cell r="CG518">
            <v>-203157.40000000002</v>
          </cell>
          <cell r="CH518">
            <v>-295930.08</v>
          </cell>
          <cell r="CI518">
            <v>-581187.32000000007</v>
          </cell>
          <cell r="CJ518">
            <v>0</v>
          </cell>
          <cell r="CK518">
            <v>-1012910.57</v>
          </cell>
          <cell r="CL518">
            <v>0</v>
          </cell>
          <cell r="CM518">
            <v>-1093598.8699999999</v>
          </cell>
          <cell r="CN518">
            <v>0</v>
          </cell>
          <cell r="CO518">
            <v>-602427.98</v>
          </cell>
          <cell r="CP518">
            <v>0</v>
          </cell>
          <cell r="CQ518">
            <v>-951224.62</v>
          </cell>
          <cell r="CR518">
            <v>0</v>
          </cell>
          <cell r="CS518">
            <v>-440830.28</v>
          </cell>
          <cell r="CT518">
            <v>0</v>
          </cell>
          <cell r="CU518">
            <v>-949436.14000000013</v>
          </cell>
          <cell r="CV518">
            <v>0</v>
          </cell>
          <cell r="CW518">
            <v>-1289829.4300000002</v>
          </cell>
          <cell r="CX518">
            <v>0</v>
          </cell>
          <cell r="CY518">
            <v>-428075.19</v>
          </cell>
          <cell r="CZ518">
            <v>0</v>
          </cell>
          <cell r="DA518">
            <v>-734918.96000000008</v>
          </cell>
        </row>
        <row r="519">
          <cell r="AW519"/>
        </row>
        <row r="520">
          <cell r="AW520"/>
        </row>
        <row r="521">
          <cell r="O521"/>
          <cell r="P521"/>
          <cell r="Q521"/>
          <cell r="R521"/>
          <cell r="S521"/>
          <cell r="T521"/>
          <cell r="U521" t="str">
            <v>708C</v>
          </cell>
          <cell r="V521" t="str">
            <v>709C</v>
          </cell>
          <cell r="W521" t="str">
            <v>708C</v>
          </cell>
          <cell r="X521" t="str">
            <v>709C</v>
          </cell>
          <cell r="Y521" t="str">
            <v>708C</v>
          </cell>
          <cell r="Z521" t="str">
            <v>709C</v>
          </cell>
          <cell r="AA521" t="str">
            <v>708C</v>
          </cell>
          <cell r="AB521" t="str">
            <v>709C</v>
          </cell>
          <cell r="AC521" t="str">
            <v>708C</v>
          </cell>
          <cell r="AD521" t="str">
            <v>709C</v>
          </cell>
          <cell r="AE521" t="str">
            <v>708C</v>
          </cell>
          <cell r="AF521" t="str">
            <v>709C</v>
          </cell>
          <cell r="AG521" t="str">
            <v>708C</v>
          </cell>
          <cell r="AH521" t="str">
            <v>709C</v>
          </cell>
          <cell r="AI521" t="str">
            <v>708C</v>
          </cell>
          <cell r="AJ521" t="str">
            <v>709C</v>
          </cell>
          <cell r="AK521" t="str">
            <v>708C</v>
          </cell>
          <cell r="AL521" t="str">
            <v>709C</v>
          </cell>
          <cell r="AM521" t="str">
            <v>708C</v>
          </cell>
          <cell r="AN521" t="str">
            <v>709C</v>
          </cell>
          <cell r="AO521" t="str">
            <v>708C</v>
          </cell>
          <cell r="AP521" t="str">
            <v>709C</v>
          </cell>
          <cell r="AQ521" t="str">
            <v>708C</v>
          </cell>
          <cell r="AR521" t="str">
            <v>709C</v>
          </cell>
          <cell r="AS521"/>
          <cell r="AT521"/>
          <cell r="AU521"/>
          <cell r="AV521"/>
          <cell r="AW521"/>
          <cell r="AX521"/>
          <cell r="AY521" t="str">
            <v>708C</v>
          </cell>
          <cell r="AZ521" t="str">
            <v>709C</v>
          </cell>
          <cell r="BA521" t="str">
            <v>708C</v>
          </cell>
          <cell r="BB521" t="str">
            <v>709C</v>
          </cell>
          <cell r="BC521" t="str">
            <v>708C</v>
          </cell>
          <cell r="BD521" t="str">
            <v>709C</v>
          </cell>
          <cell r="BE521" t="str">
            <v>708C</v>
          </cell>
          <cell r="BF521" t="str">
            <v>709C</v>
          </cell>
          <cell r="BG521" t="str">
            <v>708C</v>
          </cell>
          <cell r="BH521" t="str">
            <v>709C</v>
          </cell>
          <cell r="BI521" t="str">
            <v>708C</v>
          </cell>
          <cell r="BJ521" t="str">
            <v>709C</v>
          </cell>
          <cell r="BK521" t="str">
            <v>708C</v>
          </cell>
          <cell r="BL521" t="str">
            <v>709C</v>
          </cell>
          <cell r="BM521" t="str">
            <v>708C</v>
          </cell>
          <cell r="BN521" t="str">
            <v>709C</v>
          </cell>
          <cell r="BO521" t="str">
            <v>708C</v>
          </cell>
          <cell r="BP521" t="str">
            <v>709C</v>
          </cell>
          <cell r="BQ521" t="str">
            <v>708C</v>
          </cell>
          <cell r="BR521" t="str">
            <v>709C</v>
          </cell>
          <cell r="BS521" t="str">
            <v>708C</v>
          </cell>
          <cell r="BT521" t="str">
            <v>709C</v>
          </cell>
          <cell r="BU521" t="str">
            <v>708C</v>
          </cell>
          <cell r="BV521" t="str">
            <v>709C</v>
          </cell>
          <cell r="BW521"/>
          <cell r="BX521"/>
          <cell r="BY521"/>
          <cell r="BZ521"/>
          <cell r="CA521"/>
          <cell r="CB521"/>
          <cell r="CC521"/>
          <cell r="CD521"/>
          <cell r="CE521" t="str">
            <v>708C</v>
          </cell>
          <cell r="CF521" t="str">
            <v>709C</v>
          </cell>
          <cell r="CG521" t="str">
            <v>708C</v>
          </cell>
          <cell r="CH521" t="str">
            <v>709C</v>
          </cell>
          <cell r="CI521" t="str">
            <v>709C</v>
          </cell>
          <cell r="CJ521" t="str">
            <v>710C</v>
          </cell>
          <cell r="CK521" t="str">
            <v>709C</v>
          </cell>
          <cell r="CL521" t="str">
            <v>710C</v>
          </cell>
          <cell r="CM521" t="str">
            <v>709C</v>
          </cell>
          <cell r="CN521" t="str">
            <v>710C</v>
          </cell>
          <cell r="CO521" t="str">
            <v>709C</v>
          </cell>
          <cell r="CP521" t="str">
            <v>710C</v>
          </cell>
          <cell r="CQ521" t="str">
            <v>709C</v>
          </cell>
          <cell r="CR521" t="str">
            <v>710C</v>
          </cell>
          <cell r="CS521" t="str">
            <v>709C</v>
          </cell>
          <cell r="CT521" t="str">
            <v>710C</v>
          </cell>
          <cell r="CU521" t="str">
            <v>709C</v>
          </cell>
          <cell r="CV521" t="str">
            <v>710C</v>
          </cell>
          <cell r="CW521" t="str">
            <v>709C</v>
          </cell>
          <cell r="CX521" t="str">
            <v>710C</v>
          </cell>
          <cell r="CY521" t="str">
            <v>709C</v>
          </cell>
          <cell r="CZ521" t="str">
            <v>710C</v>
          </cell>
          <cell r="DA521" t="str">
            <v>709C</v>
          </cell>
        </row>
        <row r="522">
          <cell r="O522" t="str">
            <v>Accountability Pathways 17-18</v>
          </cell>
          <cell r="P522"/>
          <cell r="Q522"/>
          <cell r="R522"/>
          <cell r="S522"/>
          <cell r="T522">
            <v>52050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52050</v>
          </cell>
          <cell r="AV522"/>
          <cell r="AW522">
            <v>0</v>
          </cell>
          <cell r="AX522">
            <v>0</v>
          </cell>
          <cell r="AY522">
            <v>-20307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-839</v>
          </cell>
          <cell r="BH522">
            <v>0</v>
          </cell>
          <cell r="BI522">
            <v>-754</v>
          </cell>
          <cell r="BJ522">
            <v>0</v>
          </cell>
          <cell r="BK522">
            <v>-610</v>
          </cell>
          <cell r="BL522">
            <v>0</v>
          </cell>
          <cell r="BM522">
            <v>-112</v>
          </cell>
          <cell r="BN522">
            <v>0</v>
          </cell>
          <cell r="BO522">
            <v>0</v>
          </cell>
          <cell r="BP522">
            <v>0</v>
          </cell>
          <cell r="BQ522">
            <v>-9286</v>
          </cell>
          <cell r="BR522">
            <v>0</v>
          </cell>
          <cell r="BS522">
            <v>-7665.57</v>
          </cell>
          <cell r="BT522">
            <v>0</v>
          </cell>
          <cell r="BU522">
            <v>-89.69</v>
          </cell>
          <cell r="BV522">
            <v>0</v>
          </cell>
          <cell r="BW522">
            <v>-39663.259999999995</v>
          </cell>
          <cell r="BX522">
            <v>0</v>
          </cell>
          <cell r="BY522">
            <v>12386.740000000002</v>
          </cell>
          <cell r="BZ522"/>
          <cell r="CA522">
            <v>0</v>
          </cell>
          <cell r="CB522">
            <v>0</v>
          </cell>
          <cell r="CC522"/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-10643.74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</row>
        <row r="523">
          <cell r="O523" t="str">
            <v>Accountability Pathways 18-19</v>
          </cell>
          <cell r="P523"/>
          <cell r="Q523"/>
          <cell r="R523"/>
          <cell r="S523"/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/>
          <cell r="AW523">
            <v>0</v>
          </cell>
          <cell r="AX523">
            <v>80000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0</v>
          </cell>
          <cell r="BQ523">
            <v>0</v>
          </cell>
          <cell r="BR523">
            <v>0</v>
          </cell>
          <cell r="BS523">
            <v>0</v>
          </cell>
          <cell r="BT523">
            <v>0</v>
          </cell>
          <cell r="BU523">
            <v>0</v>
          </cell>
          <cell r="BV523">
            <v>0</v>
          </cell>
          <cell r="BW523">
            <v>0</v>
          </cell>
          <cell r="BX523">
            <v>0</v>
          </cell>
          <cell r="BY523">
            <v>80000</v>
          </cell>
          <cell r="BZ523"/>
          <cell r="CA523">
            <v>0</v>
          </cell>
          <cell r="CB523">
            <v>0</v>
          </cell>
          <cell r="CC523"/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-33979.33</v>
          </cell>
          <cell r="CJ523">
            <v>0</v>
          </cell>
          <cell r="CK523">
            <v>0</v>
          </cell>
          <cell r="CL523">
            <v>0</v>
          </cell>
          <cell r="CM523">
            <v>-46020.67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</row>
        <row r="524">
          <cell r="O524" t="str">
            <v>Accountability Pathways 19-20</v>
          </cell>
          <cell r="P524"/>
          <cell r="Q524"/>
          <cell r="R524"/>
          <cell r="S524"/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/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0</v>
          </cell>
          <cell r="BQ524">
            <v>0</v>
          </cell>
          <cell r="BR524">
            <v>0</v>
          </cell>
          <cell r="BS524">
            <v>0</v>
          </cell>
          <cell r="BT524">
            <v>0</v>
          </cell>
          <cell r="BU524">
            <v>0</v>
          </cell>
          <cell r="BV524">
            <v>0</v>
          </cell>
          <cell r="BW524">
            <v>0</v>
          </cell>
          <cell r="BX524">
            <v>0</v>
          </cell>
          <cell r="BY524">
            <v>0</v>
          </cell>
          <cell r="BZ524"/>
          <cell r="CA524">
            <v>0</v>
          </cell>
          <cell r="CB524">
            <v>0</v>
          </cell>
          <cell r="CC524"/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</row>
        <row r="525">
          <cell r="O525" t="str">
            <v>AEC Pilot</v>
          </cell>
          <cell r="P525"/>
          <cell r="Q525"/>
          <cell r="R525"/>
          <cell r="S525"/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/>
          <cell r="AW525">
            <v>0</v>
          </cell>
          <cell r="AX525">
            <v>39198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0</v>
          </cell>
          <cell r="BQ525">
            <v>0</v>
          </cell>
          <cell r="BR525">
            <v>0</v>
          </cell>
          <cell r="BS525">
            <v>0</v>
          </cell>
          <cell r="BT525">
            <v>0</v>
          </cell>
          <cell r="BU525">
            <v>0</v>
          </cell>
          <cell r="BV525">
            <v>0</v>
          </cell>
          <cell r="BW525">
            <v>0</v>
          </cell>
          <cell r="BX525">
            <v>0</v>
          </cell>
          <cell r="BY525">
            <v>39198</v>
          </cell>
          <cell r="BZ525"/>
          <cell r="CA525">
            <v>0</v>
          </cell>
          <cell r="CB525">
            <v>184152</v>
          </cell>
          <cell r="CC525"/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-9901.89</v>
          </cell>
          <cell r="CJ525">
            <v>0</v>
          </cell>
          <cell r="CK525">
            <v>-314.57</v>
          </cell>
          <cell r="CL525">
            <v>0</v>
          </cell>
          <cell r="CM525">
            <v>0</v>
          </cell>
          <cell r="CN525">
            <v>0</v>
          </cell>
          <cell r="CO525">
            <v>-185.57</v>
          </cell>
          <cell r="CP525">
            <v>0</v>
          </cell>
          <cell r="CQ525">
            <v>0</v>
          </cell>
          <cell r="CR525">
            <v>0</v>
          </cell>
          <cell r="CS525">
            <v>-7111.53</v>
          </cell>
          <cell r="CT525">
            <v>0</v>
          </cell>
          <cell r="CU525">
            <v>-4450</v>
          </cell>
          <cell r="CV525">
            <v>0</v>
          </cell>
          <cell r="CW525">
            <v>-4583.75</v>
          </cell>
          <cell r="CX525">
            <v>0</v>
          </cell>
          <cell r="CY525">
            <v>0</v>
          </cell>
          <cell r="CZ525">
            <v>0</v>
          </cell>
          <cell r="DA525">
            <v>-19942.150000000001</v>
          </cell>
        </row>
        <row r="526">
          <cell r="O526" t="str">
            <v>Connect For Success 16-19</v>
          </cell>
          <cell r="P526"/>
          <cell r="Q526"/>
          <cell r="R526"/>
          <cell r="S526"/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/>
          <cell r="AW526">
            <v>0</v>
          </cell>
          <cell r="AX526">
            <v>758831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-5428</v>
          </cell>
          <cell r="BJ526">
            <v>0</v>
          </cell>
          <cell r="BK526">
            <v>-153497</v>
          </cell>
          <cell r="BL526">
            <v>0</v>
          </cell>
          <cell r="BM526">
            <v>-7041</v>
          </cell>
          <cell r="BN526">
            <v>0</v>
          </cell>
          <cell r="BO526">
            <v>-49774</v>
          </cell>
          <cell r="BP526">
            <v>0</v>
          </cell>
          <cell r="BQ526">
            <v>-186412</v>
          </cell>
          <cell r="BR526">
            <v>0</v>
          </cell>
          <cell r="BS526">
            <v>-10667</v>
          </cell>
          <cell r="BT526">
            <v>0</v>
          </cell>
          <cell r="BU526">
            <v>-13496</v>
          </cell>
          <cell r="BV526">
            <v>0</v>
          </cell>
          <cell r="BW526">
            <v>-426315</v>
          </cell>
          <cell r="BX526">
            <v>0</v>
          </cell>
          <cell r="BY526">
            <v>332516</v>
          </cell>
          <cell r="BZ526"/>
          <cell r="CA526">
            <v>0</v>
          </cell>
          <cell r="CB526">
            <v>0</v>
          </cell>
          <cell r="CC526"/>
          <cell r="CD526">
            <v>0</v>
          </cell>
          <cell r="CE526">
            <v>-47906</v>
          </cell>
          <cell r="CF526">
            <v>0</v>
          </cell>
          <cell r="CG526">
            <v>0</v>
          </cell>
          <cell r="CH526">
            <v>0</v>
          </cell>
          <cell r="CI526">
            <v>0</v>
          </cell>
          <cell r="CJ526">
            <v>0</v>
          </cell>
          <cell r="CK526">
            <v>0</v>
          </cell>
          <cell r="CL526">
            <v>0</v>
          </cell>
          <cell r="CM526">
            <v>-868.22</v>
          </cell>
          <cell r="CN526">
            <v>0</v>
          </cell>
          <cell r="CO526">
            <v>-1043.25</v>
          </cell>
          <cell r="CP526">
            <v>0</v>
          </cell>
          <cell r="CQ526">
            <v>-3769.43</v>
          </cell>
          <cell r="CR526">
            <v>0</v>
          </cell>
          <cell r="CS526">
            <v>-58258.59</v>
          </cell>
          <cell r="CT526">
            <v>0</v>
          </cell>
          <cell r="CU526">
            <v>-10787.18</v>
          </cell>
          <cell r="CV526">
            <v>0</v>
          </cell>
          <cell r="CW526">
            <v>-10952.81</v>
          </cell>
          <cell r="CX526">
            <v>0</v>
          </cell>
          <cell r="CY526">
            <v>-295</v>
          </cell>
          <cell r="CZ526">
            <v>0</v>
          </cell>
          <cell r="DA526">
            <v>-4841.05</v>
          </cell>
        </row>
        <row r="527">
          <cell r="O527" t="str">
            <v>Connect For Success 17-20</v>
          </cell>
          <cell r="P527"/>
          <cell r="Q527"/>
          <cell r="R527"/>
          <cell r="S527"/>
          <cell r="T527">
            <v>263031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-2774</v>
          </cell>
          <cell r="AP527">
            <v>0</v>
          </cell>
          <cell r="AQ527">
            <v>0</v>
          </cell>
          <cell r="AR527">
            <v>0</v>
          </cell>
          <cell r="AS527">
            <v>-2774</v>
          </cell>
          <cell r="AT527">
            <v>0</v>
          </cell>
          <cell r="AU527">
            <v>260257</v>
          </cell>
          <cell r="AV527"/>
          <cell r="AW527">
            <v>1036560</v>
          </cell>
          <cell r="AX527">
            <v>0</v>
          </cell>
          <cell r="AY527">
            <v>0</v>
          </cell>
          <cell r="AZ527">
            <v>0</v>
          </cell>
          <cell r="BA527">
            <v>-35604</v>
          </cell>
          <cell r="BB527">
            <v>0</v>
          </cell>
          <cell r="BC527">
            <v>-4143</v>
          </cell>
          <cell r="BD527">
            <v>0</v>
          </cell>
          <cell r="BE527">
            <v>-17646</v>
          </cell>
          <cell r="BF527">
            <v>0</v>
          </cell>
          <cell r="BG527">
            <v>-50136</v>
          </cell>
          <cell r="BH527">
            <v>0</v>
          </cell>
          <cell r="BI527">
            <v>-130244</v>
          </cell>
          <cell r="BJ527">
            <v>0</v>
          </cell>
          <cell r="BK527">
            <v>-40247</v>
          </cell>
          <cell r="BL527">
            <v>0</v>
          </cell>
          <cell r="BM527">
            <v>-73256</v>
          </cell>
          <cell r="BN527">
            <v>0</v>
          </cell>
          <cell r="BO527">
            <v>-7522</v>
          </cell>
          <cell r="BP527">
            <v>0</v>
          </cell>
          <cell r="BQ527">
            <v>-212649</v>
          </cell>
          <cell r="BR527">
            <v>0</v>
          </cell>
          <cell r="BS527">
            <v>-18429</v>
          </cell>
          <cell r="BT527">
            <v>0</v>
          </cell>
          <cell r="BU527">
            <v>-59275</v>
          </cell>
          <cell r="BV527">
            <v>0</v>
          </cell>
          <cell r="BW527">
            <v>-649151</v>
          </cell>
          <cell r="BX527">
            <v>0</v>
          </cell>
          <cell r="BY527">
            <v>647666</v>
          </cell>
          <cell r="BZ527"/>
          <cell r="CA527">
            <v>880000</v>
          </cell>
          <cell r="CB527">
            <v>0</v>
          </cell>
          <cell r="CC527"/>
          <cell r="CD527">
            <v>0</v>
          </cell>
          <cell r="CE527">
            <v>-157880.64000000001</v>
          </cell>
          <cell r="CF527">
            <v>0</v>
          </cell>
          <cell r="CG527">
            <v>-131966.20000000001</v>
          </cell>
          <cell r="CH527">
            <v>0</v>
          </cell>
          <cell r="CI527">
            <v>-24370.940000000002</v>
          </cell>
          <cell r="CJ527">
            <v>0</v>
          </cell>
          <cell r="CK527">
            <v>-133775.56</v>
          </cell>
          <cell r="CL527">
            <v>0</v>
          </cell>
          <cell r="CM527">
            <v>-182024.72</v>
          </cell>
          <cell r="CN527">
            <v>0</v>
          </cell>
          <cell r="CO527">
            <v>-11540.099999999999</v>
          </cell>
          <cell r="CP527">
            <v>0</v>
          </cell>
          <cell r="CQ527">
            <v>-55678.93</v>
          </cell>
          <cell r="CR527">
            <v>0</v>
          </cell>
          <cell r="CS527">
            <v>-134926.41</v>
          </cell>
          <cell r="CT527">
            <v>0</v>
          </cell>
          <cell r="CU527">
            <v>-131252.75</v>
          </cell>
          <cell r="CV527">
            <v>0</v>
          </cell>
          <cell r="CW527">
            <v>-11859.68</v>
          </cell>
          <cell r="CX527">
            <v>0</v>
          </cell>
          <cell r="CY527">
            <v>-5929.84</v>
          </cell>
          <cell r="CZ527">
            <v>0</v>
          </cell>
          <cell r="DA527">
            <v>-24557.360000000001</v>
          </cell>
        </row>
        <row r="528">
          <cell r="O528" t="str">
            <v>Connect For Success 18-21</v>
          </cell>
          <cell r="P528"/>
          <cell r="Q528"/>
          <cell r="R528"/>
          <cell r="S528"/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/>
          <cell r="AW528">
            <v>0</v>
          </cell>
          <cell r="AX528">
            <v>147729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0</v>
          </cell>
          <cell r="BQ528">
            <v>0</v>
          </cell>
          <cell r="BR528">
            <v>0</v>
          </cell>
          <cell r="BS528">
            <v>0</v>
          </cell>
          <cell r="BT528">
            <v>0</v>
          </cell>
          <cell r="BU528">
            <v>0</v>
          </cell>
          <cell r="BV528">
            <v>0</v>
          </cell>
          <cell r="BW528">
            <v>0</v>
          </cell>
          <cell r="BX528">
            <v>0</v>
          </cell>
          <cell r="BY528">
            <v>147729</v>
          </cell>
          <cell r="BZ528"/>
          <cell r="CA528">
            <v>0</v>
          </cell>
          <cell r="CB528">
            <v>636951</v>
          </cell>
          <cell r="CC528"/>
          <cell r="CD528">
            <v>0</v>
          </cell>
          <cell r="CE528">
            <v>-5009</v>
          </cell>
          <cell r="CF528">
            <v>0</v>
          </cell>
          <cell r="CG528">
            <v>-18717.919999999998</v>
          </cell>
          <cell r="CH528">
            <v>-17189.080000000002</v>
          </cell>
          <cell r="CI528">
            <v>-4662.6499999999996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-33745</v>
          </cell>
          <cell r="CV528">
            <v>0</v>
          </cell>
          <cell r="CW528">
            <v>-7572</v>
          </cell>
          <cell r="CX528">
            <v>0</v>
          </cell>
          <cell r="CY528">
            <v>-130843</v>
          </cell>
          <cell r="CZ528">
            <v>0</v>
          </cell>
          <cell r="DA528">
            <v>-15730</v>
          </cell>
        </row>
        <row r="529">
          <cell r="O529" t="str">
            <v>Connect For Success 19-22</v>
          </cell>
          <cell r="P529"/>
          <cell r="Q529"/>
          <cell r="R529"/>
          <cell r="S529"/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/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J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  <cell r="BO529">
            <v>0</v>
          </cell>
          <cell r="BP529">
            <v>0</v>
          </cell>
          <cell r="BQ529">
            <v>0</v>
          </cell>
          <cell r="BR529">
            <v>0</v>
          </cell>
          <cell r="BS529">
            <v>0</v>
          </cell>
          <cell r="BT529">
            <v>0</v>
          </cell>
          <cell r="BU529">
            <v>0</v>
          </cell>
          <cell r="BV529">
            <v>0</v>
          </cell>
          <cell r="BW529">
            <v>0</v>
          </cell>
          <cell r="BX529">
            <v>0</v>
          </cell>
          <cell r="BY529">
            <v>0</v>
          </cell>
          <cell r="BZ529"/>
          <cell r="CA529">
            <v>0</v>
          </cell>
          <cell r="CB529">
            <v>0</v>
          </cell>
          <cell r="CC529"/>
          <cell r="CD529">
            <v>105264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</row>
        <row r="530">
          <cell r="O530" t="str">
            <v>Connect For Success 20-23</v>
          </cell>
          <cell r="P530"/>
          <cell r="Q530"/>
          <cell r="R530"/>
          <cell r="S530"/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/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I530">
            <v>0</v>
          </cell>
          <cell r="BJ530">
            <v>0</v>
          </cell>
          <cell r="BK530">
            <v>0</v>
          </cell>
          <cell r="BL530">
            <v>0</v>
          </cell>
          <cell r="BM530">
            <v>0</v>
          </cell>
          <cell r="BN530">
            <v>0</v>
          </cell>
          <cell r="BO530">
            <v>0</v>
          </cell>
          <cell r="BP530">
            <v>0</v>
          </cell>
          <cell r="BQ530">
            <v>0</v>
          </cell>
          <cell r="BR530">
            <v>0</v>
          </cell>
          <cell r="BS530">
            <v>0</v>
          </cell>
          <cell r="BT530">
            <v>0</v>
          </cell>
          <cell r="BU530">
            <v>0</v>
          </cell>
          <cell r="BV530">
            <v>0</v>
          </cell>
          <cell r="BW530">
            <v>0</v>
          </cell>
          <cell r="BX530">
            <v>0</v>
          </cell>
          <cell r="BY530">
            <v>0</v>
          </cell>
          <cell r="BZ530"/>
          <cell r="CA530">
            <v>0</v>
          </cell>
          <cell r="CB530">
            <v>0</v>
          </cell>
          <cell r="CC530"/>
          <cell r="CD530">
            <v>0</v>
          </cell>
          <cell r="CE530">
            <v>0</v>
          </cell>
          <cell r="CF530">
            <v>0</v>
          </cell>
          <cell r="CG530">
            <v>0</v>
          </cell>
          <cell r="CH530">
            <v>0</v>
          </cell>
          <cell r="CI530">
            <v>0</v>
          </cell>
          <cell r="CJ530">
            <v>0</v>
          </cell>
          <cell r="CK530">
            <v>0</v>
          </cell>
          <cell r="CL530">
            <v>0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</row>
        <row r="531">
          <cell r="O531" t="str">
            <v>Consultation</v>
          </cell>
          <cell r="P531"/>
          <cell r="Q531"/>
          <cell r="R531"/>
          <cell r="S531"/>
          <cell r="T531">
            <v>50064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-1044</v>
          </cell>
          <cell r="AR531">
            <v>0</v>
          </cell>
          <cell r="AS531">
            <v>-1044</v>
          </cell>
          <cell r="AT531">
            <v>0</v>
          </cell>
          <cell r="AU531">
            <v>49020</v>
          </cell>
          <cell r="AV531"/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-6250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J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  <cell r="BO531">
            <v>0</v>
          </cell>
          <cell r="BP531">
            <v>0</v>
          </cell>
          <cell r="BQ531">
            <v>0</v>
          </cell>
          <cell r="BR531">
            <v>0</v>
          </cell>
          <cell r="BS531">
            <v>0</v>
          </cell>
          <cell r="BT531">
            <v>0</v>
          </cell>
          <cell r="BU531">
            <v>0</v>
          </cell>
          <cell r="BV531">
            <v>0</v>
          </cell>
          <cell r="BW531">
            <v>-6250</v>
          </cell>
          <cell r="BX531">
            <v>0</v>
          </cell>
          <cell r="BY531">
            <v>42770</v>
          </cell>
          <cell r="BZ531"/>
          <cell r="CA531">
            <v>0</v>
          </cell>
          <cell r="CB531">
            <v>0</v>
          </cell>
          <cell r="CC531"/>
          <cell r="CD531">
            <v>0</v>
          </cell>
          <cell r="CE531">
            <v>0</v>
          </cell>
          <cell r="CF531">
            <v>0</v>
          </cell>
          <cell r="CG531">
            <v>0</v>
          </cell>
          <cell r="CH531">
            <v>0</v>
          </cell>
          <cell r="CI531">
            <v>0</v>
          </cell>
          <cell r="CJ531">
            <v>0</v>
          </cell>
          <cell r="CK531">
            <v>0</v>
          </cell>
          <cell r="CL531">
            <v>0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</row>
        <row r="532">
          <cell r="O532" t="str">
            <v>Diagnostic Review 17-18</v>
          </cell>
          <cell r="P532"/>
          <cell r="Q532"/>
          <cell r="R532"/>
          <cell r="S532"/>
          <cell r="T532">
            <v>599478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L532">
            <v>0</v>
          </cell>
          <cell r="AM532">
            <v>-114828</v>
          </cell>
          <cell r="AN532">
            <v>0</v>
          </cell>
          <cell r="AO532">
            <v>-29533</v>
          </cell>
          <cell r="AP532">
            <v>0</v>
          </cell>
          <cell r="AQ532">
            <v>-28539</v>
          </cell>
          <cell r="AR532">
            <v>0</v>
          </cell>
          <cell r="AS532">
            <v>-172900</v>
          </cell>
          <cell r="AT532">
            <v>0</v>
          </cell>
          <cell r="AU532">
            <v>426578</v>
          </cell>
          <cell r="AV532"/>
          <cell r="AW532">
            <v>0</v>
          </cell>
          <cell r="AX532">
            <v>0</v>
          </cell>
          <cell r="AY532">
            <v>-18000</v>
          </cell>
          <cell r="AZ532">
            <v>0</v>
          </cell>
          <cell r="BA532">
            <v>-77267</v>
          </cell>
          <cell r="BB532">
            <v>0</v>
          </cell>
          <cell r="BC532">
            <v>-114371</v>
          </cell>
          <cell r="BD532">
            <v>0</v>
          </cell>
          <cell r="BE532">
            <v>-134871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J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  <cell r="BO532">
            <v>-15430</v>
          </cell>
          <cell r="BP532">
            <v>0</v>
          </cell>
          <cell r="BQ532">
            <v>0</v>
          </cell>
          <cell r="BR532">
            <v>0</v>
          </cell>
          <cell r="BS532">
            <v>-5575</v>
          </cell>
          <cell r="BT532">
            <v>0</v>
          </cell>
          <cell r="BU532">
            <v>0</v>
          </cell>
          <cell r="BV532">
            <v>0</v>
          </cell>
          <cell r="BW532">
            <v>-365514</v>
          </cell>
          <cell r="BX532">
            <v>0</v>
          </cell>
          <cell r="BY532">
            <v>61064</v>
          </cell>
          <cell r="BZ532"/>
          <cell r="CA532">
            <v>-1233</v>
          </cell>
          <cell r="CB532">
            <v>0</v>
          </cell>
          <cell r="CC532"/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-6090</v>
          </cell>
        </row>
        <row r="533">
          <cell r="O533" t="str">
            <v>Diagnostic Review 18-19</v>
          </cell>
          <cell r="P533"/>
          <cell r="Q533"/>
          <cell r="R533"/>
          <cell r="S533"/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/>
          <cell r="AW533">
            <v>0</v>
          </cell>
          <cell r="AX533">
            <v>1734166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-20100</v>
          </cell>
          <cell r="BR533">
            <v>0</v>
          </cell>
          <cell r="BS533">
            <v>-29804</v>
          </cell>
          <cell r="BT533">
            <v>0</v>
          </cell>
          <cell r="BU533">
            <v>-97965</v>
          </cell>
          <cell r="BV533">
            <v>0</v>
          </cell>
          <cell r="BW533">
            <v>-147869</v>
          </cell>
          <cell r="BX533">
            <v>0</v>
          </cell>
          <cell r="BY533">
            <v>1586297</v>
          </cell>
          <cell r="BZ533"/>
          <cell r="CA533">
            <v>0</v>
          </cell>
          <cell r="CB533">
            <v>60504</v>
          </cell>
          <cell r="CC533"/>
          <cell r="CD533">
            <v>33150</v>
          </cell>
          <cell r="CE533">
            <v>-49251</v>
          </cell>
          <cell r="CF533">
            <v>0</v>
          </cell>
          <cell r="CG533">
            <v>0</v>
          </cell>
          <cell r="CH533">
            <v>-85070.97</v>
          </cell>
          <cell r="CI533">
            <v>-90748.5</v>
          </cell>
          <cell r="CJ533">
            <v>0</v>
          </cell>
          <cell r="CK533">
            <v>-72554.429999999993</v>
          </cell>
          <cell r="CL533">
            <v>0</v>
          </cell>
          <cell r="CM533">
            <v>-40593.229999999996</v>
          </cell>
          <cell r="CN533">
            <v>0</v>
          </cell>
          <cell r="CO533">
            <v>-31223.18</v>
          </cell>
          <cell r="CP533">
            <v>0</v>
          </cell>
          <cell r="CQ533">
            <v>-162737.45000000001</v>
          </cell>
          <cell r="CR533">
            <v>0</v>
          </cell>
          <cell r="CS533">
            <v>-35249.999999999993</v>
          </cell>
          <cell r="CT533">
            <v>0</v>
          </cell>
          <cell r="CU533">
            <v>-57378.030000000006</v>
          </cell>
          <cell r="CV533">
            <v>0</v>
          </cell>
          <cell r="CW533">
            <v>-5648.8</v>
          </cell>
          <cell r="CX533">
            <v>0</v>
          </cell>
          <cell r="CY533">
            <v>-4800</v>
          </cell>
          <cell r="CZ533">
            <v>0</v>
          </cell>
          <cell r="DA533">
            <v>-577.65</v>
          </cell>
        </row>
        <row r="534">
          <cell r="O534" t="str">
            <v>Diagnostic Review 19-20</v>
          </cell>
          <cell r="P534"/>
          <cell r="Q534"/>
          <cell r="R534"/>
          <cell r="S534"/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/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/>
          <cell r="CA534">
            <v>0</v>
          </cell>
          <cell r="CB534">
            <v>125892</v>
          </cell>
          <cell r="CC534"/>
          <cell r="CD534">
            <v>418731.41674800002</v>
          </cell>
          <cell r="CE534">
            <v>0</v>
          </cell>
          <cell r="CF534">
            <v>0</v>
          </cell>
          <cell r="CG534">
            <v>0</v>
          </cell>
          <cell r="CH534">
            <v>0</v>
          </cell>
          <cell r="CI534">
            <v>0</v>
          </cell>
          <cell r="CJ534">
            <v>0</v>
          </cell>
          <cell r="CK534">
            <v>0</v>
          </cell>
          <cell r="CL534">
            <v>0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-250</v>
          </cell>
          <cell r="CZ534">
            <v>0</v>
          </cell>
          <cell r="DA534">
            <v>0</v>
          </cell>
        </row>
        <row r="535">
          <cell r="O535" t="str">
            <v>Diagnostic Review 20-21</v>
          </cell>
          <cell r="P535"/>
          <cell r="Q535"/>
          <cell r="R535"/>
          <cell r="S535"/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/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/>
          <cell r="CA535">
            <v>0</v>
          </cell>
          <cell r="CB535">
            <v>0</v>
          </cell>
          <cell r="CC535"/>
          <cell r="CD535">
            <v>0</v>
          </cell>
          <cell r="CE535">
            <v>0</v>
          </cell>
          <cell r="CF535">
            <v>0</v>
          </cell>
          <cell r="CG535">
            <v>0</v>
          </cell>
          <cell r="CH535">
            <v>0</v>
          </cell>
          <cell r="CI535">
            <v>0</v>
          </cell>
          <cell r="CJ535">
            <v>0</v>
          </cell>
          <cell r="CK535">
            <v>0</v>
          </cell>
          <cell r="CL535">
            <v>0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</row>
        <row r="536">
          <cell r="O536" t="str">
            <v>District Design and Led 17-20</v>
          </cell>
          <cell r="P536"/>
          <cell r="Q536"/>
          <cell r="R536"/>
          <cell r="S536"/>
          <cell r="T536">
            <v>2506539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-15210</v>
          </cell>
          <cell r="AN536">
            <v>0</v>
          </cell>
          <cell r="AO536">
            <v>-56248</v>
          </cell>
          <cell r="AP536">
            <v>0</v>
          </cell>
          <cell r="AQ536">
            <v>-53643</v>
          </cell>
          <cell r="AR536">
            <v>0</v>
          </cell>
          <cell r="AS536">
            <v>-125101</v>
          </cell>
          <cell r="AT536">
            <v>0</v>
          </cell>
          <cell r="AU536">
            <v>2381438</v>
          </cell>
          <cell r="AV536"/>
          <cell r="AW536">
            <v>2667151</v>
          </cell>
          <cell r="AX536">
            <v>0</v>
          </cell>
          <cell r="AY536">
            <v>-65109</v>
          </cell>
          <cell r="AZ536">
            <v>0</v>
          </cell>
          <cell r="BA536">
            <v>-41067</v>
          </cell>
          <cell r="BB536">
            <v>0</v>
          </cell>
          <cell r="BC536">
            <v>-33234</v>
          </cell>
          <cell r="BD536">
            <v>0</v>
          </cell>
          <cell r="BE536">
            <v>-193389</v>
          </cell>
          <cell r="BF536">
            <v>0</v>
          </cell>
          <cell r="BG536">
            <v>-190968</v>
          </cell>
          <cell r="BH536">
            <v>0</v>
          </cell>
          <cell r="BI536">
            <v>-95601</v>
          </cell>
          <cell r="BJ536">
            <v>0</v>
          </cell>
          <cell r="BK536">
            <v>-217608</v>
          </cell>
          <cell r="BL536">
            <v>0</v>
          </cell>
          <cell r="BM536">
            <v>-227844</v>
          </cell>
          <cell r="BN536">
            <v>0</v>
          </cell>
          <cell r="BO536">
            <v>-172570</v>
          </cell>
          <cell r="BP536">
            <v>0</v>
          </cell>
          <cell r="BQ536">
            <v>-343419</v>
          </cell>
          <cell r="BR536">
            <v>0</v>
          </cell>
          <cell r="BS536">
            <v>-273792</v>
          </cell>
          <cell r="BT536">
            <v>0</v>
          </cell>
          <cell r="BU536">
            <v>-175200</v>
          </cell>
          <cell r="BV536">
            <v>0</v>
          </cell>
          <cell r="BW536">
            <v>-2029801</v>
          </cell>
          <cell r="BX536">
            <v>0</v>
          </cell>
          <cell r="BY536">
            <v>3018788</v>
          </cell>
          <cell r="BZ536"/>
          <cell r="CA536">
            <v>1893870</v>
          </cell>
          <cell r="CB536">
            <v>0</v>
          </cell>
          <cell r="CC536"/>
          <cell r="CD536">
            <v>0</v>
          </cell>
          <cell r="CE536">
            <v>-372366.17</v>
          </cell>
          <cell r="CF536">
            <v>0</v>
          </cell>
          <cell r="CG536">
            <v>-2381</v>
          </cell>
          <cell r="CH536">
            <v>-19</v>
          </cell>
          <cell r="CI536">
            <v>-19090.260000000002</v>
          </cell>
          <cell r="CJ536">
            <v>0</v>
          </cell>
          <cell r="CK536">
            <v>-180925.12</v>
          </cell>
          <cell r="CL536">
            <v>0</v>
          </cell>
          <cell r="CM536">
            <v>-282422.08</v>
          </cell>
          <cell r="CN536">
            <v>0</v>
          </cell>
          <cell r="CO536">
            <v>-150124.74</v>
          </cell>
          <cell r="CP536">
            <v>0</v>
          </cell>
          <cell r="CQ536">
            <v>-382136.92999999993</v>
          </cell>
          <cell r="CR536">
            <v>0</v>
          </cell>
          <cell r="CS536">
            <v>-17388.21</v>
          </cell>
          <cell r="CT536">
            <v>0</v>
          </cell>
          <cell r="CU536">
            <v>-438157.95</v>
          </cell>
          <cell r="CV536">
            <v>0</v>
          </cell>
          <cell r="CW536">
            <v>-196483.86000000002</v>
          </cell>
          <cell r="CX536">
            <v>0</v>
          </cell>
          <cell r="CY536">
            <v>-116983.05</v>
          </cell>
          <cell r="CZ536">
            <v>0</v>
          </cell>
          <cell r="DA536">
            <v>-197563.59999999998</v>
          </cell>
        </row>
        <row r="537">
          <cell r="O537" t="str">
            <v>District Design and Led 18-21</v>
          </cell>
          <cell r="P537"/>
          <cell r="Q537"/>
          <cell r="R537"/>
          <cell r="S537"/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/>
          <cell r="AW537">
            <v>0</v>
          </cell>
          <cell r="AX537">
            <v>2470812.6269999999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J537">
            <v>0</v>
          </cell>
          <cell r="BK537">
            <v>0</v>
          </cell>
          <cell r="BL537">
            <v>0</v>
          </cell>
          <cell r="BM537">
            <v>0</v>
          </cell>
          <cell r="BN537">
            <v>0</v>
          </cell>
          <cell r="BO537">
            <v>0</v>
          </cell>
          <cell r="BP537">
            <v>0</v>
          </cell>
          <cell r="BQ537">
            <v>-96734</v>
          </cell>
          <cell r="BR537">
            <v>0</v>
          </cell>
          <cell r="BS537">
            <v>-47680.07</v>
          </cell>
          <cell r="BT537">
            <v>0</v>
          </cell>
          <cell r="BU537">
            <v>-210985.95</v>
          </cell>
          <cell r="BV537">
            <v>0</v>
          </cell>
          <cell r="BW537">
            <v>-355400.02</v>
          </cell>
          <cell r="BX537">
            <v>0</v>
          </cell>
          <cell r="BY537">
            <v>2115412.6069999998</v>
          </cell>
          <cell r="BZ537"/>
          <cell r="CA537">
            <v>0</v>
          </cell>
          <cell r="CB537">
            <v>4628613</v>
          </cell>
          <cell r="CC537"/>
          <cell r="CD537">
            <v>1620.96</v>
          </cell>
          <cell r="CE537">
            <v>-10363</v>
          </cell>
          <cell r="CF537">
            <v>0</v>
          </cell>
          <cell r="CG537">
            <v>-40679.279999999999</v>
          </cell>
          <cell r="CH537">
            <v>-52180</v>
          </cell>
          <cell r="CI537">
            <v>-78261.38</v>
          </cell>
          <cell r="CJ537">
            <v>0</v>
          </cell>
          <cell r="CK537">
            <v>-251092.96000000002</v>
          </cell>
          <cell r="CL537">
            <v>0</v>
          </cell>
          <cell r="CM537">
            <v>-142033.54999999999</v>
          </cell>
          <cell r="CN537">
            <v>0</v>
          </cell>
          <cell r="CO537">
            <v>-71706.05</v>
          </cell>
          <cell r="CP537">
            <v>0</v>
          </cell>
          <cell r="CQ537">
            <v>-114267.92000000001</v>
          </cell>
          <cell r="CR537">
            <v>0</v>
          </cell>
          <cell r="CS537">
            <v>-114830.91</v>
          </cell>
          <cell r="CT537">
            <v>0</v>
          </cell>
          <cell r="CU537">
            <v>-165772.32</v>
          </cell>
          <cell r="CV537">
            <v>0</v>
          </cell>
          <cell r="CW537">
            <v>-949284.53</v>
          </cell>
          <cell r="CX537">
            <v>0</v>
          </cell>
          <cell r="CY537">
            <v>-57181.53</v>
          </cell>
          <cell r="CZ537">
            <v>0</v>
          </cell>
          <cell r="DA537">
            <v>-199399.75999999998</v>
          </cell>
        </row>
        <row r="538">
          <cell r="O538" t="str">
            <v>District Design and Led 19-22</v>
          </cell>
          <cell r="P538"/>
          <cell r="Q538"/>
          <cell r="R538"/>
          <cell r="S538"/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/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  <cell r="BQ538">
            <v>0</v>
          </cell>
          <cell r="BR538">
            <v>0</v>
          </cell>
          <cell r="BS538">
            <v>0</v>
          </cell>
          <cell r="BT538">
            <v>0</v>
          </cell>
          <cell r="BU538">
            <v>0</v>
          </cell>
          <cell r="BV538">
            <v>0</v>
          </cell>
          <cell r="BW538">
            <v>0</v>
          </cell>
          <cell r="BX538">
            <v>0</v>
          </cell>
          <cell r="BY538">
            <v>0</v>
          </cell>
          <cell r="BZ538"/>
          <cell r="CA538">
            <v>0</v>
          </cell>
          <cell r="CB538">
            <v>0</v>
          </cell>
          <cell r="CC538"/>
          <cell r="CD538">
            <v>410788.7988324301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-4800.53</v>
          </cell>
          <cell r="CV538">
            <v>0</v>
          </cell>
          <cell r="CW538">
            <v>-10000</v>
          </cell>
          <cell r="CX538">
            <v>0</v>
          </cell>
          <cell r="CY538">
            <v>-10651.03</v>
          </cell>
          <cell r="CZ538">
            <v>0</v>
          </cell>
          <cell r="DA538">
            <v>-12928.95</v>
          </cell>
        </row>
        <row r="539">
          <cell r="O539" t="str">
            <v>District Design and Led 20-23</v>
          </cell>
          <cell r="P539"/>
          <cell r="Q539"/>
          <cell r="R539"/>
          <cell r="S539"/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/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J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  <cell r="BO539">
            <v>0</v>
          </cell>
          <cell r="BP539">
            <v>0</v>
          </cell>
          <cell r="BQ539">
            <v>0</v>
          </cell>
          <cell r="BR539">
            <v>0</v>
          </cell>
          <cell r="BS539">
            <v>0</v>
          </cell>
          <cell r="BT539">
            <v>0</v>
          </cell>
          <cell r="BU539">
            <v>0</v>
          </cell>
          <cell r="BV539">
            <v>0</v>
          </cell>
          <cell r="BW539">
            <v>0</v>
          </cell>
          <cell r="BX539">
            <v>0</v>
          </cell>
          <cell r="BY539">
            <v>0</v>
          </cell>
          <cell r="BZ539"/>
          <cell r="CA539">
            <v>0</v>
          </cell>
          <cell r="CB539">
            <v>0</v>
          </cell>
          <cell r="CC539"/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</row>
        <row r="540">
          <cell r="O540" t="str">
            <v>District Design and Led 21-25</v>
          </cell>
          <cell r="P540"/>
          <cell r="Q540"/>
          <cell r="R540"/>
          <cell r="S540"/>
          <cell r="T540">
            <v>0</v>
          </cell>
          <cell r="U540"/>
          <cell r="V540"/>
          <cell r="W540"/>
          <cell r="X540"/>
          <cell r="Y540"/>
          <cell r="Z540"/>
          <cell r="AA540"/>
          <cell r="AB540"/>
          <cell r="AC540"/>
          <cell r="AD540"/>
          <cell r="AE540"/>
          <cell r="AF540"/>
          <cell r="AG540"/>
          <cell r="AH540"/>
          <cell r="AI540"/>
          <cell r="AJ540"/>
          <cell r="AK540"/>
          <cell r="AL540"/>
          <cell r="AM540"/>
          <cell r="AN540"/>
          <cell r="AO540"/>
          <cell r="AP540"/>
          <cell r="AQ540"/>
          <cell r="AR540"/>
          <cell r="AS540">
            <v>0</v>
          </cell>
          <cell r="AT540">
            <v>0</v>
          </cell>
          <cell r="AU540">
            <v>0</v>
          </cell>
          <cell r="AV540"/>
          <cell r="AW540">
            <v>0</v>
          </cell>
          <cell r="AX540">
            <v>0</v>
          </cell>
          <cell r="AY540"/>
          <cell r="AZ540"/>
          <cell r="BA540"/>
          <cell r="BB540"/>
          <cell r="BC540"/>
          <cell r="BD540"/>
          <cell r="BE540"/>
          <cell r="BF540"/>
          <cell r="BG540"/>
          <cell r="BH540"/>
          <cell r="BI540"/>
          <cell r="BJ540"/>
          <cell r="BK540"/>
          <cell r="BL540"/>
          <cell r="BM540"/>
          <cell r="BN540"/>
          <cell r="BO540"/>
          <cell r="BP540"/>
          <cell r="BQ540"/>
          <cell r="BR540"/>
          <cell r="BS540"/>
          <cell r="BT540"/>
          <cell r="BU540"/>
          <cell r="BV540"/>
          <cell r="BW540">
            <v>0</v>
          </cell>
          <cell r="BX540">
            <v>0</v>
          </cell>
          <cell r="BY540">
            <v>0</v>
          </cell>
          <cell r="BZ540"/>
          <cell r="CA540">
            <v>0</v>
          </cell>
          <cell r="CB540">
            <v>0</v>
          </cell>
          <cell r="CC540"/>
          <cell r="CD540">
            <v>0</v>
          </cell>
          <cell r="CE540"/>
          <cell r="CF540"/>
          <cell r="CG540"/>
          <cell r="CH540"/>
          <cell r="CI540"/>
          <cell r="CJ540"/>
          <cell r="CK540"/>
          <cell r="CL540"/>
          <cell r="CM540"/>
          <cell r="CN540"/>
          <cell r="CO540"/>
          <cell r="CP540"/>
          <cell r="CQ540"/>
          <cell r="CR540"/>
          <cell r="CS540"/>
          <cell r="CT540"/>
          <cell r="CU540"/>
          <cell r="CV540"/>
          <cell r="CW540"/>
          <cell r="CX540"/>
          <cell r="CY540"/>
          <cell r="CZ540"/>
          <cell r="DA540"/>
        </row>
        <row r="541">
          <cell r="O541" t="str">
            <v>Engagement Planning</v>
          </cell>
          <cell r="P541"/>
          <cell r="Q541"/>
          <cell r="R541"/>
          <cell r="S541"/>
          <cell r="T541">
            <v>22384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-1245</v>
          </cell>
          <cell r="AP541">
            <v>0</v>
          </cell>
          <cell r="AQ541">
            <v>0</v>
          </cell>
          <cell r="AR541">
            <v>0</v>
          </cell>
          <cell r="AS541">
            <v>-1245</v>
          </cell>
          <cell r="AT541">
            <v>0</v>
          </cell>
          <cell r="AU541">
            <v>21139</v>
          </cell>
          <cell r="AV541"/>
          <cell r="AW541">
            <v>0</v>
          </cell>
          <cell r="AX541">
            <v>10000</v>
          </cell>
          <cell r="AY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-2363</v>
          </cell>
          <cell r="BD541">
            <v>0</v>
          </cell>
          <cell r="BE541">
            <v>-10478</v>
          </cell>
          <cell r="BF541">
            <v>0</v>
          </cell>
          <cell r="BG541">
            <v>-2414</v>
          </cell>
          <cell r="BH541">
            <v>0</v>
          </cell>
          <cell r="BI541">
            <v>-4751</v>
          </cell>
          <cell r="BJ541">
            <v>0</v>
          </cell>
          <cell r="BK541">
            <v>-1133</v>
          </cell>
          <cell r="BL541">
            <v>0</v>
          </cell>
          <cell r="BM541">
            <v>0</v>
          </cell>
          <cell r="BN541">
            <v>0</v>
          </cell>
          <cell r="BO541">
            <v>0</v>
          </cell>
          <cell r="BP541">
            <v>0</v>
          </cell>
          <cell r="BQ541">
            <v>0</v>
          </cell>
          <cell r="BR541">
            <v>0</v>
          </cell>
          <cell r="BS541">
            <v>0</v>
          </cell>
          <cell r="BT541">
            <v>0</v>
          </cell>
          <cell r="BU541">
            <v>-4879.8999999999996</v>
          </cell>
          <cell r="BV541">
            <v>0</v>
          </cell>
          <cell r="BW541">
            <v>-26018.9</v>
          </cell>
          <cell r="BX541">
            <v>0</v>
          </cell>
          <cell r="BY541">
            <v>5120.1000000000004</v>
          </cell>
          <cell r="BZ541"/>
          <cell r="CA541">
            <v>0</v>
          </cell>
          <cell r="CB541">
            <v>0</v>
          </cell>
          <cell r="CC541"/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-340.62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-4779.4799999999996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</row>
        <row r="542">
          <cell r="O542" t="str">
            <v>EASI MTSS</v>
          </cell>
          <cell r="P542"/>
          <cell r="Q542"/>
          <cell r="R542"/>
          <cell r="S542"/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/>
          <cell r="AW542">
            <v>0</v>
          </cell>
          <cell r="AX542">
            <v>151549</v>
          </cell>
          <cell r="AY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>
            <v>0</v>
          </cell>
          <cell r="BI542">
            <v>0</v>
          </cell>
          <cell r="BJ542">
            <v>0</v>
          </cell>
          <cell r="BK542">
            <v>0</v>
          </cell>
          <cell r="BL542">
            <v>0</v>
          </cell>
          <cell r="BM542">
            <v>0</v>
          </cell>
          <cell r="BN542">
            <v>0</v>
          </cell>
          <cell r="BO542">
            <v>0</v>
          </cell>
          <cell r="BP542">
            <v>0</v>
          </cell>
          <cell r="BQ542">
            <v>-4490</v>
          </cell>
          <cell r="BR542">
            <v>0</v>
          </cell>
          <cell r="BS542">
            <v>0</v>
          </cell>
          <cell r="BT542">
            <v>0</v>
          </cell>
          <cell r="BU542">
            <v>0</v>
          </cell>
          <cell r="BV542">
            <v>0</v>
          </cell>
          <cell r="BW542">
            <v>-4490</v>
          </cell>
          <cell r="BX542">
            <v>0</v>
          </cell>
          <cell r="BY542">
            <v>147059</v>
          </cell>
          <cell r="BZ542"/>
          <cell r="CA542">
            <v>0</v>
          </cell>
          <cell r="CB542">
            <v>361719</v>
          </cell>
          <cell r="CC542"/>
          <cell r="CD542">
            <v>0</v>
          </cell>
          <cell r="CE542">
            <v>0</v>
          </cell>
          <cell r="CF542">
            <v>0</v>
          </cell>
          <cell r="CG542">
            <v>-9413</v>
          </cell>
          <cell r="CH542">
            <v>0</v>
          </cell>
          <cell r="CI542">
            <v>0</v>
          </cell>
          <cell r="CJ542">
            <v>0</v>
          </cell>
          <cell r="CK542">
            <v>-145.08000000000001</v>
          </cell>
          <cell r="CL542">
            <v>0</v>
          </cell>
          <cell r="CM542">
            <v>-2107.34</v>
          </cell>
          <cell r="CN542">
            <v>0</v>
          </cell>
          <cell r="CO542">
            <v>-616.13</v>
          </cell>
          <cell r="CP542">
            <v>0</v>
          </cell>
          <cell r="CQ542">
            <v>-5217.2700000000004</v>
          </cell>
          <cell r="CR542">
            <v>0</v>
          </cell>
          <cell r="CS542">
            <v>0</v>
          </cell>
          <cell r="CT542">
            <v>0</v>
          </cell>
          <cell r="CU542">
            <v>-38768.230000000003</v>
          </cell>
          <cell r="CV542">
            <v>0</v>
          </cell>
          <cell r="CW542">
            <v>-12619.43</v>
          </cell>
          <cell r="CX542">
            <v>0</v>
          </cell>
          <cell r="CY542">
            <v>-23639.260000000002</v>
          </cell>
          <cell r="CZ542">
            <v>0</v>
          </cell>
          <cell r="DA542">
            <v>-90770.62</v>
          </cell>
        </row>
        <row r="543">
          <cell r="O543" t="str">
            <v>Reallocated Assistance Fund</v>
          </cell>
          <cell r="P543"/>
          <cell r="Q543"/>
          <cell r="R543"/>
          <cell r="S543"/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/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/>
          <cell r="CA543">
            <v>0</v>
          </cell>
          <cell r="CB543">
            <v>0</v>
          </cell>
          <cell r="CC543"/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</row>
        <row r="544">
          <cell r="O544" t="str">
            <v>School Turnaround Leaders Program</v>
          </cell>
          <cell r="P544"/>
          <cell r="Q544"/>
          <cell r="R544"/>
          <cell r="S544"/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/>
          <cell r="AW544">
            <v>0</v>
          </cell>
          <cell r="AX544">
            <v>1531150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-38190</v>
          </cell>
          <cell r="BT544">
            <v>0</v>
          </cell>
          <cell r="BU544">
            <v>-118735</v>
          </cell>
          <cell r="BV544">
            <v>0</v>
          </cell>
          <cell r="BW544">
            <v>-156925</v>
          </cell>
          <cell r="BX544">
            <v>0</v>
          </cell>
          <cell r="BY544">
            <v>1374225</v>
          </cell>
          <cell r="BZ544"/>
          <cell r="CA544">
            <v>0</v>
          </cell>
          <cell r="CB544">
            <v>662098</v>
          </cell>
          <cell r="CC544"/>
          <cell r="CD544">
            <v>309016.26799999998</v>
          </cell>
          <cell r="CE544">
            <v>-20275</v>
          </cell>
          <cell r="CF544">
            <v>0</v>
          </cell>
          <cell r="CG544">
            <v>0</v>
          </cell>
          <cell r="CH544">
            <v>0</v>
          </cell>
          <cell r="CI544">
            <v>-8258.86</v>
          </cell>
          <cell r="CJ544">
            <v>0</v>
          </cell>
          <cell r="CK544">
            <v>-31025.14</v>
          </cell>
          <cell r="CL544">
            <v>0</v>
          </cell>
          <cell r="CM544">
            <v>-397529.06</v>
          </cell>
          <cell r="CN544">
            <v>0</v>
          </cell>
          <cell r="CO544">
            <v>0</v>
          </cell>
          <cell r="CP544">
            <v>0</v>
          </cell>
          <cell r="CQ544">
            <v>-116443.94</v>
          </cell>
          <cell r="CR544">
            <v>0</v>
          </cell>
          <cell r="CS544">
            <v>-14920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-38005.440000000002</v>
          </cell>
          <cell r="CZ544">
            <v>0</v>
          </cell>
          <cell r="DA544">
            <v>-91330</v>
          </cell>
        </row>
        <row r="545">
          <cell r="O545" t="str">
            <v>Supervisor Pilot</v>
          </cell>
          <cell r="P545"/>
          <cell r="Q545"/>
          <cell r="R545"/>
          <cell r="S545"/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/>
          <cell r="AW545">
            <v>0</v>
          </cell>
          <cell r="AX545">
            <v>70000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70000</v>
          </cell>
          <cell r="BZ545"/>
          <cell r="CA545">
            <v>0</v>
          </cell>
          <cell r="CB545">
            <v>0</v>
          </cell>
          <cell r="CC545"/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-12467.16</v>
          </cell>
          <cell r="CR545">
            <v>0</v>
          </cell>
          <cell r="CS545">
            <v>-6150</v>
          </cell>
          <cell r="CT545">
            <v>0</v>
          </cell>
          <cell r="CU545">
            <v>0</v>
          </cell>
          <cell r="CV545">
            <v>0</v>
          </cell>
          <cell r="CW545">
            <v>-1249.06</v>
          </cell>
          <cell r="CX545">
            <v>0</v>
          </cell>
          <cell r="CY545">
            <v>-8868.7999999999993</v>
          </cell>
          <cell r="CZ545">
            <v>0</v>
          </cell>
          <cell r="DA545">
            <v>0</v>
          </cell>
        </row>
        <row r="546">
          <cell r="O546" t="str">
            <v>Turnaround Network</v>
          </cell>
          <cell r="P546"/>
          <cell r="Q546"/>
          <cell r="R546"/>
          <cell r="S546"/>
          <cell r="T546">
            <v>2794501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-39154</v>
          </cell>
          <cell r="AR546">
            <v>0</v>
          </cell>
          <cell r="AS546">
            <v>-39154</v>
          </cell>
          <cell r="AT546">
            <v>0</v>
          </cell>
          <cell r="AU546">
            <v>2859535.41</v>
          </cell>
          <cell r="AV546"/>
          <cell r="AW546">
            <v>26485</v>
          </cell>
          <cell r="AX546">
            <v>667888</v>
          </cell>
          <cell r="AY546">
            <v>0</v>
          </cell>
          <cell r="AZ546">
            <v>0</v>
          </cell>
          <cell r="BA546">
            <v>-35822</v>
          </cell>
          <cell r="BB546">
            <v>0</v>
          </cell>
          <cell r="BC546">
            <v>-74434</v>
          </cell>
          <cell r="BD546">
            <v>0</v>
          </cell>
          <cell r="BE546">
            <v>-277309</v>
          </cell>
          <cell r="BF546">
            <v>0</v>
          </cell>
          <cell r="BG546">
            <v>-393858</v>
          </cell>
          <cell r="BH546">
            <v>0</v>
          </cell>
          <cell r="BI546">
            <v>-111658</v>
          </cell>
          <cell r="BJ546">
            <v>0</v>
          </cell>
          <cell r="BK546">
            <v>-59853</v>
          </cell>
          <cell r="BL546">
            <v>0</v>
          </cell>
          <cell r="BM546">
            <v>-253552</v>
          </cell>
          <cell r="BN546">
            <v>0</v>
          </cell>
          <cell r="BO546">
            <v>-90639</v>
          </cell>
          <cell r="BP546">
            <v>0</v>
          </cell>
          <cell r="BQ546">
            <v>-155760</v>
          </cell>
          <cell r="BR546">
            <v>0</v>
          </cell>
          <cell r="BS546">
            <v>-98298.030000000013</v>
          </cell>
          <cell r="BT546">
            <v>0</v>
          </cell>
          <cell r="BU546">
            <v>-142356</v>
          </cell>
          <cell r="BV546">
            <v>0</v>
          </cell>
          <cell r="BW546">
            <v>-1693539.03</v>
          </cell>
          <cell r="BX546">
            <v>0</v>
          </cell>
          <cell r="BY546">
            <v>1860369.3800000001</v>
          </cell>
          <cell r="BZ546"/>
          <cell r="CA546">
            <v>285000</v>
          </cell>
          <cell r="CB546">
            <v>554685</v>
          </cell>
          <cell r="CC546"/>
          <cell r="CD546">
            <v>64352.455799999996</v>
          </cell>
          <cell r="CE546">
            <v>-77199.58</v>
          </cell>
          <cell r="CF546">
            <v>0</v>
          </cell>
          <cell r="CG546">
            <v>0</v>
          </cell>
          <cell r="CH546">
            <v>-141471.02999999997</v>
          </cell>
          <cell r="CI546">
            <v>-300929.15000000002</v>
          </cell>
          <cell r="CJ546">
            <v>0</v>
          </cell>
          <cell r="CK546">
            <v>-343077.71</v>
          </cell>
          <cell r="CL546">
            <v>0</v>
          </cell>
          <cell r="CM546">
            <v>0</v>
          </cell>
          <cell r="CN546">
            <v>0</v>
          </cell>
          <cell r="CO546">
            <v>-335988.96000000008</v>
          </cell>
          <cell r="CP546">
            <v>0</v>
          </cell>
          <cell r="CQ546">
            <v>-98505.59</v>
          </cell>
          <cell r="CR546">
            <v>0</v>
          </cell>
          <cell r="CS546">
            <v>-51994.630000000005</v>
          </cell>
          <cell r="CT546">
            <v>0</v>
          </cell>
          <cell r="CU546">
            <v>-64324.15</v>
          </cell>
          <cell r="CV546">
            <v>0</v>
          </cell>
          <cell r="CW546">
            <v>-74796.03</v>
          </cell>
          <cell r="CX546">
            <v>0</v>
          </cell>
          <cell r="CY546">
            <v>-30628.239999999998</v>
          </cell>
          <cell r="CZ546">
            <v>0</v>
          </cell>
          <cell r="DA546">
            <v>-71187.820000000007</v>
          </cell>
        </row>
        <row r="547">
          <cell r="AW547"/>
        </row>
        <row r="548">
          <cell r="T548">
            <v>6288047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-130038</v>
          </cell>
          <cell r="AN548">
            <v>0</v>
          </cell>
          <cell r="AO548">
            <v>-89800</v>
          </cell>
          <cell r="AP548">
            <v>0</v>
          </cell>
          <cell r="AQ548">
            <v>-122380</v>
          </cell>
          <cell r="AR548">
            <v>0</v>
          </cell>
          <cell r="AS548">
            <v>-342218</v>
          </cell>
          <cell r="AT548">
            <v>0</v>
          </cell>
          <cell r="AU548">
            <v>6050017.4100000001</v>
          </cell>
          <cell r="AV548"/>
          <cell r="AW548">
            <v>3730196</v>
          </cell>
          <cell r="AX548">
            <v>7661323.6270000003</v>
          </cell>
          <cell r="AY548">
            <v>-103416</v>
          </cell>
          <cell r="AZ548">
            <v>0</v>
          </cell>
          <cell r="BA548">
            <v>-196010</v>
          </cell>
          <cell r="BB548">
            <v>0</v>
          </cell>
          <cell r="BC548">
            <v>-228545</v>
          </cell>
          <cell r="BD548">
            <v>0</v>
          </cell>
          <cell r="BE548">
            <v>-633693</v>
          </cell>
          <cell r="BF548">
            <v>0</v>
          </cell>
          <cell r="BG548">
            <v>-638215</v>
          </cell>
          <cell r="BH548">
            <v>0</v>
          </cell>
          <cell r="BI548">
            <v>-348436</v>
          </cell>
          <cell r="BJ548">
            <v>0</v>
          </cell>
          <cell r="BK548">
            <v>-472948</v>
          </cell>
          <cell r="BL548">
            <v>0</v>
          </cell>
          <cell r="BM548">
            <v>-561805</v>
          </cell>
          <cell r="BN548">
            <v>0</v>
          </cell>
          <cell r="BO548">
            <v>-335935</v>
          </cell>
          <cell r="BP548">
            <v>0</v>
          </cell>
          <cell r="BQ548">
            <v>-1028850</v>
          </cell>
          <cell r="BR548">
            <v>0</v>
          </cell>
          <cell r="BS548">
            <v>-530100.67000000004</v>
          </cell>
          <cell r="BT548">
            <v>0</v>
          </cell>
          <cell r="BU548">
            <v>-822982.54</v>
          </cell>
          <cell r="BV548">
            <v>0</v>
          </cell>
          <cell r="BW548">
            <v>-5900936.21</v>
          </cell>
          <cell r="BX548">
            <v>0</v>
          </cell>
          <cell r="BY548">
            <v>11540600.827000001</v>
          </cell>
          <cell r="BZ548"/>
          <cell r="CA548">
            <v>3057637</v>
          </cell>
          <cell r="CB548">
            <v>7214614</v>
          </cell>
          <cell r="CC548"/>
          <cell r="CD548">
            <v>1342923.8993804301</v>
          </cell>
          <cell r="CE548">
            <v>-740250.39</v>
          </cell>
          <cell r="CF548">
            <v>0</v>
          </cell>
          <cell r="CG548">
            <v>-203157.4</v>
          </cell>
          <cell r="CH548">
            <v>-295930.07999999996</v>
          </cell>
          <cell r="CI548">
            <v>-581187.32000000007</v>
          </cell>
          <cell r="CJ548">
            <v>0</v>
          </cell>
          <cell r="CK548">
            <v>-1012910.5700000001</v>
          </cell>
          <cell r="CL548">
            <v>0</v>
          </cell>
          <cell r="CM548">
            <v>-1093598.8699999999</v>
          </cell>
          <cell r="CN548">
            <v>0</v>
          </cell>
          <cell r="CO548">
            <v>-602427.9800000001</v>
          </cell>
          <cell r="CP548">
            <v>0</v>
          </cell>
          <cell r="CQ548">
            <v>-951224.62000000011</v>
          </cell>
          <cell r="CR548">
            <v>0</v>
          </cell>
          <cell r="CS548">
            <v>-440830.28</v>
          </cell>
          <cell r="CT548">
            <v>0</v>
          </cell>
          <cell r="CU548">
            <v>-949436.14</v>
          </cell>
          <cell r="CV548">
            <v>0</v>
          </cell>
          <cell r="CW548">
            <v>-1289829.4300000002</v>
          </cell>
          <cell r="CX548">
            <v>0</v>
          </cell>
          <cell r="CY548">
            <v>-428075.19000000006</v>
          </cell>
          <cell r="CZ548">
            <v>0</v>
          </cell>
          <cell r="DA548">
            <v>-734918.96</v>
          </cell>
        </row>
        <row r="549"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0</v>
          </cell>
          <cell r="BO549">
            <v>0</v>
          </cell>
          <cell r="BP549">
            <v>0</v>
          </cell>
          <cell r="BQ549">
            <v>0</v>
          </cell>
          <cell r="BR549">
            <v>0</v>
          </cell>
          <cell r="BS549">
            <v>0</v>
          </cell>
          <cell r="BT549">
            <v>0</v>
          </cell>
          <cell r="BU549">
            <v>0</v>
          </cell>
          <cell r="BV549">
            <v>0</v>
          </cell>
          <cell r="BW549">
            <v>0</v>
          </cell>
          <cell r="BX549">
            <v>0</v>
          </cell>
          <cell r="BY549">
            <v>0</v>
          </cell>
          <cell r="BZ549">
            <v>0</v>
          </cell>
          <cell r="CA549">
            <v>0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</row>
        <row r="550">
          <cell r="F550"/>
          <cell r="G550"/>
          <cell r="H550"/>
          <cell r="I550"/>
          <cell r="J550"/>
          <cell r="K550"/>
          <cell r="L550"/>
          <cell r="M550"/>
          <cell r="N550"/>
          <cell r="O550"/>
          <cell r="P550"/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X550">
            <v>0</v>
          </cell>
          <cell r="AY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0</v>
          </cell>
          <cell r="BQ550">
            <v>0</v>
          </cell>
          <cell r="BR550">
            <v>0</v>
          </cell>
          <cell r="BS550">
            <v>0</v>
          </cell>
          <cell r="BT550">
            <v>0</v>
          </cell>
          <cell r="BU550">
            <v>0</v>
          </cell>
          <cell r="BV550">
            <v>0</v>
          </cell>
          <cell r="BW550">
            <v>0</v>
          </cell>
          <cell r="BX550">
            <v>0</v>
          </cell>
          <cell r="BY550">
            <v>0</v>
          </cell>
          <cell r="CB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</row>
        <row r="551">
          <cell r="F551"/>
          <cell r="G551"/>
          <cell r="H551"/>
          <cell r="I551"/>
          <cell r="J551"/>
          <cell r="K551"/>
          <cell r="L551"/>
          <cell r="M551"/>
          <cell r="N551"/>
          <cell r="O551"/>
          <cell r="P551"/>
          <cell r="Q551"/>
        </row>
        <row r="552">
          <cell r="F552"/>
          <cell r="G552"/>
          <cell r="H552"/>
          <cell r="I552"/>
          <cell r="J552"/>
          <cell r="K552"/>
          <cell r="L552"/>
          <cell r="M552"/>
          <cell r="N552"/>
          <cell r="O552" t="str">
            <v>Accountability Pathways 20-21</v>
          </cell>
          <cell r="Q552" t="str">
            <v>Accountability Pathways 21-22</v>
          </cell>
        </row>
        <row r="553">
          <cell r="F553"/>
          <cell r="G553"/>
          <cell r="H553"/>
          <cell r="I553"/>
          <cell r="J553"/>
          <cell r="K553"/>
          <cell r="L553"/>
          <cell r="M553"/>
          <cell r="N553"/>
          <cell r="O553"/>
          <cell r="Q553"/>
        </row>
        <row r="554">
          <cell r="F554"/>
          <cell r="G554"/>
          <cell r="H554"/>
          <cell r="I554"/>
          <cell r="J554"/>
          <cell r="K554"/>
          <cell r="L554"/>
          <cell r="M554"/>
          <cell r="N554"/>
          <cell r="O554"/>
          <cell r="Q554"/>
        </row>
        <row r="555">
          <cell r="F555"/>
          <cell r="G555"/>
          <cell r="H555"/>
          <cell r="I555"/>
          <cell r="J555"/>
          <cell r="K555"/>
          <cell r="L555"/>
          <cell r="M555"/>
          <cell r="N555"/>
          <cell r="O555"/>
          <cell r="Q555"/>
        </row>
        <row r="556">
          <cell r="F556"/>
          <cell r="G556"/>
          <cell r="H556"/>
          <cell r="I556"/>
          <cell r="J556"/>
          <cell r="K556"/>
          <cell r="L556"/>
          <cell r="M556"/>
          <cell r="N556"/>
          <cell r="O556"/>
          <cell r="Q556"/>
        </row>
        <row r="557">
          <cell r="F557"/>
          <cell r="G557"/>
          <cell r="H557"/>
          <cell r="I557"/>
          <cell r="J557"/>
          <cell r="K557"/>
          <cell r="L557"/>
          <cell r="M557"/>
          <cell r="N557"/>
          <cell r="O557"/>
          <cell r="Q557"/>
        </row>
        <row r="558">
          <cell r="F558"/>
          <cell r="G558"/>
          <cell r="H558"/>
          <cell r="I558"/>
          <cell r="J558"/>
          <cell r="K558"/>
          <cell r="L558"/>
          <cell r="M558"/>
          <cell r="N558"/>
          <cell r="O558">
            <v>0</v>
          </cell>
          <cell r="Q558">
            <v>0</v>
          </cell>
        </row>
        <row r="559">
          <cell r="F559"/>
          <cell r="G559"/>
          <cell r="H559"/>
          <cell r="I559"/>
          <cell r="J559"/>
          <cell r="K559"/>
          <cell r="L559"/>
          <cell r="M559"/>
          <cell r="N559"/>
          <cell r="O559"/>
          <cell r="P559"/>
          <cell r="Q559"/>
        </row>
        <row r="560">
          <cell r="O560"/>
          <cell r="P560"/>
          <cell r="Q560"/>
          <cell r="R560"/>
          <cell r="S560"/>
          <cell r="AQ560"/>
          <cell r="AR560"/>
          <cell r="AV560"/>
          <cell r="AW560"/>
          <cell r="BU560"/>
          <cell r="BZ560"/>
        </row>
        <row r="561">
          <cell r="O561"/>
          <cell r="P561"/>
          <cell r="Q561"/>
          <cell r="R561"/>
          <cell r="S561"/>
          <cell r="AQ561"/>
          <cell r="AR561"/>
          <cell r="AV561"/>
          <cell r="AW561"/>
          <cell r="BU561"/>
          <cell r="BZ561"/>
        </row>
        <row r="562">
          <cell r="O562"/>
          <cell r="P562"/>
          <cell r="Q562"/>
          <cell r="R562"/>
          <cell r="S562"/>
          <cell r="AQ562"/>
          <cell r="AR562"/>
          <cell r="AV562"/>
          <cell r="AW562"/>
          <cell r="BU562"/>
          <cell r="BZ562"/>
        </row>
        <row r="563">
          <cell r="O563"/>
          <cell r="P563"/>
          <cell r="Q563"/>
          <cell r="R563"/>
          <cell r="S563"/>
          <cell r="AQ563"/>
          <cell r="AR563"/>
          <cell r="AV563"/>
          <cell r="AW563"/>
          <cell r="BU563"/>
          <cell r="BZ563"/>
        </row>
        <row r="564">
          <cell r="O564"/>
          <cell r="P564"/>
          <cell r="Q564"/>
          <cell r="R564"/>
          <cell r="S564"/>
          <cell r="AQ564"/>
          <cell r="AR564"/>
          <cell r="AV564"/>
          <cell r="AW564"/>
          <cell r="BU564"/>
          <cell r="BZ564"/>
        </row>
        <row r="565">
          <cell r="O565"/>
          <cell r="P565"/>
          <cell r="Q565"/>
          <cell r="R565"/>
          <cell r="S565"/>
          <cell r="AQ565"/>
          <cell r="AR565"/>
          <cell r="AV565"/>
          <cell r="AW565"/>
          <cell r="BU565"/>
          <cell r="BZ565"/>
        </row>
        <row r="566">
          <cell r="O566"/>
          <cell r="P566"/>
          <cell r="Q566"/>
          <cell r="R566"/>
          <cell r="S566"/>
          <cell r="AQ566"/>
          <cell r="AR566"/>
          <cell r="AV566"/>
          <cell r="AW566"/>
          <cell r="BU566"/>
          <cell r="BZ566"/>
        </row>
        <row r="567">
          <cell r="O567"/>
          <cell r="P567"/>
        </row>
        <row r="568">
          <cell r="F568"/>
          <cell r="G568"/>
          <cell r="H568"/>
          <cell r="I568"/>
          <cell r="J568"/>
          <cell r="K568"/>
          <cell r="L568"/>
          <cell r="M568"/>
          <cell r="N568"/>
          <cell r="O568" t="str">
            <v>Connect For Success 19-22</v>
          </cell>
          <cell r="Q568" t="str">
            <v>Connect For Success 20-23</v>
          </cell>
        </row>
        <row r="569">
          <cell r="F569"/>
          <cell r="G569"/>
          <cell r="H569"/>
          <cell r="I569"/>
          <cell r="J569"/>
          <cell r="K569"/>
          <cell r="L569"/>
          <cell r="M569"/>
          <cell r="N569"/>
          <cell r="O569">
            <v>0</v>
          </cell>
          <cell r="Q569">
            <v>0</v>
          </cell>
        </row>
        <row r="570">
          <cell r="F570"/>
          <cell r="G570"/>
          <cell r="H570"/>
          <cell r="I570"/>
          <cell r="J570"/>
          <cell r="K570"/>
          <cell r="L570"/>
          <cell r="M570"/>
          <cell r="N570"/>
          <cell r="O570">
            <v>0</v>
          </cell>
          <cell r="Q570">
            <v>0</v>
          </cell>
        </row>
        <row r="571">
          <cell r="F571"/>
          <cell r="G571"/>
          <cell r="H571"/>
          <cell r="I571"/>
          <cell r="J571"/>
          <cell r="K571"/>
          <cell r="L571"/>
          <cell r="M571"/>
          <cell r="N571"/>
          <cell r="O571">
            <v>-138617.53</v>
          </cell>
          <cell r="Q571">
            <v>0</v>
          </cell>
        </row>
        <row r="572">
          <cell r="F572"/>
          <cell r="G572"/>
          <cell r="H572"/>
          <cell r="I572"/>
          <cell r="J572"/>
          <cell r="K572"/>
          <cell r="L572"/>
          <cell r="M572"/>
          <cell r="N572"/>
          <cell r="O572">
            <v>0</v>
          </cell>
          <cell r="Q572">
            <v>0</v>
          </cell>
        </row>
        <row r="573">
          <cell r="F573"/>
          <cell r="G573"/>
          <cell r="H573"/>
          <cell r="I573"/>
          <cell r="J573"/>
          <cell r="K573"/>
          <cell r="L573"/>
          <cell r="M573"/>
          <cell r="N573"/>
          <cell r="O573">
            <v>-69691.42</v>
          </cell>
          <cell r="Q573">
            <v>-33196.39</v>
          </cell>
        </row>
        <row r="574">
          <cell r="F574"/>
          <cell r="G574"/>
          <cell r="H574"/>
          <cell r="I574"/>
          <cell r="J574"/>
          <cell r="K574"/>
          <cell r="L574"/>
          <cell r="M574"/>
          <cell r="N574"/>
          <cell r="O574">
            <v>-208308.95</v>
          </cell>
          <cell r="Q574">
            <v>-33196.39</v>
          </cell>
        </row>
        <row r="575">
          <cell r="O575"/>
          <cell r="P575"/>
        </row>
        <row r="576">
          <cell r="O576"/>
          <cell r="P576"/>
          <cell r="Q576"/>
          <cell r="R576"/>
          <cell r="S576"/>
          <cell r="AQ576"/>
          <cell r="AR576"/>
          <cell r="AV576"/>
          <cell r="AW576"/>
          <cell r="BU576"/>
          <cell r="BZ576"/>
        </row>
        <row r="577">
          <cell r="O577"/>
          <cell r="P577"/>
          <cell r="Q577"/>
          <cell r="R577"/>
          <cell r="S577"/>
          <cell r="AQ577"/>
          <cell r="AR577"/>
          <cell r="AV577"/>
          <cell r="AW577"/>
          <cell r="BU577"/>
          <cell r="BZ577"/>
        </row>
        <row r="578">
          <cell r="O578"/>
          <cell r="P578"/>
          <cell r="Q578"/>
          <cell r="R578"/>
          <cell r="S578"/>
          <cell r="AQ578"/>
          <cell r="AR578"/>
          <cell r="AV578"/>
          <cell r="AW578"/>
          <cell r="BU578"/>
          <cell r="BZ578"/>
        </row>
        <row r="579">
          <cell r="O579"/>
          <cell r="P579"/>
          <cell r="Q579"/>
          <cell r="R579"/>
          <cell r="S579"/>
          <cell r="AQ579"/>
          <cell r="AR579"/>
          <cell r="AV579"/>
          <cell r="AW579"/>
          <cell r="BU579"/>
          <cell r="BZ579"/>
        </row>
        <row r="580">
          <cell r="O580"/>
          <cell r="P580"/>
          <cell r="Q580"/>
          <cell r="R580"/>
          <cell r="S580"/>
          <cell r="AQ580"/>
          <cell r="AR580"/>
          <cell r="AV580"/>
          <cell r="AW580"/>
          <cell r="BU580"/>
          <cell r="BZ580"/>
        </row>
        <row r="581">
          <cell r="O581"/>
          <cell r="P581"/>
          <cell r="Q581"/>
          <cell r="R581"/>
          <cell r="S581"/>
          <cell r="AQ581"/>
          <cell r="AR581"/>
          <cell r="AV581"/>
          <cell r="AW581"/>
          <cell r="BU581"/>
          <cell r="BZ581"/>
        </row>
        <row r="582">
          <cell r="O582"/>
          <cell r="P582"/>
          <cell r="Q582"/>
          <cell r="R582"/>
          <cell r="S582"/>
          <cell r="AQ582"/>
          <cell r="AR582"/>
          <cell r="AV582"/>
          <cell r="AW582"/>
          <cell r="BU582"/>
          <cell r="BZ582"/>
        </row>
        <row r="583">
          <cell r="O583"/>
          <cell r="P583"/>
        </row>
        <row r="584">
          <cell r="F584"/>
          <cell r="G584"/>
          <cell r="H584"/>
          <cell r="I584"/>
          <cell r="J584"/>
          <cell r="K584"/>
          <cell r="L584"/>
          <cell r="M584"/>
          <cell r="N584"/>
          <cell r="O584" t="str">
            <v>Diagnostic Review 20-21</v>
          </cell>
          <cell r="Q584" t="str">
            <v>Diagnostic Review 21-22</v>
          </cell>
        </row>
        <row r="585">
          <cell r="F585"/>
          <cell r="G585"/>
          <cell r="H585"/>
          <cell r="I585"/>
          <cell r="J585"/>
          <cell r="K585"/>
          <cell r="L585"/>
          <cell r="M585"/>
          <cell r="N585"/>
          <cell r="O585">
            <v>0</v>
          </cell>
          <cell r="Q585"/>
        </row>
        <row r="586">
          <cell r="F586"/>
          <cell r="G586"/>
          <cell r="H586"/>
          <cell r="I586"/>
          <cell r="J586"/>
          <cell r="K586"/>
          <cell r="L586"/>
          <cell r="M586"/>
          <cell r="N586"/>
          <cell r="O586">
            <v>0</v>
          </cell>
          <cell r="Q586"/>
        </row>
        <row r="587">
          <cell r="F587"/>
          <cell r="G587"/>
          <cell r="H587"/>
          <cell r="I587"/>
          <cell r="J587"/>
          <cell r="K587"/>
          <cell r="L587"/>
          <cell r="M587"/>
          <cell r="N587"/>
          <cell r="O587">
            <v>0</v>
          </cell>
          <cell r="Q587"/>
        </row>
        <row r="588">
          <cell r="F588"/>
          <cell r="G588"/>
          <cell r="H588"/>
          <cell r="I588"/>
          <cell r="J588"/>
          <cell r="K588"/>
          <cell r="L588"/>
          <cell r="M588"/>
          <cell r="N588"/>
          <cell r="O588">
            <v>0</v>
          </cell>
          <cell r="Q588"/>
        </row>
        <row r="589">
          <cell r="F589"/>
          <cell r="G589"/>
          <cell r="H589"/>
          <cell r="I589"/>
          <cell r="J589"/>
          <cell r="K589"/>
          <cell r="L589"/>
          <cell r="M589"/>
          <cell r="N589"/>
          <cell r="O589">
            <v>-95040.7</v>
          </cell>
          <cell r="P589">
            <v>-95040.7</v>
          </cell>
          <cell r="Q589"/>
        </row>
        <row r="590">
          <cell r="F590"/>
          <cell r="G590"/>
          <cell r="H590"/>
          <cell r="I590"/>
          <cell r="J590"/>
          <cell r="K590"/>
          <cell r="L590"/>
          <cell r="M590"/>
          <cell r="N590"/>
          <cell r="O590">
            <v>-95040.7</v>
          </cell>
          <cell r="Q590">
            <v>0</v>
          </cell>
        </row>
        <row r="591">
          <cell r="F591"/>
          <cell r="G591"/>
          <cell r="H591"/>
          <cell r="I591"/>
          <cell r="J591"/>
          <cell r="K591"/>
          <cell r="L591"/>
          <cell r="M591"/>
          <cell r="N591"/>
          <cell r="Q591"/>
        </row>
        <row r="592">
          <cell r="F592"/>
          <cell r="G592"/>
          <cell r="H592"/>
          <cell r="I592"/>
          <cell r="J592"/>
          <cell r="K592"/>
          <cell r="L592"/>
          <cell r="M592"/>
          <cell r="N592"/>
          <cell r="O592" t="str">
            <v>District Design and Led 20-23</v>
          </cell>
          <cell r="Q592" t="str">
            <v>District Design and Led 21-25</v>
          </cell>
        </row>
        <row r="593">
          <cell r="F593"/>
          <cell r="G593"/>
          <cell r="H593"/>
          <cell r="I593"/>
          <cell r="J593"/>
          <cell r="K593"/>
          <cell r="L593"/>
          <cell r="M593"/>
          <cell r="N593"/>
          <cell r="O593">
            <v>0</v>
          </cell>
          <cell r="Q593"/>
        </row>
        <row r="594">
          <cell r="F594"/>
          <cell r="G594"/>
          <cell r="H594"/>
          <cell r="I594"/>
          <cell r="J594"/>
          <cell r="K594"/>
          <cell r="L594"/>
          <cell r="M594"/>
          <cell r="N594"/>
          <cell r="O594">
            <v>0</v>
          </cell>
          <cell r="Q594"/>
        </row>
        <row r="595">
          <cell r="F595"/>
          <cell r="G595"/>
          <cell r="H595"/>
          <cell r="I595"/>
          <cell r="J595"/>
          <cell r="K595"/>
          <cell r="L595"/>
          <cell r="M595"/>
          <cell r="N595"/>
          <cell r="O595">
            <v>0</v>
          </cell>
          <cell r="Q595"/>
        </row>
        <row r="596">
          <cell r="F596"/>
          <cell r="G596"/>
          <cell r="H596"/>
          <cell r="I596"/>
          <cell r="J596"/>
          <cell r="K596"/>
          <cell r="L596"/>
          <cell r="M596"/>
          <cell r="N596"/>
          <cell r="O596">
            <v>0</v>
          </cell>
          <cell r="Q596"/>
        </row>
        <row r="597">
          <cell r="F597"/>
          <cell r="G597"/>
          <cell r="H597"/>
          <cell r="I597"/>
          <cell r="J597"/>
          <cell r="K597"/>
          <cell r="L597"/>
          <cell r="M597"/>
          <cell r="N597"/>
          <cell r="O597">
            <v>-382979</v>
          </cell>
          <cell r="Q597">
            <v>-25415</v>
          </cell>
        </row>
        <row r="598">
          <cell r="F598"/>
          <cell r="G598"/>
          <cell r="H598"/>
          <cell r="I598"/>
          <cell r="J598"/>
          <cell r="K598"/>
          <cell r="L598"/>
          <cell r="M598"/>
          <cell r="N598"/>
          <cell r="O598">
            <v>-382979</v>
          </cell>
          <cell r="Q598">
            <v>-25415</v>
          </cell>
        </row>
        <row r="599">
          <cell r="F599"/>
          <cell r="G599"/>
          <cell r="H599"/>
          <cell r="I599"/>
          <cell r="J599"/>
          <cell r="K599"/>
          <cell r="L599"/>
          <cell r="M599"/>
          <cell r="N599"/>
          <cell r="O599"/>
          <cell r="P599"/>
          <cell r="Q599"/>
        </row>
        <row r="600">
          <cell r="O600"/>
          <cell r="P600"/>
          <cell r="Q600"/>
          <cell r="R600"/>
          <cell r="S600"/>
          <cell r="AQ600"/>
          <cell r="AR600"/>
          <cell r="AV600"/>
          <cell r="AW600"/>
          <cell r="BU600"/>
          <cell r="BZ600"/>
        </row>
        <row r="601">
          <cell r="O601"/>
          <cell r="P601"/>
          <cell r="Q601"/>
          <cell r="R601"/>
          <cell r="S601"/>
          <cell r="AQ601"/>
          <cell r="AR601"/>
          <cell r="AV601"/>
          <cell r="AW601"/>
          <cell r="BU601"/>
          <cell r="BZ601"/>
        </row>
        <row r="602">
          <cell r="O602"/>
          <cell r="P602"/>
          <cell r="Q602"/>
          <cell r="R602"/>
          <cell r="S602"/>
          <cell r="AQ602"/>
          <cell r="AR602"/>
          <cell r="AV602"/>
          <cell r="AW602"/>
          <cell r="BU602"/>
          <cell r="BZ602"/>
        </row>
        <row r="603">
          <cell r="O603"/>
          <cell r="P603"/>
          <cell r="Q603"/>
          <cell r="R603"/>
          <cell r="S603"/>
          <cell r="AQ603"/>
          <cell r="AR603"/>
          <cell r="AV603"/>
          <cell r="AW603"/>
          <cell r="BU603"/>
          <cell r="BZ603"/>
        </row>
        <row r="604">
          <cell r="O604"/>
          <cell r="P604"/>
          <cell r="Q604"/>
          <cell r="R604"/>
          <cell r="S604"/>
          <cell r="AQ604"/>
          <cell r="AR604"/>
          <cell r="AV604"/>
          <cell r="AW604"/>
          <cell r="BU604"/>
          <cell r="BZ604"/>
        </row>
        <row r="605">
          <cell r="O605"/>
          <cell r="P605"/>
          <cell r="Q605"/>
          <cell r="R605"/>
          <cell r="S605"/>
          <cell r="AF605" t="str">
            <v>708C</v>
          </cell>
          <cell r="AG605" t="str">
            <v>709C</v>
          </cell>
          <cell r="AQ605"/>
          <cell r="AR605"/>
          <cell r="AV605"/>
          <cell r="AW605"/>
          <cell r="BU605"/>
          <cell r="BZ605"/>
        </row>
        <row r="606">
          <cell r="O606"/>
          <cell r="P606"/>
          <cell r="Q606"/>
          <cell r="R606"/>
          <cell r="S606"/>
          <cell r="AF606" t="str">
            <v>17-18</v>
          </cell>
          <cell r="AG606" t="str">
            <v>18-19</v>
          </cell>
          <cell r="AN606"/>
          <cell r="AQ606"/>
          <cell r="AR606"/>
          <cell r="AV606"/>
          <cell r="AW606"/>
          <cell r="BK606"/>
          <cell r="BR606"/>
          <cell r="BU606"/>
          <cell r="BZ606"/>
          <cell r="CQ606"/>
          <cell r="CX606"/>
          <cell r="CY606"/>
        </row>
        <row r="607">
          <cell r="O607"/>
          <cell r="P607"/>
        </row>
        <row r="608">
          <cell r="O608"/>
          <cell r="P608"/>
          <cell r="Q608"/>
          <cell r="R608"/>
          <cell r="S608"/>
          <cell r="AQ608"/>
          <cell r="AR608"/>
          <cell r="AV608"/>
          <cell r="AW608"/>
          <cell r="BU608"/>
          <cell r="BZ608"/>
        </row>
        <row r="609">
          <cell r="O609"/>
          <cell r="P609"/>
          <cell r="Q609"/>
          <cell r="R609"/>
          <cell r="S609"/>
          <cell r="AQ609"/>
          <cell r="AR609"/>
          <cell r="AV609"/>
          <cell r="AW609"/>
          <cell r="BU609"/>
          <cell r="BZ609"/>
        </row>
        <row r="610">
          <cell r="O610"/>
          <cell r="P610"/>
          <cell r="Q610"/>
          <cell r="R610"/>
          <cell r="S610"/>
          <cell r="AQ610"/>
          <cell r="AR610"/>
          <cell r="AV610"/>
          <cell r="AW610"/>
          <cell r="BU610"/>
          <cell r="BZ610"/>
        </row>
        <row r="611">
          <cell r="O611"/>
          <cell r="P611"/>
          <cell r="Q611"/>
          <cell r="R611"/>
          <cell r="S611"/>
          <cell r="AQ611"/>
          <cell r="AR611"/>
          <cell r="AV611"/>
          <cell r="AW611"/>
          <cell r="BU611"/>
          <cell r="BZ611"/>
        </row>
        <row r="612">
          <cell r="O612"/>
          <cell r="P612"/>
          <cell r="Q612"/>
          <cell r="R612"/>
          <cell r="S612"/>
          <cell r="AQ612"/>
          <cell r="AR612"/>
          <cell r="AV612"/>
          <cell r="AW612"/>
          <cell r="BU612"/>
          <cell r="BZ612"/>
        </row>
        <row r="613">
          <cell r="O613"/>
          <cell r="P613"/>
          <cell r="Q613"/>
          <cell r="R613"/>
          <cell r="S613"/>
          <cell r="AF613" t="str">
            <v>708C</v>
          </cell>
          <cell r="AG613" t="str">
            <v>709C</v>
          </cell>
          <cell r="AQ613"/>
          <cell r="AR613"/>
          <cell r="AV613"/>
          <cell r="AW613"/>
          <cell r="BU613"/>
          <cell r="BZ613"/>
        </row>
        <row r="614">
          <cell r="O614"/>
          <cell r="P614"/>
          <cell r="Q614"/>
          <cell r="R614"/>
          <cell r="S614"/>
          <cell r="AF614" t="str">
            <v>17-18</v>
          </cell>
          <cell r="AG614" t="str">
            <v>18-19</v>
          </cell>
          <cell r="AN614"/>
          <cell r="AQ614"/>
          <cell r="AR614"/>
          <cell r="AV614"/>
          <cell r="AW614"/>
          <cell r="BK614"/>
          <cell r="BR614"/>
          <cell r="BU614"/>
          <cell r="BZ614"/>
          <cell r="CQ614"/>
          <cell r="CX614"/>
          <cell r="CY614"/>
        </row>
        <row r="615">
          <cell r="O615"/>
          <cell r="P615"/>
        </row>
        <row r="616">
          <cell r="O616"/>
          <cell r="P616"/>
          <cell r="Q616"/>
          <cell r="R616"/>
          <cell r="S616"/>
          <cell r="AQ616"/>
          <cell r="AR616"/>
          <cell r="AV616"/>
          <cell r="AW616"/>
          <cell r="BU616"/>
          <cell r="BZ616"/>
        </row>
        <row r="617">
          <cell r="O617"/>
          <cell r="P617"/>
          <cell r="Q617"/>
          <cell r="R617"/>
          <cell r="S617"/>
          <cell r="AQ617"/>
          <cell r="AR617"/>
          <cell r="AV617"/>
          <cell r="AW617"/>
          <cell r="BU617"/>
          <cell r="BZ617"/>
        </row>
        <row r="618">
          <cell r="O618"/>
          <cell r="P618"/>
          <cell r="Q618"/>
          <cell r="R618"/>
          <cell r="S618"/>
          <cell r="AQ618"/>
          <cell r="AR618"/>
          <cell r="AV618"/>
          <cell r="AW618"/>
          <cell r="BU618"/>
          <cell r="BZ618"/>
        </row>
        <row r="619">
          <cell r="O619"/>
          <cell r="P619"/>
          <cell r="Q619"/>
          <cell r="R619"/>
          <cell r="S619"/>
          <cell r="AQ619"/>
          <cell r="AR619"/>
          <cell r="AV619"/>
          <cell r="AW619"/>
          <cell r="BU619"/>
          <cell r="BZ619"/>
        </row>
        <row r="620">
          <cell r="O620"/>
          <cell r="P620"/>
          <cell r="Q620"/>
          <cell r="R620"/>
          <cell r="S620"/>
          <cell r="AQ620"/>
          <cell r="AR620"/>
          <cell r="AV620"/>
          <cell r="AW620"/>
          <cell r="BU620"/>
          <cell r="BZ620"/>
        </row>
        <row r="621">
          <cell r="O621"/>
          <cell r="P621"/>
          <cell r="Q621"/>
          <cell r="R621"/>
          <cell r="S621"/>
          <cell r="AQ621"/>
          <cell r="AR621"/>
          <cell r="AV621"/>
          <cell r="AW621"/>
          <cell r="BU621"/>
          <cell r="BZ621"/>
        </row>
        <row r="622">
          <cell r="O622"/>
          <cell r="P622"/>
          <cell r="Q622"/>
          <cell r="R622"/>
          <cell r="S622"/>
          <cell r="AQ622"/>
          <cell r="AR622"/>
          <cell r="AV622"/>
          <cell r="AW622"/>
          <cell r="BU622"/>
          <cell r="BZ622"/>
        </row>
        <row r="623">
          <cell r="O623"/>
          <cell r="P623"/>
        </row>
        <row r="624">
          <cell r="F624"/>
          <cell r="G624"/>
          <cell r="H624"/>
          <cell r="I624"/>
          <cell r="J624"/>
          <cell r="K624"/>
          <cell r="L624"/>
          <cell r="M624"/>
          <cell r="N624"/>
          <cell r="O624" t="str">
            <v>Remaining Balance Per CORE as of 3/22/22</v>
          </cell>
          <cell r="Q624" t="str">
            <v>Difference</v>
          </cell>
        </row>
        <row r="625">
          <cell r="F625"/>
          <cell r="G625"/>
          <cell r="H625"/>
          <cell r="I625"/>
          <cell r="J625"/>
          <cell r="K625"/>
          <cell r="L625"/>
          <cell r="M625"/>
          <cell r="N625"/>
          <cell r="O625">
            <v>0</v>
          </cell>
          <cell r="Q625">
            <v>0</v>
          </cell>
        </row>
        <row r="626">
          <cell r="F626"/>
          <cell r="G626"/>
          <cell r="H626"/>
          <cell r="I626"/>
          <cell r="J626"/>
          <cell r="K626"/>
          <cell r="L626"/>
          <cell r="M626"/>
          <cell r="N626"/>
          <cell r="O626">
            <v>0</v>
          </cell>
          <cell r="Q626">
            <v>0</v>
          </cell>
        </row>
        <row r="627">
          <cell r="F627"/>
          <cell r="G627"/>
          <cell r="H627"/>
          <cell r="I627"/>
          <cell r="J627"/>
          <cell r="K627"/>
          <cell r="L627"/>
          <cell r="M627"/>
          <cell r="N627"/>
          <cell r="O627">
            <v>0</v>
          </cell>
          <cell r="Q627">
            <v>8.9999957708641887E-4</v>
          </cell>
        </row>
        <row r="628">
          <cell r="F628"/>
          <cell r="G628"/>
          <cell r="H628"/>
          <cell r="I628"/>
          <cell r="J628"/>
          <cell r="K628"/>
          <cell r="L628"/>
          <cell r="M628"/>
          <cell r="N628"/>
          <cell r="O628">
            <v>0</v>
          </cell>
          <cell r="Q628">
            <v>0</v>
          </cell>
        </row>
        <row r="629">
          <cell r="F629"/>
          <cell r="G629"/>
          <cell r="H629"/>
          <cell r="I629"/>
          <cell r="J629"/>
          <cell r="K629"/>
          <cell r="L629"/>
          <cell r="M629"/>
          <cell r="N629"/>
          <cell r="O629">
            <v>9992137.0999999996</v>
          </cell>
          <cell r="Q629">
            <v>-335493.15000000037</v>
          </cell>
        </row>
        <row r="630">
          <cell r="F630"/>
          <cell r="G630"/>
          <cell r="H630"/>
          <cell r="I630"/>
          <cell r="J630"/>
          <cell r="K630"/>
          <cell r="L630"/>
          <cell r="M630"/>
          <cell r="N630"/>
          <cell r="O630">
            <v>9728272</v>
          </cell>
          <cell r="Q630">
            <v>0</v>
          </cell>
        </row>
        <row r="631"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/>
          <cell r="L631">
            <v>0</v>
          </cell>
          <cell r="M631">
            <v>0</v>
          </cell>
          <cell r="N631">
            <v>0</v>
          </cell>
          <cell r="O631">
            <v>19720409.100000001</v>
          </cell>
          <cell r="P631">
            <v>0</v>
          </cell>
          <cell r="Q631">
            <v>-335493.1491000008</v>
          </cell>
        </row>
        <row r="632">
          <cell r="F632"/>
          <cell r="G632"/>
          <cell r="H632"/>
          <cell r="I632"/>
          <cell r="J632"/>
          <cell r="K632"/>
          <cell r="L632"/>
          <cell r="M632"/>
          <cell r="N632"/>
          <cell r="Q632"/>
        </row>
        <row r="633">
          <cell r="F633"/>
          <cell r="G633"/>
          <cell r="H633"/>
          <cell r="I633"/>
          <cell r="J633"/>
          <cell r="K633"/>
          <cell r="L633"/>
          <cell r="M633"/>
          <cell r="N633"/>
          <cell r="Q633"/>
        </row>
        <row r="634">
          <cell r="F634"/>
          <cell r="G634"/>
          <cell r="H634"/>
          <cell r="I634"/>
          <cell r="J634"/>
          <cell r="K634"/>
          <cell r="L634"/>
          <cell r="M634"/>
          <cell r="N634"/>
          <cell r="O634"/>
          <cell r="Q634">
            <v>13738033.659680428</v>
          </cell>
        </row>
        <row r="635">
          <cell r="F635"/>
          <cell r="G635"/>
          <cell r="H635"/>
          <cell r="I635"/>
          <cell r="J635"/>
          <cell r="K635"/>
          <cell r="L635"/>
          <cell r="M635"/>
          <cell r="N635"/>
          <cell r="O635"/>
          <cell r="Q635">
            <v>5982375.4403195735</v>
          </cell>
        </row>
        <row r="636">
          <cell r="F636"/>
          <cell r="G636"/>
          <cell r="H636"/>
          <cell r="I636"/>
          <cell r="J636"/>
          <cell r="K636"/>
          <cell r="L636"/>
          <cell r="M636"/>
          <cell r="N636"/>
          <cell r="O636"/>
        </row>
        <row r="637">
          <cell r="O637"/>
          <cell r="Q637"/>
        </row>
        <row r="638">
          <cell r="F638"/>
          <cell r="G638"/>
          <cell r="H638"/>
          <cell r="I638"/>
          <cell r="J638"/>
          <cell r="K638"/>
          <cell r="L638"/>
          <cell r="M638"/>
          <cell r="N638"/>
          <cell r="O638"/>
          <cell r="P638"/>
          <cell r="Q638">
            <v>-2174472.92</v>
          </cell>
        </row>
        <row r="639">
          <cell r="F639"/>
          <cell r="G639"/>
          <cell r="H639"/>
          <cell r="I639"/>
          <cell r="J639"/>
          <cell r="K639"/>
          <cell r="L639"/>
          <cell r="M639"/>
          <cell r="N639"/>
          <cell r="O639"/>
          <cell r="P639"/>
          <cell r="Q639">
            <v>1838979.7699999996</v>
          </cell>
        </row>
        <row r="641">
          <cell r="Q641">
            <v>-258873.45</v>
          </cell>
        </row>
        <row r="642">
          <cell r="Q642">
            <v>-76619.700000000361</v>
          </cell>
        </row>
        <row r="675">
          <cell r="N675" t="str">
            <v xml:space="preserve"> 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C192" totalsRowShown="0" headerRowDxfId="952" dataDxfId="951" tableBorderDxfId="950">
  <autoFilter ref="A3:C192" xr:uid="{00000000-0009-0000-0100-000001000000}"/>
  <tableColumns count="3">
    <tableColumn id="1" xr3:uid="{00000000-0010-0000-0000-000001000000}" name="Table Name" dataDxfId="949"/>
    <tableColumn id="2" xr3:uid="{00000000-0010-0000-0000-000002000000}" name="District Name" dataDxfId="948"/>
    <tableColumn id="3" xr3:uid="{00000000-0010-0000-0000-000003000000}" name="District Code" dataDxfId="947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10" displayName="Table10" ref="M3:M6" totalsRowShown="0" headerRowDxfId="906" dataDxfId="904" headerRowBorderDxfId="905" tableBorderDxfId="903">
  <autoFilter ref="M3:M6" xr:uid="{00000000-0009-0000-0100-00000A000000}"/>
  <tableColumns count="1">
    <tableColumn id="1" xr3:uid="{00000000-0010-0000-0900-000001000000}" name="Sangre De Cristo Re-22J" dataDxfId="902"/>
  </tableColumns>
  <tableStyleInfo name="TableStyleLight4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63000000}" name="Table100" displayName="Table100" ref="CY3:CY5" totalsRowShown="0" headerRowDxfId="456" dataDxfId="454" headerRowBorderDxfId="455" tableBorderDxfId="453">
  <autoFilter ref="CY3:CY5" xr:uid="{00000000-0009-0000-0100-000064000000}"/>
  <tableColumns count="1">
    <tableColumn id="1" xr3:uid="{00000000-0010-0000-6300-000001000000}" name="Genoa-Hugo C113" dataDxfId="452"/>
  </tableColumns>
  <tableStyleInfo name="TableStyleLight4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00000000-000C-0000-FFFF-FFFF64000000}" name="Table101" displayName="Table101" ref="CZ3:CZ7" totalsRowShown="0" headerRowDxfId="451" dataDxfId="449" headerRowBorderDxfId="450" tableBorderDxfId="448">
  <autoFilter ref="CZ3:CZ7" xr:uid="{00000000-0009-0000-0100-000065000000}"/>
  <tableColumns count="1">
    <tableColumn id="1" xr3:uid="{00000000-0010-0000-6400-000001000000}" name="Limon RE-4J" dataDxfId="447"/>
  </tableColumns>
  <tableStyleInfo name="TableStyleLight5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5000000}" name="Table102" displayName="Table102" ref="DA3:DA6" totalsRowShown="0" headerRowDxfId="446" dataDxfId="444" headerRowBorderDxfId="445" tableBorderDxfId="443">
  <autoFilter ref="DA3:DA6" xr:uid="{00000000-0009-0000-0100-000066000000}"/>
  <tableColumns count="1">
    <tableColumn id="1" xr3:uid="{00000000-0010-0000-6500-000001000000}" name="Karval RE-23" dataDxfId="442"/>
  </tableColumns>
  <tableStyleInfo name="TableStyleLight6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00000000-000C-0000-FFFF-FFFF66000000}" name="Table103" displayName="Table103" ref="DB3:DB14" totalsRowShown="0" headerRowDxfId="441" dataDxfId="439" headerRowBorderDxfId="440" tableBorderDxfId="438">
  <autoFilter ref="DB3:DB14" xr:uid="{00000000-0009-0000-0100-000067000000}"/>
  <tableColumns count="1">
    <tableColumn id="1" xr3:uid="{00000000-0010-0000-6600-000001000000}" name="Valley RE-1" dataDxfId="437"/>
  </tableColumns>
  <tableStyleInfo name="TableStyleLight7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00000000-000C-0000-FFFF-FFFF67000000}" name="Table104" displayName="Table104" ref="DC3:DC6" totalsRowShown="0" headerRowDxfId="436" dataDxfId="434" headerRowBorderDxfId="435" tableBorderDxfId="433">
  <autoFilter ref="DC3:DC6" xr:uid="{00000000-0009-0000-0100-000068000000}"/>
  <tableColumns count="1">
    <tableColumn id="1" xr3:uid="{00000000-0010-0000-6700-000001000000}" name="Frenchman RE-3" dataDxfId="432"/>
  </tableColumns>
  <tableStyleInfo name="TableStyleLight2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0000000-000C-0000-FFFF-FFFF68000000}" name="Table105" displayName="Table105" ref="DD3:DD7" totalsRowShown="0" headerRowDxfId="431" dataDxfId="429" headerRowBorderDxfId="430" tableBorderDxfId="428">
  <autoFilter ref="DD3:DD7" xr:uid="{00000000-0009-0000-0100-000069000000}"/>
  <tableColumns count="1">
    <tableColumn id="1" xr3:uid="{00000000-0010-0000-6800-000001000000}" name="Buffalo RE-4J" dataDxfId="427"/>
  </tableColumns>
  <tableStyleInfo name="TableStyleLight3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00000000-000C-0000-FFFF-FFFF69000000}" name="Table106" displayName="Table106" ref="DE3:DE6" totalsRowShown="0" headerRowDxfId="426" dataDxfId="424" headerRowBorderDxfId="425" tableBorderDxfId="423">
  <autoFilter ref="DE3:DE6" xr:uid="{00000000-0009-0000-0100-00006A000000}"/>
  <tableColumns count="1">
    <tableColumn id="1" xr3:uid="{00000000-0010-0000-6900-000001000000}" name="Plateau RE-5" dataDxfId="422"/>
  </tableColumns>
  <tableStyleInfo name="TableStyleLight4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00000000-000C-0000-FFFF-FFFF6A000000}" name="Table107" displayName="Table107" ref="DF3:DF5" totalsRowShown="0" headerRowDxfId="421" dataDxfId="419" headerRowBorderDxfId="420" tableBorderDxfId="418">
  <autoFilter ref="DF3:DF5" xr:uid="{00000000-0009-0000-0100-00006B000000}"/>
  <tableColumns count="1">
    <tableColumn id="1" xr3:uid="{00000000-0010-0000-6A00-000001000000}" name="De Beque 49JT" dataDxfId="417"/>
  </tableColumns>
  <tableStyleInfo name="TableStyleLight5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00000000-000C-0000-FFFF-FFFF6B000000}" name="Table108" displayName="Table108" ref="DG3:DG8" totalsRowShown="0" headerRowDxfId="416" dataDxfId="414" headerRowBorderDxfId="415" tableBorderDxfId="413">
  <autoFilter ref="DG3:DG8" xr:uid="{00000000-0009-0000-0100-00006C000000}"/>
  <tableColumns count="1">
    <tableColumn id="1" xr3:uid="{00000000-0010-0000-6B00-000001000000}" name="Plateau Valley 50" dataDxfId="412"/>
  </tableColumns>
  <tableStyleInfo name="TableStyleLight6"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00000000-000C-0000-FFFF-FFFF6C000000}" name="Table109" displayName="Table109" ref="DH3:DH88" totalsRowShown="0" headerRowDxfId="411" dataDxfId="409" headerRowBorderDxfId="410" tableBorderDxfId="408">
  <autoFilter ref="DH3:DH88" xr:uid="{00000000-0009-0000-0100-00006D000000}"/>
  <tableColumns count="1">
    <tableColumn id="1" xr3:uid="{00000000-0010-0000-6C00-000001000000}" name="Mesa County Valley 51" dataDxfId="407"/>
  </tableColumns>
  <tableStyleInfo name="TableStyleLight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11" displayName="Table11" ref="N3:N17" totalsRowShown="0" headerRowDxfId="901" dataDxfId="899" headerRowBorderDxfId="900" tableBorderDxfId="898">
  <autoFilter ref="N3:N17" xr:uid="{00000000-0009-0000-0100-00000B000000}"/>
  <tableColumns count="1">
    <tableColumn id="1" xr3:uid="{00000000-0010-0000-0A00-000001000000}" name="Englewood 1" dataDxfId="897"/>
  </tableColumns>
  <tableStyleInfo name="TableStyleLight5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00000000-000C-0000-FFFF-FFFF6D000000}" name="Table110" displayName="Table110" ref="DI3:DI6" totalsRowShown="0" headerRowDxfId="406" dataDxfId="404" headerRowBorderDxfId="405" tableBorderDxfId="403">
  <autoFilter ref="DI3:DI6" xr:uid="{00000000-0009-0000-0100-00006E000000}"/>
  <tableColumns count="1">
    <tableColumn id="1" xr3:uid="{00000000-0010-0000-6D00-000001000000}" name="Creede School District" dataDxfId="402"/>
  </tableColumns>
  <tableStyleInfo name="TableStyleLight2"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00000000-000C-0000-FFFF-FFFF6E000000}" name="Table111" displayName="Table111" ref="DJ3:DJ14" totalsRowShown="0" headerRowDxfId="401" dataDxfId="399" headerRowBorderDxfId="400" tableBorderDxfId="398">
  <autoFilter ref="DJ3:DJ14" xr:uid="{00000000-0009-0000-0100-00006F000000}"/>
  <tableColumns count="1">
    <tableColumn id="1" xr3:uid="{00000000-0010-0000-6E00-000001000000}" name="Moffat County RE: No 1" dataDxfId="397"/>
  </tableColumns>
  <tableStyleInfo name="TableStyleLight3"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00000000-000C-0000-FFFF-FFFF6F000000}" name="Table112" displayName="Table112" ref="DK3:DK25" totalsRowShown="0" headerRowDxfId="396" dataDxfId="394" headerRowBorderDxfId="395" tableBorderDxfId="393">
  <autoFilter ref="DK3:DK25" xr:uid="{00000000-0009-0000-0100-000070000000}"/>
  <tableColumns count="1">
    <tableColumn id="1" xr3:uid="{00000000-0010-0000-6F00-000001000000}" name="Montezuma-Cortez RE-1" dataDxfId="392"/>
  </tableColumns>
  <tableStyleInfo name="TableStyleLight4" showFirstColumn="0" showLastColumn="0" showRowStripes="1" showColumnStripes="0"/>
</table>
</file>

<file path=xl/tables/table1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00000000-000C-0000-FFFF-FFFF70000000}" name="Table113" displayName="Table113" ref="DL3:DL7" totalsRowShown="0" headerRowDxfId="391" dataDxfId="389" headerRowBorderDxfId="390" tableBorderDxfId="388">
  <autoFilter ref="DL3:DL7" xr:uid="{00000000-0009-0000-0100-000071000000}"/>
  <tableColumns count="1">
    <tableColumn id="1" xr3:uid="{00000000-0010-0000-7000-000001000000}" name="Dolores RE-4A" dataDxfId="387"/>
  </tableColumns>
  <tableStyleInfo name="TableStyleLight5" showFirstColumn="0" showLastColumn="0" showRowStripes="1" showColumnStripes="0"/>
</table>
</file>

<file path=xl/tables/table1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00000000-000C-0000-FFFF-FFFF71000000}" name="Table114" displayName="Table114" ref="DM3:DM11" totalsRowShown="0" headerRowDxfId="386" dataDxfId="384" headerRowBorderDxfId="385" tableBorderDxfId="383">
  <autoFilter ref="DM3:DM11" xr:uid="{00000000-0009-0000-0100-000072000000}"/>
  <tableColumns count="1">
    <tableColumn id="1" xr3:uid="{00000000-0010-0000-7100-000001000000}" name="Mancos Re-6" dataDxfId="382"/>
  </tableColumns>
  <tableStyleInfo name="TableStyleLight6" showFirstColumn="0" showLastColumn="0" showRowStripes="1" showColumnStripes="0"/>
</table>
</file>

<file path=xl/tables/table1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5" xr:uid="{00000000-000C-0000-FFFF-FFFF72000000}" name="Table115" displayName="Table115" ref="DN3:DN23" totalsRowShown="0" headerRowDxfId="381" dataDxfId="379" headerRowBorderDxfId="380" tableBorderDxfId="378">
  <autoFilter ref="DN3:DN23" xr:uid="{00000000-0009-0000-0100-000073000000}"/>
  <tableColumns count="1">
    <tableColumn id="1" xr3:uid="{00000000-0010-0000-7200-000001000000}" name="Montrose County RE-1J" dataDxfId="377"/>
  </tableColumns>
  <tableStyleInfo name="TableStyleLight7" showFirstColumn="0" showLastColumn="0" showRowStripes="1" showColumnStripes="0"/>
</table>
</file>

<file path=xl/tables/table1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6" xr:uid="{00000000-000C-0000-FFFF-FFFF73000000}" name="Table116" displayName="Table116" ref="DO3:DO8" totalsRowShown="0" headerRowDxfId="376" dataDxfId="374" headerRowBorderDxfId="375" tableBorderDxfId="373">
  <autoFilter ref="DO3:DO8" xr:uid="{00000000-0009-0000-0100-000074000000}"/>
  <tableColumns count="1">
    <tableColumn id="1" xr3:uid="{00000000-0010-0000-7300-000001000000}" name="West End RE-2" dataDxfId="372"/>
  </tableColumns>
  <tableStyleInfo name="TableStyleLight2" showFirstColumn="0" showLastColumn="0" showRowStripes="1" showColumnStripes="0"/>
</table>
</file>

<file path=xl/tables/table1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7" xr:uid="{00000000-000C-0000-FFFF-FFFF74000000}" name="Table117" displayName="Table117" ref="DP3:DP8" totalsRowShown="0" headerRowDxfId="371" dataDxfId="369" headerRowBorderDxfId="370" tableBorderDxfId="368">
  <autoFilter ref="DP3:DP8" xr:uid="{00000000-0009-0000-0100-000075000000}"/>
  <tableColumns count="1">
    <tableColumn id="1" xr3:uid="{00000000-0010-0000-7400-000001000000}" name="Brush RE-2(J)" dataDxfId="367"/>
  </tableColumns>
  <tableStyleInfo name="TableStyleLight3" showFirstColumn="0" showLastColumn="0" showRowStripes="1" showColumnStripes="0"/>
</table>
</file>

<file path=xl/tables/table1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8" xr:uid="{00000000-000C-0000-FFFF-FFFF75000000}" name="Table118" displayName="Table118" ref="DQ3:DQ17" totalsRowShown="0" headerRowDxfId="366" dataDxfId="364" headerRowBorderDxfId="365" tableBorderDxfId="363">
  <autoFilter ref="DQ3:DQ17" xr:uid="{00000000-0009-0000-0100-000076000000}"/>
  <tableColumns count="1">
    <tableColumn id="1" xr3:uid="{00000000-0010-0000-7500-000001000000}" name="Fort Morgan Re-3" dataDxfId="362"/>
  </tableColumns>
  <tableStyleInfo name="TableStyleLight4" showFirstColumn="0" showLastColumn="0" showRowStripes="1" showColumnStripes="0"/>
</table>
</file>

<file path=xl/tables/table1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9" xr:uid="{00000000-000C-0000-FFFF-FFFF76000000}" name="Table119" displayName="Table119" ref="DR3:DR6" totalsRowShown="0" headerRowDxfId="361" dataDxfId="359" headerRowBorderDxfId="360" tableBorderDxfId="358">
  <autoFilter ref="DR3:DR6" xr:uid="{00000000-0009-0000-0100-000077000000}"/>
  <tableColumns count="1">
    <tableColumn id="1" xr3:uid="{00000000-0010-0000-7600-000001000000}" name="Weldon Valley RE-20(J)" dataDxfId="357"/>
  </tableColumns>
  <tableStyleInfo name="TableStyleLight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12" displayName="Table12" ref="O3:O11" totalsRowShown="0" headerRowDxfId="896" dataDxfId="894" headerRowBorderDxfId="895" tableBorderDxfId="893">
  <autoFilter ref="O3:O11" xr:uid="{00000000-0009-0000-0100-00000C000000}"/>
  <tableColumns count="1">
    <tableColumn id="1" xr3:uid="{00000000-0010-0000-0B00-000001000000}" name="Sheridan 2" dataDxfId="892"/>
  </tableColumns>
  <tableStyleInfo name="TableStyleLight6" showFirstColumn="0" showLastColumn="0" showRowStripes="1" showColumnStripes="0"/>
</table>
</file>

<file path=xl/tables/table1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0" xr:uid="{00000000-000C-0000-FFFF-FFFF77000000}" name="Table120" displayName="Table120" ref="DS3:DS7" totalsRowShown="0" headerRowDxfId="356" dataDxfId="354" headerRowBorderDxfId="355" tableBorderDxfId="353">
  <autoFilter ref="DS3:DS7" xr:uid="{00000000-0009-0000-0100-000078000000}"/>
  <tableColumns count="1">
    <tableColumn id="1" xr3:uid="{00000000-0010-0000-7700-000001000000}" name="Wiggins RE-50(J)" dataDxfId="352"/>
  </tableColumns>
  <tableStyleInfo name="TableStyleLight6" showFirstColumn="0" showLastColumn="0" showRowStripes="1" showColumnStripes="0"/>
</table>
</file>

<file path=xl/tables/table1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1" xr:uid="{00000000-000C-0000-FFFF-FFFF78000000}" name="Table121" displayName="Table121" ref="DT3:DT10" totalsRowShown="0" headerRowDxfId="351" dataDxfId="349" headerRowBorderDxfId="350" tableBorderDxfId="348">
  <autoFilter ref="DT3:DT10" xr:uid="{00000000-0009-0000-0100-000079000000}"/>
  <tableColumns count="1">
    <tableColumn id="1" xr3:uid="{00000000-0010-0000-7800-000001000000}" name="East Otero R-1" dataDxfId="347"/>
  </tableColumns>
  <tableStyleInfo name="TableStyleLight7" showFirstColumn="0" showLastColumn="0" showRowStripes="1" showColumnStripes="0"/>
</table>
</file>

<file path=xl/tables/table1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2" xr:uid="{00000000-000C-0000-FFFF-FFFF79000000}" name="Table122" displayName="Table122" ref="DU3:DU11" totalsRowShown="0" headerRowDxfId="346" dataDxfId="344" headerRowBorderDxfId="345" tableBorderDxfId="343">
  <autoFilter ref="DU3:DU11" xr:uid="{00000000-0009-0000-0100-00007A000000}"/>
  <tableColumns count="1">
    <tableColumn id="1" xr3:uid="{00000000-0010-0000-7900-000001000000}" name="Rocky Ford R-2" dataDxfId="342"/>
  </tableColumns>
  <tableStyleInfo name="TableStyleLight2" showFirstColumn="0" showLastColumn="0" showRowStripes="1" showColumnStripes="0"/>
</table>
</file>

<file path=xl/tables/table1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3" xr:uid="{00000000-000C-0000-FFFF-FFFF7A000000}" name="Table123" displayName="Table123" ref="DV3:DV7" totalsRowShown="0" headerRowDxfId="341" dataDxfId="339" headerRowBorderDxfId="340" tableBorderDxfId="338">
  <autoFilter ref="DV3:DV7" xr:uid="{00000000-0009-0000-0100-00007B000000}"/>
  <tableColumns count="1">
    <tableColumn id="1" xr3:uid="{00000000-0010-0000-7A00-000001000000}" name="Manzanola 3J" dataDxfId="337"/>
  </tableColumns>
  <tableStyleInfo name="TableStyleLight3" showFirstColumn="0" showLastColumn="0" showRowStripes="1" showColumnStripes="0"/>
</table>
</file>

<file path=xl/tables/table1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00000000-000C-0000-FFFF-FFFF7B000000}" name="Table124" displayName="Table124" ref="DW3:DW9" totalsRowShown="0" headerRowDxfId="336" dataDxfId="334" headerRowBorderDxfId="335" tableBorderDxfId="333">
  <autoFilter ref="DW3:DW9" xr:uid="{00000000-0009-0000-0100-00007C000000}"/>
  <tableColumns count="1">
    <tableColumn id="1" xr3:uid="{00000000-0010-0000-7B00-000001000000}" name="Fowler R-4J" dataDxfId="332"/>
  </tableColumns>
  <tableStyleInfo name="TableStyleLight4" showFirstColumn="0" showLastColumn="0" showRowStripes="1" showColumnStripes="0"/>
</table>
</file>

<file path=xl/tables/table1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5" xr:uid="{00000000-000C-0000-FFFF-FFFF7C000000}" name="Table125" displayName="Table125" ref="DX3:DX5" totalsRowShown="0" headerRowDxfId="331" dataDxfId="329" headerRowBorderDxfId="330" tableBorderDxfId="328">
  <autoFilter ref="DX3:DX5" xr:uid="{00000000-0009-0000-0100-00007D000000}"/>
  <tableColumns count="1">
    <tableColumn id="1" xr3:uid="{00000000-0010-0000-7C00-000001000000}" name="Cheraw 31" dataDxfId="327"/>
  </tableColumns>
  <tableStyleInfo name="TableStyleLight5" showFirstColumn="0" showLastColumn="0" showRowStripes="1" showColumnStripes="0"/>
</table>
</file>

<file path=xl/tables/table1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6" xr:uid="{00000000-000C-0000-FFFF-FFFF7D000000}" name="Table126" displayName="Table126" ref="DY3:DY6" totalsRowShown="0" headerRowDxfId="326" dataDxfId="324" headerRowBorderDxfId="325" tableBorderDxfId="323">
  <autoFilter ref="DY3:DY6" xr:uid="{00000000-0009-0000-0100-00007E000000}"/>
  <tableColumns count="1">
    <tableColumn id="1" xr3:uid="{00000000-0010-0000-7D00-000001000000}" name="Swink 33" dataDxfId="322"/>
  </tableColumns>
  <tableStyleInfo name="TableStyleLight6" showFirstColumn="0" showLastColumn="0" showRowStripes="1" showColumnStripes="0"/>
</table>
</file>

<file path=xl/tables/table1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7" xr:uid="{00000000-000C-0000-FFFF-FFFF7E000000}" name="Table127" displayName="Table127" ref="DZ3:DZ7" totalsRowShown="0" headerRowDxfId="321" dataDxfId="319" headerRowBorderDxfId="320" tableBorderDxfId="318">
  <autoFilter ref="DZ3:DZ7" xr:uid="{00000000-0009-0000-0100-00007F000000}"/>
  <tableColumns count="1">
    <tableColumn id="1" xr3:uid="{00000000-0010-0000-7E00-000001000000}" name="Ouray R-1" dataDxfId="317"/>
  </tableColumns>
  <tableStyleInfo name="TableStyleLight7" showFirstColumn="0" showLastColumn="0" showRowStripes="1" showColumnStripes="0"/>
</table>
</file>

<file path=xl/tables/table1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8" xr:uid="{00000000-000C-0000-FFFF-FFFF7F000000}" name="Table128" displayName="Table128" ref="EA3:EA8" totalsRowShown="0" headerRowDxfId="316" dataDxfId="314" headerRowBorderDxfId="315" tableBorderDxfId="313">
  <autoFilter ref="EA3:EA8" xr:uid="{00000000-0009-0000-0100-000080000000}"/>
  <tableColumns count="1">
    <tableColumn id="1" xr3:uid="{00000000-0010-0000-7F00-000001000000}" name="Ridgway R-2" dataDxfId="312"/>
  </tableColumns>
  <tableStyleInfo name="TableStyleLight2" showFirstColumn="0" showLastColumn="0" showRowStripes="1" showColumnStripes="0"/>
</table>
</file>

<file path=xl/tables/table1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9" xr:uid="{00000000-000C-0000-FFFF-FFFF80000000}" name="Table129" displayName="Table129" ref="EB3:EB7" totalsRowShown="0" headerRowDxfId="311" dataDxfId="309" headerRowBorderDxfId="310" tableBorderDxfId="308">
  <autoFilter ref="EB3:EB7" xr:uid="{00000000-0009-0000-0100-000081000000}"/>
  <tableColumns count="1">
    <tableColumn id="1" xr3:uid="{00000000-0010-0000-8000-000001000000}" name="Platte Canyon 1" dataDxfId="307"/>
  </tableColumns>
  <tableStyleInfo name="TableStyleLight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13" displayName="Table13" ref="P3:P93" totalsRowShown="0" headerRowDxfId="891" dataDxfId="889" headerRowBorderDxfId="890" tableBorderDxfId="888">
  <autoFilter ref="P3:P93" xr:uid="{00000000-0009-0000-0100-00000D000000}"/>
  <tableColumns count="1">
    <tableColumn id="1" xr3:uid="{00000000-0010-0000-0C00-000001000000}" name="Cherry Creek 5" dataDxfId="887"/>
  </tableColumns>
  <tableStyleInfo name="TableStyleLight7" showFirstColumn="0" showLastColumn="0" showRowStripes="1" showColumnStripes="0"/>
</table>
</file>

<file path=xl/tables/table1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0" xr:uid="{00000000-000C-0000-FFFF-FFFF81000000}" name="Table130" displayName="Table130" ref="EC3:EC10" totalsRowShown="0" headerRowDxfId="306" dataDxfId="304" headerRowBorderDxfId="305" tableBorderDxfId="303">
  <autoFilter ref="EC3:EC10" xr:uid="{00000000-0009-0000-0100-000082000000}"/>
  <tableColumns count="1">
    <tableColumn id="1" xr3:uid="{00000000-0010-0000-8100-000001000000}" name="Park County RE-2" dataDxfId="302"/>
  </tableColumns>
  <tableStyleInfo name="TableStyleLight4" showFirstColumn="0" showLastColumn="0" showRowStripes="1" showColumnStripes="0"/>
</table>
</file>

<file path=xl/tables/table1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1" xr:uid="{00000000-000C-0000-FFFF-FFFF82000000}" name="Table131" displayName="Table131" ref="ED3:ED8" totalsRowShown="0" headerRowDxfId="301" dataDxfId="299" headerRowBorderDxfId="300" tableBorderDxfId="298">
  <autoFilter ref="ED3:ED8" xr:uid="{00000000-0009-0000-0100-000083000000}"/>
  <tableColumns count="1">
    <tableColumn id="1" xr3:uid="{00000000-0010-0000-8200-000001000000}" name="Holyoke Re-1J" dataDxfId="297"/>
  </tableColumns>
  <tableStyleInfo name="TableStyleLight5" showFirstColumn="0" showLastColumn="0" showRowStripes="1" showColumnStripes="0"/>
</table>
</file>

<file path=xl/tables/table1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2" xr:uid="{00000000-000C-0000-FFFF-FFFF83000000}" name="Table132" displayName="Table132" ref="EE3:EE6" totalsRowShown="0" headerRowDxfId="296" dataDxfId="294" headerRowBorderDxfId="295" tableBorderDxfId="293">
  <autoFilter ref="EE3:EE6" xr:uid="{00000000-0009-0000-0100-000084000000}"/>
  <tableColumns count="1">
    <tableColumn id="1" xr3:uid="{00000000-0010-0000-8300-000001000000}" name="Haxtun RE-2J" dataDxfId="292"/>
  </tableColumns>
  <tableStyleInfo name="TableStyleLight6" showFirstColumn="0" showLastColumn="0" showRowStripes="1" showColumnStripes="0"/>
</table>
</file>

<file path=xl/tables/table1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3" xr:uid="{00000000-000C-0000-FFFF-FFFF84000000}" name="Table133" displayName="Table133" ref="EF3:EF16" totalsRowShown="0" headerRowDxfId="291" dataDxfId="289" headerRowBorderDxfId="290" tableBorderDxfId="288">
  <autoFilter ref="EF3:EF16" xr:uid="{00000000-0009-0000-0100-000085000000}"/>
  <tableColumns count="1">
    <tableColumn id="1" xr3:uid="{00000000-0010-0000-8400-000001000000}" name="Aspen 1" dataDxfId="287"/>
  </tableColumns>
  <tableStyleInfo name="TableStyleLight7" showFirstColumn="0" showLastColumn="0" showRowStripes="1" showColumnStripes="0"/>
</table>
</file>

<file path=xl/tables/table1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4" xr:uid="{00000000-000C-0000-FFFF-FFFF85000000}" name="Table134" displayName="Table134" ref="EG3:EG6" totalsRowShown="0" headerRowDxfId="286" dataDxfId="284" headerRowBorderDxfId="285" tableBorderDxfId="283">
  <autoFilter ref="EG3:EG6" xr:uid="{00000000-0009-0000-0100-000086000000}"/>
  <tableColumns count="1">
    <tableColumn id="1" xr3:uid="{00000000-0010-0000-8500-000001000000}" name="Granada RE-1" dataDxfId="282"/>
  </tableColumns>
  <tableStyleInfo name="TableStyleLight2" showFirstColumn="0" showLastColumn="0" showRowStripes="1" showColumnStripes="0"/>
</table>
</file>

<file path=xl/tables/table1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5" xr:uid="{00000000-000C-0000-FFFF-FFFF86000000}" name="Table135" displayName="Table135" ref="EH3:EH14" totalsRowShown="0" headerRowDxfId="281" dataDxfId="279" headerRowBorderDxfId="280" tableBorderDxfId="278">
  <autoFilter ref="EH3:EH14" xr:uid="{00000000-0009-0000-0100-000087000000}"/>
  <tableColumns count="1">
    <tableColumn id="1" xr3:uid="{00000000-0010-0000-8600-000001000000}" name="Lamar Re-2" dataDxfId="277"/>
  </tableColumns>
  <tableStyleInfo name="TableStyleLight3" showFirstColumn="0" showLastColumn="0" showRowStripes="1" showColumnStripes="0"/>
</table>
</file>

<file path=xl/tables/table1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6" xr:uid="{00000000-000C-0000-FFFF-FFFF87000000}" name="Table136" displayName="Table136" ref="EI3:EI5" totalsRowShown="0" headerRowDxfId="276" dataDxfId="274" headerRowBorderDxfId="275" tableBorderDxfId="273">
  <autoFilter ref="EI3:EI5" xr:uid="{00000000-0009-0000-0100-000088000000}"/>
  <tableColumns count="1">
    <tableColumn id="1" xr3:uid="{00000000-0010-0000-8700-000001000000}" name="Holly RE-3" dataDxfId="272"/>
  </tableColumns>
  <tableStyleInfo name="TableStyleLight4" showFirstColumn="0" showLastColumn="0" showRowStripes="1" showColumnStripes="0"/>
</table>
</file>

<file path=xl/tables/table1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00000000-000C-0000-FFFF-FFFF88000000}" name="Table137" displayName="Table137" ref="EJ3:EJ6" totalsRowShown="0" headerRowDxfId="271" dataDxfId="269" headerRowBorderDxfId="270" tableBorderDxfId="268">
  <autoFilter ref="EJ3:EJ6" xr:uid="{00000000-0009-0000-0100-000089000000}"/>
  <tableColumns count="1">
    <tableColumn id="1" xr3:uid="{00000000-0010-0000-8800-000001000000}" name="Wiley RE-13 Jt" dataDxfId="267"/>
  </tableColumns>
  <tableStyleInfo name="TableStyleLight5" showFirstColumn="0" showLastColumn="0" showRowStripes="1" showColumnStripes="0"/>
</table>
</file>

<file path=xl/tables/table1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00000000-000C-0000-FFFF-FFFF89000000}" name="Table138" displayName="Table138" ref="EK3:EK52" totalsRowShown="0" headerRowDxfId="266" dataDxfId="264" headerRowBorderDxfId="265" tableBorderDxfId="263">
  <autoFilter ref="EK3:EK52" xr:uid="{00000000-0009-0000-0100-00008A000000}"/>
  <tableColumns count="1">
    <tableColumn id="1" xr3:uid="{00000000-0010-0000-8900-000001000000}" name="Pueblo City 60" dataDxfId="262"/>
  </tableColumns>
  <tableStyleInfo name="TableStyleLight6" showFirstColumn="0" showLastColumn="0" showRowStripes="1" showColumnStripes="0"/>
</table>
</file>

<file path=xl/tables/table1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9" xr:uid="{00000000-000C-0000-FFFF-FFFF8A000000}" name="Table139" displayName="Table139" ref="EL3:EL32" totalsRowShown="0" headerRowDxfId="261" dataDxfId="259" headerRowBorderDxfId="260" tableBorderDxfId="258">
  <autoFilter ref="EL3:EL32" xr:uid="{00000000-0009-0000-0100-00008B000000}"/>
  <tableColumns count="1">
    <tableColumn id="1" xr3:uid="{00000000-0010-0000-8A00-000001000000}" name="Pueblo County 70" dataDxfId="257"/>
  </tableColumns>
  <tableStyleInfo name="TableStyleLight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14" displayName="Table14" ref="Q3:Q36" totalsRowShown="0" headerRowDxfId="886" dataDxfId="884" headerRowBorderDxfId="885" tableBorderDxfId="883">
  <autoFilter ref="Q3:Q36" xr:uid="{00000000-0009-0000-0100-00000E000000}"/>
  <tableColumns count="1">
    <tableColumn id="1" xr3:uid="{00000000-0010-0000-0D00-000001000000}" name="Littleton 6" dataDxfId="882"/>
  </tableColumns>
  <tableStyleInfo name="TableStyleLight2" showFirstColumn="0" showLastColumn="0" showRowStripes="1" showColumnStripes="0"/>
</table>
</file>

<file path=xl/tables/table1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0" xr:uid="{00000000-000C-0000-FFFF-FFFF8B000000}" name="Table140" displayName="Table140" ref="EM3:EM7" totalsRowShown="0" headerRowDxfId="256" dataDxfId="254" headerRowBorderDxfId="255" tableBorderDxfId="253">
  <autoFilter ref="EM3:EM7" xr:uid="{00000000-0009-0000-0100-00008C000000}"/>
  <tableColumns count="1">
    <tableColumn id="1" xr3:uid="{00000000-0010-0000-8B00-000001000000}" name="Meeker RE-1" dataDxfId="252"/>
  </tableColumns>
  <tableStyleInfo name="TableStyleLight2" showFirstColumn="0" showLastColumn="0" showRowStripes="1" showColumnStripes="0"/>
</table>
</file>

<file path=xl/tables/table1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1" xr:uid="{00000000-000C-0000-FFFF-FFFF8C000000}" name="Table141" displayName="Table141" ref="EN3:EN8" totalsRowShown="0" headerRowDxfId="251" dataDxfId="249" headerRowBorderDxfId="250" tableBorderDxfId="248">
  <autoFilter ref="EN3:EN8" xr:uid="{00000000-0009-0000-0100-00008D000000}"/>
  <tableColumns count="1">
    <tableColumn id="1" xr3:uid="{00000000-0010-0000-8C00-000001000000}" name="Rangely RE-4" dataDxfId="247"/>
  </tableColumns>
  <tableStyleInfo name="TableStyleLight3" showFirstColumn="0" showLastColumn="0" showRowStripes="1" showColumnStripes="0"/>
</table>
</file>

<file path=xl/tables/table1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2" xr:uid="{00000000-000C-0000-FFFF-FFFF8D000000}" name="Table142" displayName="Table142" ref="EO3:EO7" totalsRowShown="0" headerRowDxfId="246" dataDxfId="244" headerRowBorderDxfId="245" tableBorderDxfId="243">
  <autoFilter ref="EO3:EO7" xr:uid="{00000000-0009-0000-0100-00008E000000}"/>
  <tableColumns count="1">
    <tableColumn id="1" xr3:uid="{00000000-0010-0000-8D00-000001000000}" name="Upper Rio Grande School District C-7" dataDxfId="242"/>
  </tableColumns>
  <tableStyleInfo name="TableStyleLight4" showFirstColumn="0" showLastColumn="0" showRowStripes="1" showColumnStripes="0"/>
</table>
</file>

<file path=xl/tables/table1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00000000-000C-0000-FFFF-FFFF8E000000}" name="Table143" displayName="Table143" ref="EP3:EP12" totalsRowShown="0" headerRowDxfId="241" dataDxfId="239" headerRowBorderDxfId="240" tableBorderDxfId="238">
  <autoFilter ref="EP3:EP12" xr:uid="{00000000-0009-0000-0100-00008F000000}"/>
  <tableColumns count="1">
    <tableColumn id="1" xr3:uid="{00000000-0010-0000-8E00-000001000000}" name="Monte Vista C-8" dataDxfId="237"/>
  </tableColumns>
  <tableStyleInfo name="TableStyleLight5" showFirstColumn="0" showLastColumn="0" showRowStripes="1" showColumnStripes="0"/>
</table>
</file>

<file path=xl/tables/table1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4" xr:uid="{00000000-000C-0000-FFFF-FFFF8F000000}" name="Table144" displayName="Table144" ref="EQ3:EQ8" totalsRowShown="0" headerRowDxfId="236" dataDxfId="234" headerRowBorderDxfId="235" tableBorderDxfId="233">
  <autoFilter ref="EQ3:EQ8" xr:uid="{00000000-0009-0000-0100-000090000000}"/>
  <tableColumns count="1">
    <tableColumn id="1" xr3:uid="{00000000-0010-0000-8F00-000001000000}" name="Sargent RE-33J" dataDxfId="232"/>
  </tableColumns>
  <tableStyleInfo name="TableStyleLight6" showFirstColumn="0" showLastColumn="0" showRowStripes="1" showColumnStripes="0"/>
</table>
</file>

<file path=xl/tables/table1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5" xr:uid="{00000000-000C-0000-FFFF-FFFF90000000}" name="Table145" displayName="Table145" ref="ER3:ER7" totalsRowShown="0" headerRowDxfId="231" dataDxfId="229" headerRowBorderDxfId="230" tableBorderDxfId="228">
  <autoFilter ref="ER3:ER7" xr:uid="{00000000-0009-0000-0100-000091000000}"/>
  <tableColumns count="1">
    <tableColumn id="1" xr3:uid="{00000000-0010-0000-9000-000001000000}" name="Hayden RE-1" dataDxfId="227"/>
  </tableColumns>
  <tableStyleInfo name="TableStyleLight7" showFirstColumn="0" showLastColumn="0" showRowStripes="1" showColumnStripes="0"/>
</table>
</file>

<file path=xl/tables/table1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6" xr:uid="{00000000-000C-0000-FFFF-FFFF91000000}" name="Table146" displayName="Table146" ref="ES3:ES19" totalsRowShown="0" headerRowDxfId="226" dataDxfId="224" headerRowBorderDxfId="225" tableBorderDxfId="223">
  <autoFilter ref="ES3:ES19" xr:uid="{00000000-0009-0000-0100-000092000000}"/>
  <tableColumns count="1">
    <tableColumn id="1" xr3:uid="{00000000-0010-0000-9100-000001000000}" name="Steamboat Springs RE-2" dataDxfId="222"/>
  </tableColumns>
  <tableStyleInfo name="TableStyleLight2" showFirstColumn="0" showLastColumn="0" showRowStripes="1" showColumnStripes="0"/>
</table>
</file>

<file path=xl/tables/table1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7" xr:uid="{00000000-000C-0000-FFFF-FFFF92000000}" name="Table147" displayName="Table147" ref="ET3:ET8" totalsRowShown="0" headerRowDxfId="221" dataDxfId="219" headerRowBorderDxfId="220" tableBorderDxfId="218">
  <autoFilter ref="ET3:ET8" xr:uid="{00000000-0009-0000-0100-000093000000}"/>
  <tableColumns count="1">
    <tableColumn id="1" xr3:uid="{00000000-0010-0000-9200-000001000000}" name="South Routt RE 3" dataDxfId="217"/>
  </tableColumns>
  <tableStyleInfo name="TableStyleLight3" showFirstColumn="0" showLastColumn="0" showRowStripes="1" showColumnStripes="0"/>
</table>
</file>

<file path=xl/tables/table1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8" xr:uid="{00000000-000C-0000-FFFF-FFFF93000000}" name="Table148" displayName="Table148" ref="EU3:EU6" totalsRowShown="0" headerRowDxfId="216" dataDxfId="214" headerRowBorderDxfId="215" tableBorderDxfId="213">
  <autoFilter ref="EU3:EU6" xr:uid="{00000000-0009-0000-0100-000094000000}"/>
  <tableColumns count="1">
    <tableColumn id="1" xr3:uid="{00000000-0010-0000-9300-000001000000}" name="Mountain Valley RE 1" dataDxfId="212"/>
  </tableColumns>
  <tableStyleInfo name="TableStyleLight4" showFirstColumn="0" showLastColumn="0" showRowStripes="1" showColumnStripes="0"/>
</table>
</file>

<file path=xl/tables/table1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9" xr:uid="{00000000-000C-0000-FFFF-FFFF94000000}" name="Table149" displayName="Table149" ref="EV3:EV7" totalsRowShown="0" headerRowDxfId="211" dataDxfId="209" headerRowBorderDxfId="210" tableBorderDxfId="208">
  <autoFilter ref="EV3:EV7" xr:uid="{00000000-0009-0000-0100-000095000000}"/>
  <tableColumns count="1">
    <tableColumn id="1" xr3:uid="{00000000-0010-0000-9400-000001000000}" name="Moffat 2" dataDxfId="207"/>
  </tableColumns>
  <tableStyleInfo name="TableStyleLight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15" displayName="Table15" ref="R3:R6" totalsRowShown="0" headerRowDxfId="881" dataDxfId="879" headerRowBorderDxfId="880" tableBorderDxfId="878">
  <autoFilter ref="R3:R6" xr:uid="{00000000-0009-0000-0100-00000F000000}"/>
  <tableColumns count="1">
    <tableColumn id="1" xr3:uid="{00000000-0010-0000-0E00-000001000000}" name="Deer Trail 26J" dataDxfId="877"/>
  </tableColumns>
  <tableStyleInfo name="TableStyleLight3" showFirstColumn="0" showLastColumn="0" showRowStripes="1" showColumnStripes="0"/>
</table>
</file>

<file path=xl/tables/table1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0" xr:uid="{00000000-000C-0000-FFFF-FFFF95000000}" name="Table150" displayName="Table150" ref="EW3:EW12" totalsRowShown="0" headerRowDxfId="206" dataDxfId="204" headerRowBorderDxfId="205" tableBorderDxfId="203">
  <autoFilter ref="EW3:EW12" xr:uid="{00000000-0009-0000-0100-000096000000}"/>
  <tableColumns count="1">
    <tableColumn id="1" xr3:uid="{00000000-0010-0000-9500-000001000000}" name="Center 26 JT" dataDxfId="202"/>
  </tableColumns>
  <tableStyleInfo name="TableStyleLight6" showFirstColumn="0" showLastColumn="0" showRowStripes="1" showColumnStripes="0"/>
</table>
</file>

<file path=xl/tables/table1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1" xr:uid="{00000000-000C-0000-FFFF-FFFF96000000}" name="Table151" displayName="Table151" ref="EX3:EX8" totalsRowShown="0" headerRowDxfId="201" dataDxfId="199" headerRowBorderDxfId="200" tableBorderDxfId="198">
  <autoFilter ref="EX3:EX8" xr:uid="{00000000-0009-0000-0100-000097000000}"/>
  <tableColumns count="1">
    <tableColumn id="1" xr3:uid="{00000000-0010-0000-9600-000001000000}" name="Silverton 1" dataDxfId="197"/>
  </tableColumns>
  <tableStyleInfo name="TableStyleLight7" showFirstColumn="0" showLastColumn="0" showRowStripes="1" showColumnStripes="0"/>
</table>
</file>

<file path=xl/tables/table1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2" xr:uid="{00000000-000C-0000-FFFF-FFFF97000000}" name="Table152" displayName="Table152" ref="EY3:EY13" totalsRowShown="0" headerRowDxfId="196" dataDxfId="194" headerRowBorderDxfId="195" tableBorderDxfId="193">
  <autoFilter ref="EY3:EY13" xr:uid="{00000000-0009-0000-0100-000098000000}"/>
  <tableColumns count="1">
    <tableColumn id="1" xr3:uid="{00000000-0010-0000-9700-000001000000}" name="Telluride R-1" dataDxfId="192"/>
  </tableColumns>
  <tableStyleInfo name="TableStyleLight2" showFirstColumn="0" showLastColumn="0" showRowStripes="1" showColumnStripes="0"/>
</table>
</file>

<file path=xl/tables/table1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3" xr:uid="{00000000-000C-0000-FFFF-FFFF98000000}" name="Table153" displayName="Table153" ref="EZ3:EZ6" totalsRowShown="0" headerRowDxfId="191" dataDxfId="189" headerRowBorderDxfId="190" tableBorderDxfId="188">
  <autoFilter ref="EZ3:EZ6" xr:uid="{00000000-0009-0000-0100-000099000000}"/>
  <tableColumns count="1">
    <tableColumn id="1" xr3:uid="{00000000-0010-0000-9800-000001000000}" name="Norwood R-2J" dataDxfId="187"/>
  </tableColumns>
  <tableStyleInfo name="TableStyleLight3" showFirstColumn="0" showLastColumn="0" showRowStripes="1" showColumnStripes="0"/>
</table>
</file>

<file path=xl/tables/table1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4" xr:uid="{00000000-000C-0000-FFFF-FFFF99000000}" name="Table154" displayName="Table154" ref="FA3:FA7" totalsRowShown="0" headerRowDxfId="186" dataDxfId="184" headerRowBorderDxfId="185" tableBorderDxfId="183">
  <autoFilter ref="FA3:FA7" xr:uid="{00000000-0009-0000-0100-00009A000000}"/>
  <tableColumns count="1">
    <tableColumn id="1" xr3:uid="{00000000-0010-0000-9900-000001000000}" name="Julesburg Re-1" dataDxfId="182"/>
  </tableColumns>
  <tableStyleInfo name="TableStyleLight4" showFirstColumn="0" showLastColumn="0" showRowStripes="1" showColumnStripes="0"/>
</table>
</file>

<file path=xl/tables/table1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5" xr:uid="{00000000-000C-0000-FFFF-FFFF9A000000}" name="Table155" displayName="Table155" ref="FB3:FB7" totalsRowShown="0" headerRowDxfId="181" dataDxfId="179" headerRowBorderDxfId="180" tableBorderDxfId="178">
  <autoFilter ref="FB3:FB7" xr:uid="{00000000-0009-0000-0100-00009B000000}"/>
  <tableColumns count="1">
    <tableColumn id="1" xr3:uid="{00000000-0010-0000-9A00-000001000000}" name="Revere School District" dataDxfId="177"/>
  </tableColumns>
  <tableStyleInfo name="TableStyleLight5" showFirstColumn="0" showLastColumn="0" showRowStripes="1" showColumnStripes="0"/>
</table>
</file>

<file path=xl/tables/table1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6" xr:uid="{00000000-000C-0000-FFFF-FFFF9B000000}" name="Table156" displayName="Table156" ref="FC3:FC20" totalsRowShown="0" headerRowDxfId="176" dataDxfId="174" headerRowBorderDxfId="175" tableBorderDxfId="173">
  <autoFilter ref="FC3:FC20" xr:uid="{00000000-0009-0000-0100-00009C000000}"/>
  <tableColumns count="1">
    <tableColumn id="1" xr3:uid="{00000000-0010-0000-9B00-000001000000}" name="Summit RE-1" dataDxfId="172"/>
  </tableColumns>
  <tableStyleInfo name="TableStyleLight6" showFirstColumn="0" showLastColumn="0" showRowStripes="1" showColumnStripes="0"/>
</table>
</file>

<file path=xl/tables/table1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7" xr:uid="{00000000-000C-0000-FFFF-FFFF9C000000}" name="Table157" displayName="Table157" ref="FD3:FD7" totalsRowShown="0" headerRowDxfId="171" dataDxfId="169" headerRowBorderDxfId="170" tableBorderDxfId="168">
  <autoFilter ref="FD3:FD7" xr:uid="{00000000-0009-0000-0100-00009D000000}"/>
  <tableColumns count="1">
    <tableColumn id="1" xr3:uid="{00000000-0010-0000-9C00-000001000000}" name="Cripple Creek-Victor RE-1" dataDxfId="167"/>
  </tableColumns>
  <tableStyleInfo name="TableStyleLight7" showFirstColumn="0" showLastColumn="0" showRowStripes="1" showColumnStripes="0"/>
</table>
</file>

<file path=xl/tables/table1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8" xr:uid="{00000000-000C-0000-FFFF-FFFF9D000000}" name="Table158" displayName="Table158" ref="FE3:FE14" totalsRowShown="0" headerRowDxfId="166" dataDxfId="164" headerRowBorderDxfId="165" tableBorderDxfId="163">
  <autoFilter ref="FE3:FE14" xr:uid="{00000000-0009-0000-0100-00009E000000}"/>
  <tableColumns count="1">
    <tableColumn id="1" xr3:uid="{00000000-0010-0000-9D00-000001000000}" name="Woodland Park Re-2" dataDxfId="162"/>
  </tableColumns>
  <tableStyleInfo name="TableStyleLight2" showFirstColumn="0" showLastColumn="0" showRowStripes="1" showColumnStripes="0"/>
</table>
</file>

<file path=xl/tables/table1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9" xr:uid="{00000000-000C-0000-FFFF-FFFF9E000000}" name="Table159" displayName="Table159" ref="FF3:FF8" totalsRowShown="0" headerRowDxfId="161" dataDxfId="159" headerRowBorderDxfId="160" tableBorderDxfId="158">
  <autoFilter ref="FF3:FF8" xr:uid="{00000000-0009-0000-0100-00009F000000}"/>
  <tableColumns count="1">
    <tableColumn id="1" xr3:uid="{00000000-0010-0000-9E00-000001000000}" name="Akron R-1" dataDxfId="157"/>
  </tableColumns>
  <tableStyleInfo name="TableStyleLight3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16" displayName="Table16" ref="S3:S99" totalsRowShown="0" headerRowDxfId="876" dataDxfId="874" headerRowBorderDxfId="875" tableBorderDxfId="873">
  <autoFilter ref="S3:S99" xr:uid="{00000000-0009-0000-0100-000010000000}"/>
  <tableColumns count="1">
    <tableColumn id="1" xr3:uid="{00000000-0010-0000-0F00-000001000000}" name="Adams-Arapahoe 28J" dataDxfId="872"/>
  </tableColumns>
  <tableStyleInfo name="TableStyleLight4" showFirstColumn="0" showLastColumn="0" showRowStripes="1" showColumnStripes="0"/>
</table>
</file>

<file path=xl/tables/table1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0" xr:uid="{00000000-000C-0000-FFFF-FFFF9F000000}" name="Table160" displayName="Table160" ref="FG3:FG6" totalsRowShown="0" headerRowDxfId="156" dataDxfId="154" headerRowBorderDxfId="155" tableBorderDxfId="153">
  <autoFilter ref="FG3:FG6" xr:uid="{00000000-0009-0000-0100-0000A0000000}"/>
  <tableColumns count="1">
    <tableColumn id="1" xr3:uid="{00000000-0010-0000-9F00-000001000000}" name="Arickaree R-2" dataDxfId="152"/>
  </tableColumns>
  <tableStyleInfo name="TableStyleLight4" showFirstColumn="0" showLastColumn="0" showRowStripes="1" showColumnStripes="0"/>
</table>
</file>

<file path=xl/tables/table1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1" xr:uid="{00000000-000C-0000-FFFF-FFFFA0000000}" name="Table161" displayName="Table161" ref="FH3:FH7" totalsRowShown="0" headerRowDxfId="151" dataDxfId="149" headerRowBorderDxfId="150" tableBorderDxfId="148">
  <autoFilter ref="FH3:FH7" xr:uid="{00000000-0009-0000-0100-0000A1000000}"/>
  <tableColumns count="1">
    <tableColumn id="1" xr3:uid="{00000000-0010-0000-A000-000001000000}" name="Otis R-3" dataDxfId="147"/>
  </tableColumns>
  <tableStyleInfo name="TableStyleLight5" showFirstColumn="0" showLastColumn="0" showRowStripes="1" showColumnStripes="0"/>
</table>
</file>

<file path=xl/tables/table1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2" xr:uid="{00000000-000C-0000-FFFF-FFFFA1000000}" name="Table162" displayName="Table162" ref="FI3:FI7" totalsRowShown="0" headerRowDxfId="146" dataDxfId="144" headerRowBorderDxfId="145" tableBorderDxfId="143">
  <autoFilter ref="FI3:FI7" xr:uid="{00000000-0009-0000-0100-0000A2000000}"/>
  <tableColumns count="1">
    <tableColumn id="1" xr3:uid="{00000000-0010-0000-A100-000001000000}" name="Lone Star 101" dataDxfId="142"/>
  </tableColumns>
  <tableStyleInfo name="TableStyleLight6" showFirstColumn="0" showLastColumn="0" showRowStripes="1" showColumnStripes="0"/>
</table>
</file>

<file path=xl/tables/table1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3" xr:uid="{00000000-000C-0000-FFFF-FFFFA2000000}" name="Table163" displayName="Table163" ref="FJ3:FJ6" totalsRowShown="0" headerRowDxfId="141" dataDxfId="139" headerRowBorderDxfId="140" tableBorderDxfId="138">
  <autoFilter ref="FJ3:FJ6" xr:uid="{00000000-0009-0000-0100-0000A3000000}"/>
  <tableColumns count="1">
    <tableColumn id="1" xr3:uid="{00000000-0010-0000-A200-000001000000}" name="Woodlin R-104" dataDxfId="137"/>
  </tableColumns>
  <tableStyleInfo name="TableStyleLight7" showFirstColumn="0" showLastColumn="0" showRowStripes="1" showColumnStripes="0"/>
</table>
</file>

<file path=xl/tables/table1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4" xr:uid="{00000000-000C-0000-FFFF-FFFFA3000000}" name="Table164" displayName="Table164" ref="FK3:FK12" totalsRowShown="0" headerRowDxfId="136" dataDxfId="134" headerRowBorderDxfId="135" tableBorderDxfId="133">
  <autoFilter ref="FK3:FK12" xr:uid="{00000000-0009-0000-0100-0000A4000000}"/>
  <tableColumns count="1">
    <tableColumn id="1" xr3:uid="{00000000-0010-0000-A300-000001000000}" name="Weld County RE-1" dataDxfId="132"/>
  </tableColumns>
  <tableStyleInfo name="TableStyleLight2" showFirstColumn="0" showLastColumn="0" showRowStripes="1" showColumnStripes="0"/>
</table>
</file>

<file path=xl/tables/table1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5" xr:uid="{00000000-000C-0000-FFFF-FFFFA4000000}" name="Table165" displayName="Table165" ref="FL3:FL12" totalsRowShown="0" headerRowDxfId="131" dataDxfId="129" headerRowBorderDxfId="130" tableBorderDxfId="128">
  <autoFilter ref="FL3:FL12" xr:uid="{00000000-0009-0000-0100-0000A5000000}"/>
  <tableColumns count="1">
    <tableColumn id="1" xr3:uid="{00000000-0010-0000-A400-000001000000}" name="Eaton RE-2" dataDxfId="127"/>
  </tableColumns>
  <tableStyleInfo name="TableStyleLight3" showFirstColumn="0" showLastColumn="0" showRowStripes="1" showColumnStripes="0"/>
</table>
</file>

<file path=xl/tables/table1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6" xr:uid="{00000000-000C-0000-FFFF-FFFFA5000000}" name="Table166" displayName="Table166" ref="FM3:FM13" totalsRowShown="0" headerRowDxfId="126" dataDxfId="124" headerRowBorderDxfId="125" tableBorderDxfId="123">
  <autoFilter ref="FM3:FM13" xr:uid="{00000000-0009-0000-0100-0000A6000000}"/>
  <tableColumns count="1">
    <tableColumn id="1" xr3:uid="{00000000-0010-0000-A500-000001000000}" name="Weld County School District RE-3J" dataDxfId="122"/>
  </tableColumns>
  <tableStyleInfo name="TableStyleLight4" showFirstColumn="0" showLastColumn="0" showRowStripes="1" showColumnStripes="0"/>
</table>
</file>

<file path=xl/tables/table1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7" xr:uid="{00000000-000C-0000-FFFF-FFFFA6000000}" name="Table167" displayName="Table167" ref="FN3:FN18" totalsRowShown="0" headerRowDxfId="121" dataDxfId="119" headerRowBorderDxfId="120" tableBorderDxfId="118">
  <autoFilter ref="FN3:FN18" xr:uid="{00000000-0009-0000-0100-0000A7000000}"/>
  <tableColumns count="1">
    <tableColumn id="1" xr3:uid="{00000000-0010-0000-A600-000001000000}" name="Windsor RE-4" dataDxfId="117"/>
  </tableColumns>
  <tableStyleInfo name="TableStyleLight5" showFirstColumn="0" showLastColumn="0" showRowStripes="1" showColumnStripes="0"/>
</table>
</file>

<file path=xl/tables/table1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8" xr:uid="{00000000-000C-0000-FFFF-FFFFA7000000}" name="Table168" displayName="Table168" ref="FO3:FO14" totalsRowShown="0" headerRowDxfId="116" dataDxfId="114" headerRowBorderDxfId="115" tableBorderDxfId="113">
  <autoFilter ref="FO3:FO14" xr:uid="{00000000-0009-0000-0100-0000A8000000}"/>
  <tableColumns count="1">
    <tableColumn id="1" xr3:uid="{00000000-0010-0000-A700-000001000000}" name="Johnstown-Milliken RE-5J" dataDxfId="112"/>
  </tableColumns>
  <tableStyleInfo name="TableStyleLight6" showFirstColumn="0" showLastColumn="0" showRowStripes="1" showColumnStripes="0"/>
</table>
</file>

<file path=xl/tables/table1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9" xr:uid="{00000000-000C-0000-FFFF-FFFFA8000000}" name="Table169" displayName="Table169" ref="FP3:FP64" totalsRowShown="0" headerRowDxfId="111" dataDxfId="109" headerRowBorderDxfId="110" tableBorderDxfId="108">
  <autoFilter ref="FP3:FP64" xr:uid="{00000000-0009-0000-0100-0000A9000000}"/>
  <tableColumns count="1">
    <tableColumn id="1" xr3:uid="{00000000-0010-0000-A800-000001000000}" name="Greeley 6" dataDxfId="107"/>
  </tableColumns>
  <tableStyleInfo name="TableStyleLight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le17" displayName="Table17" ref="T3:T14" totalsRowShown="0" headerRowDxfId="871" dataDxfId="869" headerRowBorderDxfId="870" tableBorderDxfId="868">
  <autoFilter ref="T3:T14" xr:uid="{00000000-0009-0000-0100-000011000000}"/>
  <tableColumns count="1">
    <tableColumn id="1" xr3:uid="{00000000-0010-0000-1000-000001000000}" name="Byers 32J" dataDxfId="867"/>
  </tableColumns>
  <tableStyleInfo name="TableStyleLight5" showFirstColumn="0" showLastColumn="0" showRowStripes="1" showColumnStripes="0"/>
</table>
</file>

<file path=xl/tables/table1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0" xr:uid="{00000000-000C-0000-FFFF-FFFFA9000000}" name="Table170" displayName="Table170" ref="FQ3:FQ8" totalsRowShown="0" headerRowDxfId="106" dataDxfId="104" headerRowBorderDxfId="105" tableBorderDxfId="103">
  <autoFilter ref="FQ3:FQ8" xr:uid="{00000000-0009-0000-0100-0000AA000000}"/>
  <tableColumns count="1">
    <tableColumn id="1" xr3:uid="{00000000-0010-0000-A900-000001000000}" name="Platte Valley RE-7" dataDxfId="102"/>
  </tableColumns>
  <tableStyleInfo name="TableStyleLight2" showFirstColumn="0" showLastColumn="0" showRowStripes="1" showColumnStripes="0"/>
</table>
</file>

<file path=xl/tables/table1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1" xr:uid="{00000000-000C-0000-FFFF-FFFFAA000000}" name="Table171" displayName="Table171" ref="FR3:FR12" totalsRowShown="0" headerRowDxfId="101" dataDxfId="99" headerRowBorderDxfId="100" tableBorderDxfId="98">
  <autoFilter ref="FR3:FR12" xr:uid="{00000000-0009-0000-0100-0000AB000000}"/>
  <tableColumns count="1">
    <tableColumn id="1" xr3:uid="{00000000-0010-0000-AA00-000001000000}" name="Weld Re-8 Schools" dataDxfId="97"/>
  </tableColumns>
  <tableStyleInfo name="TableStyleLight3" showFirstColumn="0" showLastColumn="0" showRowStripes="1" showColumnStripes="0"/>
</table>
</file>

<file path=xl/tables/table1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2" xr:uid="{00000000-000C-0000-FFFF-FFFFAB000000}" name="Table172" displayName="Table172" ref="FS3:FS8" totalsRowShown="0" headerRowDxfId="96" dataDxfId="94" headerRowBorderDxfId="95" tableBorderDxfId="93">
  <autoFilter ref="FS3:FS8" xr:uid="{00000000-0009-0000-0100-0000AC000000}"/>
  <tableColumns count="1">
    <tableColumn id="1" xr3:uid="{00000000-0010-0000-AB00-000001000000}" name="Ault-Highland RE-9" dataDxfId="92"/>
  </tableColumns>
  <tableStyleInfo name="TableStyleLight4" showFirstColumn="0" showLastColumn="0" showRowStripes="1" showColumnStripes="0"/>
</table>
</file>

<file path=xl/tables/table1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3" xr:uid="{00000000-000C-0000-FFFF-FFFFAC000000}" name="Table173" displayName="Table173" ref="FT3:FT6" totalsRowShown="0" headerRowDxfId="91" dataDxfId="89" headerRowBorderDxfId="90" tableBorderDxfId="88">
  <autoFilter ref="FT3:FT6" xr:uid="{00000000-0009-0000-0100-0000AD000000}"/>
  <tableColumns count="1">
    <tableColumn id="1" xr3:uid="{00000000-0010-0000-AC00-000001000000}" name="Briggsdale RE-10" dataDxfId="87"/>
  </tableColumns>
  <tableStyleInfo name="TableStyleLight5" showFirstColumn="0" showLastColumn="0" showRowStripes="1" showColumnStripes="0"/>
</table>
</file>

<file path=xl/tables/table1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4" xr:uid="{00000000-000C-0000-FFFF-FFFFAD000000}" name="Table174" displayName="Table174" ref="FU3:FU6" totalsRowShown="0" headerRowDxfId="86" dataDxfId="84" headerRowBorderDxfId="85" tableBorderDxfId="83">
  <autoFilter ref="FU3:FU6" xr:uid="{00000000-0009-0000-0100-0000AE000000}"/>
  <tableColumns count="1">
    <tableColumn id="1" xr3:uid="{00000000-0010-0000-AD00-000001000000}" name="Prairie RE-11" dataDxfId="82"/>
  </tableColumns>
  <tableStyleInfo name="TableStyleLight6" showFirstColumn="0" showLastColumn="0" showRowStripes="1" showColumnStripes="0"/>
</table>
</file>

<file path=xl/tables/table1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5" xr:uid="{00000000-000C-0000-FFFF-FFFFAE000000}" name="Table175" displayName="Table175" ref="FV3:FV5" totalsRowShown="0" headerRowDxfId="81" dataDxfId="79" headerRowBorderDxfId="80" tableBorderDxfId="78">
  <autoFilter ref="FV3:FV5" xr:uid="{00000000-0009-0000-0100-0000AF000000}"/>
  <tableColumns count="1">
    <tableColumn id="1" xr3:uid="{00000000-0010-0000-AE00-000001000000}" name="Pawnee RE-12" dataDxfId="77"/>
  </tableColumns>
  <tableStyleInfo name="TableStyleLight7" showFirstColumn="0" showLastColumn="0" showRowStripes="1" showColumnStripes="0"/>
</table>
</file>

<file path=xl/tables/table1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6" xr:uid="{00000000-000C-0000-FFFF-FFFFAF000000}" name="Table176" displayName="Table176" ref="FW3:FW10" totalsRowShown="0" headerRowDxfId="76" dataDxfId="74" headerRowBorderDxfId="75" tableBorderDxfId="73">
  <autoFilter ref="FW3:FW10" xr:uid="{00000000-0009-0000-0100-0000B0000000}"/>
  <tableColumns count="1">
    <tableColumn id="1" xr3:uid="{00000000-0010-0000-AF00-000001000000}" name="Yuma 1" dataDxfId="72"/>
  </tableColumns>
  <tableStyleInfo name="TableStyleLight2" showFirstColumn="0" showLastColumn="0" showRowStripes="1" showColumnStripes="0"/>
</table>
</file>

<file path=xl/tables/table1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7" xr:uid="{00000000-000C-0000-FFFF-FFFFB0000000}" name="Table177" displayName="Table177" ref="FX3:FX7" totalsRowShown="0" headerRowDxfId="71" dataDxfId="69" headerRowBorderDxfId="70" tableBorderDxfId="68">
  <autoFilter ref="FX3:FX7" xr:uid="{00000000-0009-0000-0100-0000B1000000}"/>
  <tableColumns count="1">
    <tableColumn id="1" xr3:uid="{00000000-0010-0000-B000-000001000000}" name="Wray RD-2" dataDxfId="67"/>
  </tableColumns>
  <tableStyleInfo name="TableStyleLight3" showFirstColumn="0" showLastColumn="0" showRowStripes="1" showColumnStripes="0"/>
</table>
</file>

<file path=xl/tables/table1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8" xr:uid="{00000000-000C-0000-FFFF-FFFFB1000000}" name="Table178" displayName="Table178" ref="FY3:FY6" totalsRowShown="0" headerRowDxfId="66" dataDxfId="64" headerRowBorderDxfId="65" tableBorderDxfId="63">
  <autoFilter ref="FY3:FY6" xr:uid="{00000000-0009-0000-0100-0000B2000000}"/>
  <tableColumns count="1">
    <tableColumn id="1" xr3:uid="{00000000-0010-0000-B100-000001000000}" name="Idalia RJ-3" dataDxfId="62"/>
  </tableColumns>
  <tableStyleInfo name="TableStyleLight4" showFirstColumn="0" showLastColumn="0" showRowStripes="1" showColumnStripes="0"/>
</table>
</file>

<file path=xl/tables/table1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9" xr:uid="{00000000-000C-0000-FFFF-FFFFB2000000}" name="Table179" displayName="Table179" ref="FZ3:FZ5" totalsRowShown="0" headerRowDxfId="61" dataDxfId="59" headerRowBorderDxfId="60" tableBorderDxfId="58">
  <autoFilter ref="FZ3:FZ5" xr:uid="{00000000-0009-0000-0100-0000B3000000}"/>
  <tableColumns count="1">
    <tableColumn id="1" xr3:uid="{00000000-0010-0000-B200-000001000000}" name="Liberty J-4" dataDxfId="57"/>
  </tableColumns>
  <tableStyleInfo name="TableStyleLight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le18" displayName="Table18" ref="U3:U15" totalsRowShown="0" headerRowDxfId="866" dataDxfId="864" headerRowBorderDxfId="865" tableBorderDxfId="863">
  <autoFilter ref="U3:U15" xr:uid="{00000000-0009-0000-0100-000012000000}"/>
  <tableColumns count="1">
    <tableColumn id="1" xr3:uid="{00000000-0010-0000-1100-000001000000}" name="Archuleta County 50 Jt" dataDxfId="862"/>
  </tableColumns>
  <tableStyleInfo name="TableStyleLight6" showFirstColumn="0" showLastColumn="0" showRowStripes="1" showColumnStripes="0"/>
</table>
</file>

<file path=xl/tables/table1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0" xr:uid="{00000000-000C-0000-FFFF-FFFFB3000000}" name="Table180" displayName="Table180" ref="GA3:GA49" totalsRowShown="0" headerRowDxfId="56" dataDxfId="54" headerRowBorderDxfId="55" tableBorderDxfId="53">
  <autoFilter ref="GA3:GA49" xr:uid="{00000000-0009-0000-0100-0000B4000000}"/>
  <tableColumns count="1">
    <tableColumn id="1" xr3:uid="{00000000-0010-0000-B300-000001000000}" name="Colorado Department of Education - Facilities Unit" dataDxfId="52"/>
  </tableColumns>
  <tableStyleInfo name="TableStyleLight6" showFirstColumn="0" showLastColumn="0" showRowStripes="1" showColumnStripes="0"/>
</table>
</file>

<file path=xl/tables/table1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1" xr:uid="{00000000-000C-0000-FFFF-FFFFB4000000}" name="Table181" displayName="Table181" ref="GB3:GB47" totalsRowShown="0" headerRowDxfId="51" dataDxfId="49" headerRowBorderDxfId="50" tableBorderDxfId="48">
  <autoFilter ref="GB3:GB47" xr:uid="{00000000-0009-0000-0100-0000B5000000}"/>
  <tableColumns count="1">
    <tableColumn id="1" xr3:uid="{00000000-0010-0000-B400-000001000000}" name="Charter School Institute" dataDxfId="47"/>
  </tableColumns>
  <tableStyleInfo name="TableStyleLight7" showFirstColumn="0" showLastColumn="0" showRowStripes="1" showColumnStripes="0"/>
</table>
</file>

<file path=xl/tables/table1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2" xr:uid="{00000000-000C-0000-FFFF-FFFFB5000000}" name="Table182" displayName="Table182" ref="GC3:GC5" totalsRowShown="0" headerRowDxfId="46" dataDxfId="44" headerRowBorderDxfId="45" tableBorderDxfId="43">
  <autoFilter ref="GC3:GC5" xr:uid="{00000000-0009-0000-0100-0000B6000000}"/>
  <tableColumns count="1">
    <tableColumn id="1" xr3:uid="{00000000-0010-0000-B500-000001000000}" name="Department of Corrections" dataDxfId="42"/>
  </tableColumns>
  <tableStyleInfo name="TableStyleLight2" showFirstColumn="0" showLastColumn="0" showRowStripes="1" showColumnStripes="0"/>
</table>
</file>

<file path=xl/tables/table1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3" xr:uid="{00000000-000C-0000-FFFF-FFFFB6000000}" name="Table183" displayName="Table183" ref="GD3:GD11" totalsRowShown="0" headerRowDxfId="41" dataDxfId="39" headerRowBorderDxfId="40" tableBorderDxfId="38">
  <autoFilter ref="GD3:GD11" xr:uid="{00000000-0009-0000-0100-0000B7000000}"/>
  <tableColumns count="1">
    <tableColumn id="1" xr3:uid="{00000000-0010-0000-B600-000001000000}" name="Division of Youth Services" dataDxfId="37"/>
  </tableColumns>
  <tableStyleInfo name="TableStyleLight3" showFirstColumn="0" showLastColumn="0" showRowStripes="1" showColumnStripes="0"/>
</table>
</file>

<file path=xl/tables/table1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4" xr:uid="{00000000-000C-0000-FFFF-FFFFB7000000}" name="Table184" displayName="Table184" ref="GE3:GE5" totalsRowShown="0" headerRowDxfId="36" dataDxfId="34" headerRowBorderDxfId="35" tableBorderDxfId="33">
  <autoFilter ref="GE3:GE5" xr:uid="{00000000-0009-0000-0100-0000B8000000}"/>
  <tableColumns count="1">
    <tableColumn id="1" xr3:uid="{00000000-0010-0000-B700-000001000000}" name="Colorado School for the Deaf and Blind" dataDxfId="32"/>
  </tableColumns>
  <tableStyleInfo name="TableStyleLight4" showFirstColumn="0" showLastColumn="0" showRowStripes="1" showColumnStripes="0"/>
</table>
</file>

<file path=xl/tables/table1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5" xr:uid="{00000000-000C-0000-FFFF-FFFFB8000000}" name="Table185" displayName="Table185" ref="GF3:GF6" totalsRowShown="0" headerRowDxfId="31" dataDxfId="29" headerRowBorderDxfId="30" tableBorderDxfId="28">
  <autoFilter ref="GF3:GF6" xr:uid="{00000000-0009-0000-0100-0000B9000000}"/>
  <tableColumns count="1">
    <tableColumn id="1" xr3:uid="{00000000-0010-0000-B800-000001000000}" name="Centennial BOCES" dataDxfId="27"/>
  </tableColumns>
  <tableStyleInfo name="TableStyleLight5" showFirstColumn="0" showLastColumn="0" showRowStripes="1" showColumnStripes="0"/>
</table>
</file>

<file path=xl/tables/table1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6" xr:uid="{00000000-000C-0000-FFFF-FFFFB9000000}" name="Table186" displayName="Table186" ref="GG3:GG5" totalsRowShown="0" headerRowDxfId="26" dataDxfId="24" headerRowBorderDxfId="25" tableBorderDxfId="23">
  <autoFilter ref="GG3:GG5" xr:uid="{00000000-0009-0000-0100-0000BA000000}"/>
  <tableColumns count="1">
    <tableColumn id="1" xr3:uid="{00000000-0010-0000-B900-000001000000}" name="San Juan BOCES" dataDxfId="22"/>
  </tableColumns>
  <tableStyleInfo name="TableStyleLight6" showFirstColumn="0" showLastColumn="0" showRowStripes="1" showColumnStripes="0"/>
</table>
</file>

<file path=xl/tables/table1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7" xr:uid="{00000000-000C-0000-FFFF-FFFFBA000000}" name="Table187" displayName="Table187" ref="GH3:GH5" totalsRowShown="0" headerRowDxfId="21" dataDxfId="19" headerRowBorderDxfId="20" tableBorderDxfId="18">
  <autoFilter ref="GH3:GH5" xr:uid="{00000000-0009-0000-0100-0000BB000000}"/>
  <tableColumns count="1">
    <tableColumn id="1" xr3:uid="{00000000-0010-0000-BA00-000001000000}" name="Expeditionary BOCES" dataDxfId="17"/>
  </tableColumns>
  <tableStyleInfo name="TableStyleLight7" showFirstColumn="0" showLastColumn="0" showRowStripes="1" showColumnStripes="0"/>
</table>
</file>

<file path=xl/tables/table1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8" xr:uid="{00000000-000C-0000-FFFF-FFFFBB000000}" name="Table188" displayName="Table188" ref="GI3:GI9" totalsRowShown="0" headerRowDxfId="16" dataDxfId="14" headerRowBorderDxfId="15" tableBorderDxfId="13">
  <autoFilter ref="GI3:GI9" xr:uid="{00000000-0009-0000-0100-0000BC000000}"/>
  <tableColumns count="1">
    <tableColumn id="1" xr3:uid="{00000000-0010-0000-BB00-000001000000}" name="Education reEnvisioned BOCES" dataDxfId="12"/>
  </tableColumns>
  <tableStyleInfo name="TableStyleLight2" showFirstColumn="0" showLastColumn="0" showRowStripes="1" showColumnStripes="0"/>
</table>
</file>

<file path=xl/tables/table1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9" xr:uid="{00000000-000C-0000-FFFF-FFFFBC000000}" name="Table189" displayName="Table189" ref="GJ3:GJ5" totalsRowShown="0" headerRowDxfId="11" dataDxfId="9" headerRowBorderDxfId="10" tableBorderDxfId="8">
  <autoFilter ref="GJ3:GJ5" xr:uid="{00000000-0009-0000-0100-0000BD000000}"/>
  <tableColumns count="1">
    <tableColumn id="1" xr3:uid="{00000000-0010-0000-BC00-000001000000}" name="Colorado River BOCES" dataDxfId="7"/>
  </tableColumns>
  <tableStyleInfo name="TableStyleLight3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le19" displayName="Table19" ref="V3:V6" totalsRowShown="0" headerRowDxfId="861" dataDxfId="859" headerRowBorderDxfId="860" tableBorderDxfId="858">
  <autoFilter ref="V3:V6" xr:uid="{00000000-0009-0000-0100-000013000000}"/>
  <tableColumns count="1">
    <tableColumn id="1" xr3:uid="{00000000-0010-0000-1200-000001000000}" name="Walsh RE-1" dataDxfId="857"/>
  </tableColumns>
  <tableStyleInfo name="TableStyleLight7" showFirstColumn="0" showLastColumn="0" showRowStripes="1" showColumnStripes="0"/>
</table>
</file>

<file path=xl/tables/table1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0" xr:uid="{00000000-000C-0000-FFFF-FFFFBD000000}" name="Table190" displayName="Table190" ref="GK3:GK7" totalsRowShown="0" headerRowDxfId="6" dataDxfId="4" headerRowBorderDxfId="5" tableBorderDxfId="3">
  <autoFilter ref="GK3:GK7" xr:uid="{00000000-0009-0000-0100-0000BE000000}"/>
  <tableColumns count="1">
    <tableColumn id="1" xr3:uid="{00000000-0010-0000-BD00-000001000000}" name="For District Wide School (9980)" dataDxfId="2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E3:E27" totalsRowShown="0" headerRowDxfId="946" dataDxfId="944" headerRowBorderDxfId="945" tableBorderDxfId="943">
  <autoFilter ref="E3:E27" xr:uid="{00000000-0009-0000-0100-000002000000}"/>
  <tableColumns count="1">
    <tableColumn id="1" xr3:uid="{00000000-0010-0000-0100-000001000000}" name="Mapleton 1" dataDxfId="942"/>
  </tableColumns>
  <tableStyleInfo name="TableStyleLight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20" displayName="Table20" ref="W3:W6" totalsRowShown="0" headerRowDxfId="856" dataDxfId="854" headerRowBorderDxfId="855" tableBorderDxfId="853">
  <autoFilter ref="W3:W6" xr:uid="{00000000-0009-0000-0100-000014000000}"/>
  <tableColumns count="1">
    <tableColumn id="1" xr3:uid="{00000000-0010-0000-1300-000001000000}" name="Pritchett RE-3" dataDxfId="852"/>
  </tableColumns>
  <tableStyleInfo name="TableStyleLight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21" displayName="Table21" ref="X3:X6" totalsRowShown="0" headerRowDxfId="851" dataDxfId="849" headerRowBorderDxfId="850" tableBorderDxfId="848">
  <autoFilter ref="X3:X6" xr:uid="{00000000-0009-0000-0100-000015000000}"/>
  <tableColumns count="1">
    <tableColumn id="1" xr3:uid="{00000000-0010-0000-1400-000001000000}" name="Springfield RE-4" dataDxfId="847"/>
  </tableColumns>
  <tableStyleInfo name="TableStyleLight3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22" displayName="Table22" ref="Y3:Y6" totalsRowShown="0" headerRowDxfId="846" dataDxfId="844" headerRowBorderDxfId="845" tableBorderDxfId="843">
  <autoFilter ref="Y3:Y6" xr:uid="{00000000-0009-0000-0100-000016000000}"/>
  <tableColumns count="1">
    <tableColumn id="1" xr3:uid="{00000000-0010-0000-1500-000001000000}" name="Vilas RE-5" dataDxfId="842"/>
  </tableColumns>
  <tableStyleInfo name="TableStyleLight4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23" displayName="Table23" ref="Z3:Z6" totalsRowShown="0" headerRowDxfId="841" dataDxfId="839" headerRowBorderDxfId="840" tableBorderDxfId="838">
  <autoFilter ref="Z3:Z6" xr:uid="{00000000-0009-0000-0100-000017000000}"/>
  <tableColumns count="1">
    <tableColumn id="1" xr3:uid="{00000000-0010-0000-1600-000001000000}" name="Campo RE-6" dataDxfId="837"/>
  </tableColumns>
  <tableStyleInfo name="TableStyleLight5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le24" displayName="Table24" ref="AA3:AA12" totalsRowShown="0" headerRowDxfId="836" dataDxfId="834" headerRowBorderDxfId="835" tableBorderDxfId="833">
  <autoFilter ref="AA3:AA12" xr:uid="{00000000-0009-0000-0100-000018000000}"/>
  <tableColumns count="1">
    <tableColumn id="1" xr3:uid="{00000000-0010-0000-1700-000001000000}" name="Las Animas RE-1" dataDxfId="832"/>
  </tableColumns>
  <tableStyleInfo name="TableStyleLight6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le25" displayName="Table25" ref="AB3:AB6" totalsRowShown="0" headerRowDxfId="831" dataDxfId="829" headerRowBorderDxfId="830" tableBorderDxfId="828">
  <autoFilter ref="AB3:AB6" xr:uid="{00000000-0009-0000-0100-000019000000}"/>
  <tableColumns count="1">
    <tableColumn id="1" xr3:uid="{00000000-0010-0000-1800-000001000000}" name="McClave Re-2" dataDxfId="827"/>
  </tableColumns>
  <tableStyleInfo name="TableStyleLight7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le26" displayName="Table26" ref="AC3:AC95" totalsRowShown="0" headerRowDxfId="826" dataDxfId="824" headerRowBorderDxfId="825" tableBorderDxfId="823">
  <autoFilter ref="AC3:AC95" xr:uid="{00000000-0009-0000-0100-00001A000000}"/>
  <tableColumns count="1">
    <tableColumn id="1" xr3:uid="{00000000-0010-0000-1900-000001000000}" name="St Vrain Valley RE1J" dataDxfId="822"/>
  </tableColumns>
  <tableStyleInfo name="TableStyleLight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le27" displayName="Table27" ref="AD3:AD133" totalsRowShown="0" headerRowDxfId="821" dataDxfId="819" headerRowBorderDxfId="820" tableBorderDxfId="818">
  <autoFilter ref="AD3:AD133" xr:uid="{00000000-0009-0000-0100-00001B000000}"/>
  <tableColumns count="1">
    <tableColumn id="1" xr3:uid="{00000000-0010-0000-1A00-000001000000}" name="Boulder Valley Re 2" dataDxfId="817"/>
  </tableColumns>
  <tableStyleInfo name="TableStyleLight3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le28" displayName="Table28" ref="AE3:AE11" totalsRowShown="0" headerRowDxfId="816" dataDxfId="814" headerRowBorderDxfId="815" tableBorderDxfId="813">
  <autoFilter ref="AE3:AE11" xr:uid="{00000000-0009-0000-0100-00001C000000}"/>
  <tableColumns count="1">
    <tableColumn id="1" xr3:uid="{00000000-0010-0000-1B00-000001000000}" name="Buena Vista R-31" dataDxfId="812"/>
  </tableColumns>
  <tableStyleInfo name="TableStyleLight4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le29" displayName="Table29" ref="AF3:AF12" totalsRowShown="0" headerRowDxfId="811" dataDxfId="809" headerRowBorderDxfId="810" tableBorderDxfId="808">
  <autoFilter ref="AF3:AF12" xr:uid="{00000000-0009-0000-0100-00001D000000}"/>
  <tableColumns count="1">
    <tableColumn id="1" xr3:uid="{00000000-0010-0000-1C00-000001000000}" name="Salida R-32" dataDxfId="807"/>
  </tableColumns>
  <tableStyleInfo name="TableStyleLight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F3:F78" totalsRowShown="0" headerRowDxfId="941" dataDxfId="939" headerRowBorderDxfId="940" tableBorderDxfId="938">
  <autoFilter ref="F3:F78" xr:uid="{00000000-0009-0000-0100-000003000000}"/>
  <tableColumns count="1">
    <tableColumn id="1" xr3:uid="{00000000-0010-0000-0200-000001000000}" name="Adams 12 Five Star Schools" dataDxfId="937"/>
  </tableColumns>
  <tableStyleInfo name="TableStyleLight3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le30" displayName="Table30" ref="AG3:AG6" totalsRowShown="0" headerRowDxfId="806" dataDxfId="804" headerRowBorderDxfId="805" tableBorderDxfId="803">
  <autoFilter ref="AG3:AG6" xr:uid="{00000000-0009-0000-0100-00001E000000}"/>
  <tableColumns count="1">
    <tableColumn id="1" xr3:uid="{00000000-0010-0000-1D00-000001000000}" name="Kit Carson R-1" dataDxfId="802"/>
  </tableColumns>
  <tableStyleInfo name="TableStyleLight6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le31" displayName="Table31" ref="AH3:AH6" totalsRowShown="0" headerRowDxfId="801" dataDxfId="799" headerRowBorderDxfId="800" tableBorderDxfId="798">
  <autoFilter ref="AH3:AH6" xr:uid="{00000000-0009-0000-0100-00001F000000}"/>
  <tableColumns count="1">
    <tableColumn id="1" xr3:uid="{00000000-0010-0000-1E00-000001000000}" name="Cheyenne County Re-5" dataDxfId="797"/>
  </tableColumns>
  <tableStyleInfo name="TableStyleLight7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le32" displayName="Table32" ref="AI3:AI9" totalsRowShown="0" headerRowDxfId="796" dataDxfId="794" headerRowBorderDxfId="795" tableBorderDxfId="793">
  <autoFilter ref="AI3:AI9" xr:uid="{00000000-0009-0000-0100-000020000000}"/>
  <tableColumns count="1">
    <tableColumn id="1" xr3:uid="{00000000-0010-0000-1F00-000001000000}" name="Clear Creek RE-1" dataDxfId="792"/>
  </tableColumns>
  <tableStyleInfo name="TableStyleLight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le33" displayName="Table33" ref="AJ3:AJ10" totalsRowShown="0" headerRowDxfId="791" dataDxfId="789" headerRowBorderDxfId="790" tableBorderDxfId="788">
  <autoFilter ref="AJ3:AJ10" xr:uid="{00000000-0009-0000-0100-000021000000}"/>
  <tableColumns count="1">
    <tableColumn id="1" xr3:uid="{00000000-0010-0000-2000-000001000000}" name="North Conejos RE-1J" dataDxfId="787"/>
  </tableColumns>
  <tableStyleInfo name="TableStyleLight3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e34" displayName="Table34" ref="AK3:AK7" totalsRowShown="0" headerRowDxfId="786" dataDxfId="784" headerRowBorderDxfId="785" tableBorderDxfId="783">
  <autoFilter ref="AK3:AK7" xr:uid="{00000000-0009-0000-0100-000022000000}"/>
  <tableColumns count="1">
    <tableColumn id="1" xr3:uid="{00000000-0010-0000-2100-000001000000}" name="Sanford 6J" dataDxfId="782"/>
  </tableColumns>
  <tableStyleInfo name="TableStyleLight4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e35" displayName="Table35" ref="AL3:AL8" totalsRowShown="0" headerRowDxfId="781" dataDxfId="779" headerRowBorderDxfId="780" tableBorderDxfId="778">
  <autoFilter ref="AL3:AL8" xr:uid="{00000000-0009-0000-0100-000023000000}"/>
  <tableColumns count="1">
    <tableColumn id="1" xr3:uid="{00000000-0010-0000-2200-000001000000}" name="South Conejos RE-10" dataDxfId="777"/>
  </tableColumns>
  <tableStyleInfo name="TableStyleLight5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3000000}" name="Table36" displayName="Table36" ref="AM3:AM6" totalsRowShown="0" headerRowDxfId="776" dataDxfId="774" headerRowBorderDxfId="775" tableBorderDxfId="773">
  <autoFilter ref="AM3:AM6" xr:uid="{00000000-0009-0000-0100-000024000000}"/>
  <tableColumns count="1">
    <tableColumn id="1" xr3:uid="{00000000-0010-0000-2300-000001000000}" name="Centennial R-1" dataDxfId="772"/>
  </tableColumns>
  <tableStyleInfo name="TableStyleLight6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Table37" displayName="Table37" ref="AN3:AN7" totalsRowShown="0" headerRowDxfId="771" dataDxfId="769" headerRowBorderDxfId="770" tableBorderDxfId="768">
  <autoFilter ref="AN3:AN7" xr:uid="{00000000-0009-0000-0100-000025000000}"/>
  <tableColumns count="1">
    <tableColumn id="1" xr3:uid="{00000000-0010-0000-2400-000001000000}" name="Sierra Grande R-30" dataDxfId="767"/>
  </tableColumns>
  <tableStyleInfo name="TableStyleLight7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Table38" displayName="Table38" ref="AO3:AO8" totalsRowShown="0" headerRowDxfId="766" dataDxfId="764" headerRowBorderDxfId="765" tableBorderDxfId="763">
  <autoFilter ref="AO3:AO8" xr:uid="{00000000-0009-0000-0100-000026000000}"/>
  <tableColumns count="1">
    <tableColumn id="1" xr3:uid="{00000000-0010-0000-2500-000001000000}" name="Crowley County RE-1-J" dataDxfId="762"/>
  </tableColumns>
  <tableStyleInfo name="TableStyleLight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Table39" displayName="Table39" ref="AP3:AP7" totalsRowShown="0" headerRowDxfId="761" dataDxfId="759" headerRowBorderDxfId="760" tableBorderDxfId="758">
  <autoFilter ref="AP3:AP7" xr:uid="{00000000-0009-0000-0100-000027000000}"/>
  <tableColumns count="1">
    <tableColumn id="1" xr3:uid="{00000000-0010-0000-2600-000001000000}" name="Custer County School District C-1" dataDxfId="757"/>
  </tableColumns>
  <tableStyleInfo name="TableStyleLight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G3:G19" totalsRowShown="0" headerRowDxfId="936" dataDxfId="934" headerRowBorderDxfId="935" tableBorderDxfId="933">
  <autoFilter ref="G3:G19" xr:uid="{00000000-0009-0000-0100-000004000000}"/>
  <tableColumns count="1">
    <tableColumn id="1" xr3:uid="{00000000-0010-0000-0300-000001000000}" name="Adams County 14" dataDxfId="932"/>
  </tableColumns>
  <tableStyleInfo name="TableStyleLight4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Table40" displayName="Table40" ref="AQ3:AQ29" totalsRowShown="0" headerRowDxfId="756" dataDxfId="754" headerRowBorderDxfId="755" tableBorderDxfId="753">
  <autoFilter ref="AQ3:AQ29" xr:uid="{00000000-0009-0000-0100-000028000000}"/>
  <tableColumns count="1">
    <tableColumn id="1" xr3:uid="{00000000-0010-0000-2700-000001000000}" name="Delta County 50(J)" dataDxfId="752"/>
  </tableColumns>
  <tableStyleInfo name="TableStyleLight4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Table41" displayName="Table41" ref="AR3:AR359" totalsRowShown="0" headerRowDxfId="751" dataDxfId="749" headerRowBorderDxfId="750" tableBorderDxfId="748">
  <autoFilter ref="AR3:AR359" xr:uid="{00000000-0009-0000-0100-000029000000}"/>
  <tableColumns count="1">
    <tableColumn id="1" xr3:uid="{00000000-0010-0000-2800-000001000000}" name="Denver County 1" dataDxfId="747"/>
  </tableColumns>
  <tableStyleInfo name="TableStyleLight5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Table42" displayName="Table42" ref="AS3:AS7" totalsRowShown="0" headerRowDxfId="746" dataDxfId="744" headerRowBorderDxfId="745" tableBorderDxfId="743">
  <autoFilter ref="AS3:AS7" xr:uid="{00000000-0009-0000-0100-00002A000000}"/>
  <tableColumns count="1">
    <tableColumn id="1" xr3:uid="{00000000-0010-0000-2900-000001000000}" name="Dolores County RE No.2" dataDxfId="742"/>
  </tableColumns>
  <tableStyleInfo name="TableStyleLight6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Table43" displayName="Table43" ref="AT3:AT111" totalsRowShown="0" headerRowDxfId="741" dataDxfId="739" headerRowBorderDxfId="740" tableBorderDxfId="738">
  <autoFilter ref="AT3:AT111" xr:uid="{00000000-0009-0000-0100-00002B000000}"/>
  <tableColumns count="1">
    <tableColumn id="1" xr3:uid="{00000000-0010-0000-2A00-000001000000}" name="Douglas County Re 1" dataDxfId="737"/>
  </tableColumns>
  <tableStyleInfo name="TableStyleLight7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Table44" displayName="Table44" ref="AU3:AU30" totalsRowShown="0" headerRowDxfId="736" dataDxfId="734" headerRowBorderDxfId="735" tableBorderDxfId="733">
  <autoFilter ref="AU3:AU30" xr:uid="{00000000-0009-0000-0100-00002C000000}"/>
  <tableColumns count="1">
    <tableColumn id="1" xr3:uid="{00000000-0010-0000-2B00-000001000000}" name="Eagle County RE 50" dataDxfId="732"/>
  </tableColumns>
  <tableStyleInfo name="TableStyleLight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Table45" displayName="Table45" ref="AV3:AV11" totalsRowShown="0" headerRowDxfId="731" dataDxfId="729" headerRowBorderDxfId="730" tableBorderDxfId="728">
  <autoFilter ref="AV3:AV11" xr:uid="{00000000-0009-0000-0100-00002D000000}"/>
  <tableColumns count="1">
    <tableColumn id="1" xr3:uid="{00000000-0010-0000-2C00-000001000000}" name="Elizabeth School District" dataDxfId="727"/>
  </tableColumns>
  <tableStyleInfo name="TableStyleLight3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D000000}" name="Table46" displayName="Table46" ref="AW3:AW7" totalsRowShown="0" headerRowDxfId="726" dataDxfId="724" headerRowBorderDxfId="725" tableBorderDxfId="723">
  <autoFilter ref="AW3:AW7" xr:uid="{00000000-0009-0000-0100-00002E000000}"/>
  <tableColumns count="1">
    <tableColumn id="1" xr3:uid="{00000000-0010-0000-2D00-000001000000}" name="Kiowa C-2" dataDxfId="722"/>
  </tableColumns>
  <tableStyleInfo name="TableStyleLight4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E000000}" name="Table47" displayName="Table47" ref="AX3:AX7" totalsRowShown="0" headerRowDxfId="721" dataDxfId="719" headerRowBorderDxfId="720" tableBorderDxfId="718">
  <autoFilter ref="AX3:AX7" xr:uid="{00000000-0009-0000-0100-00002F000000}"/>
  <tableColumns count="1">
    <tableColumn id="1" xr3:uid="{00000000-0010-0000-2E00-000001000000}" name="Big Sandy 100J" dataDxfId="717"/>
  </tableColumns>
  <tableStyleInfo name="TableStyleLight5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F000000}" name="Table48" displayName="Table48" ref="AY3:AY7" totalsRowShown="0" headerRowDxfId="716" dataDxfId="714" headerRowBorderDxfId="715" tableBorderDxfId="713">
  <autoFilter ref="AY3:AY7" xr:uid="{00000000-0009-0000-0100-000030000000}"/>
  <tableColumns count="1">
    <tableColumn id="1" xr3:uid="{00000000-0010-0000-2F00-000001000000}" name="Elbert 200" dataDxfId="712"/>
  </tableColumns>
  <tableStyleInfo name="TableStyleLight6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30000000}" name="Table49" displayName="Table49" ref="AZ3:AZ6" totalsRowShown="0" headerRowDxfId="711" dataDxfId="709" headerRowBorderDxfId="710" tableBorderDxfId="708">
  <autoFilter ref="AZ3:AZ6" xr:uid="{00000000-0009-0000-0100-000031000000}"/>
  <tableColumns count="1">
    <tableColumn id="1" xr3:uid="{00000000-0010-0000-3000-000001000000}" name="Agate 300" dataDxfId="707"/>
  </tableColumns>
  <tableStyleInfo name="TableStyleLight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H3:H39" totalsRowShown="0" headerRowDxfId="931" dataDxfId="929" headerRowBorderDxfId="930" tableBorderDxfId="928">
  <autoFilter ref="H3:H39" xr:uid="{00000000-0009-0000-0100-000005000000}"/>
  <tableColumns count="1">
    <tableColumn id="1" xr3:uid="{00000000-0010-0000-0400-000001000000}" name="School District 27J" dataDxfId="927"/>
  </tableColumns>
  <tableStyleInfo name="TableStyleLight5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1000000}" name="Table50" displayName="Table50" ref="BA3:BA6" totalsRowShown="0" headerRowDxfId="706" dataDxfId="704" headerRowBorderDxfId="705" tableBorderDxfId="703">
  <autoFilter ref="BA3:BA6" xr:uid="{00000000-0009-0000-0100-000032000000}"/>
  <tableColumns count="1">
    <tableColumn id="1" xr3:uid="{00000000-0010-0000-3100-000001000000}" name="Calhan RJ-1" dataDxfId="702"/>
  </tableColumns>
  <tableStyleInfo name="TableStyleLight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2000000}" name="Table51" displayName="Table51" ref="BB3:BB53" totalsRowShown="0" headerRowDxfId="701" dataDxfId="699" headerRowBorderDxfId="700" tableBorderDxfId="698">
  <autoFilter ref="BB3:BB53" xr:uid="{00000000-0009-0000-0100-000033000000}"/>
  <tableColumns count="1">
    <tableColumn id="1" xr3:uid="{00000000-0010-0000-3200-000001000000}" name="Harrison 2" dataDxfId="697"/>
  </tableColumns>
  <tableStyleInfo name="TableStyleLight3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3000000}" name="Table52" displayName="Table52" ref="BC3:BC26" totalsRowShown="0" headerRowDxfId="696" dataDxfId="694" headerRowBorderDxfId="695" tableBorderDxfId="693">
  <autoFilter ref="BC3:BC26" xr:uid="{00000000-0009-0000-0100-000034000000}"/>
  <tableColumns count="1">
    <tableColumn id="1" xr3:uid="{00000000-0010-0000-3300-000001000000}" name="Widefield 3" dataDxfId="692"/>
  </tableColumns>
  <tableStyleInfo name="TableStyleLight4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4000000}" name="Table53" displayName="Table53" ref="BD3:BD21" totalsRowShown="0" headerRowDxfId="691" dataDxfId="689" headerRowBorderDxfId="690" tableBorderDxfId="688">
  <autoFilter ref="BD3:BD21" xr:uid="{00000000-0009-0000-0100-000035000000}"/>
  <tableColumns count="1">
    <tableColumn id="1" xr3:uid="{00000000-0010-0000-3400-000001000000}" name="Fountain 8" dataDxfId="687"/>
  </tableColumns>
  <tableStyleInfo name="TableStyleLight5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5000000}" name="Table54" displayName="Table54" ref="BE3:BE118" totalsRowShown="0" headerRowDxfId="686" dataDxfId="684" headerRowBorderDxfId="685" tableBorderDxfId="683">
  <autoFilter ref="BE3:BE118" xr:uid="{00000000-0009-0000-0100-000036000000}"/>
  <tableColumns count="1">
    <tableColumn id="1" xr3:uid="{00000000-0010-0000-3500-000001000000}" name="Colorado Springs 11" dataDxfId="682"/>
  </tableColumns>
  <tableStyleInfo name="TableStyleLight6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6000000}" name="Table55" displayName="Table55" ref="BF3:BF18" totalsRowShown="0" headerRowDxfId="681" dataDxfId="679" headerRowBorderDxfId="680" tableBorderDxfId="678">
  <autoFilter ref="BF3:BF18" xr:uid="{00000000-0009-0000-0100-000037000000}"/>
  <tableColumns count="1">
    <tableColumn id="1" xr3:uid="{00000000-0010-0000-3600-000001000000}" name="Cheyenne Mountain 12" dataDxfId="677"/>
  </tableColumns>
  <tableStyleInfo name="TableStyleLight7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7000000}" name="Table56" displayName="Table56" ref="BG3:BG8" totalsRowShown="0" headerRowDxfId="676" dataDxfId="674" headerRowBorderDxfId="675" tableBorderDxfId="673">
  <autoFilter ref="BG3:BG8" xr:uid="{00000000-0009-0000-0100-000038000000}"/>
  <tableColumns count="1">
    <tableColumn id="1" xr3:uid="{00000000-0010-0000-3700-000001000000}" name="Manitou Springs 14" dataDxfId="672"/>
  </tableColumns>
  <tableStyleInfo name="TableStyleLight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8000000}" name="Table57" displayName="Table57" ref="BH3:BH53" totalsRowShown="0" headerRowDxfId="671" dataDxfId="669" headerRowBorderDxfId="670" tableBorderDxfId="668">
  <autoFilter ref="BH3:BH53" xr:uid="{00000000-0009-0000-0100-000039000000}"/>
  <tableColumns count="1">
    <tableColumn id="1" xr3:uid="{00000000-0010-0000-3800-000001000000}" name="Academy 20" dataDxfId="667"/>
  </tableColumns>
  <tableStyleInfo name="TableStyleLight3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9000000}" name="Table58" displayName="Table58" ref="BI3:BI9" totalsRowShown="0" headerRowDxfId="666" dataDxfId="664" headerRowBorderDxfId="665" tableBorderDxfId="663">
  <autoFilter ref="BI3:BI9" xr:uid="{00000000-0009-0000-0100-00003A000000}"/>
  <tableColumns count="1">
    <tableColumn id="1" xr3:uid="{00000000-0010-0000-3900-000001000000}" name="Ellicott 22" dataDxfId="662"/>
  </tableColumns>
  <tableStyleInfo name="TableStyleLight4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A000000}" name="Table59" displayName="Table59" ref="BJ3:BJ9" totalsRowShown="0" headerRowDxfId="661" dataDxfId="659" headerRowBorderDxfId="660" tableBorderDxfId="658">
  <autoFilter ref="BJ3:BJ9" xr:uid="{00000000-0009-0000-0100-00003B000000}"/>
  <tableColumns count="1">
    <tableColumn id="1" xr3:uid="{00000000-0010-0000-3A00-000001000000}" name="Peyton 23 Jt" dataDxfId="657"/>
  </tableColumns>
  <tableStyleInfo name="TableStyleLight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6" displayName="Table6" ref="I3:I11" totalsRowShown="0" headerRowDxfId="926" dataDxfId="924" headerRowBorderDxfId="925" tableBorderDxfId="923">
  <autoFilter ref="I3:I11" xr:uid="{00000000-0009-0000-0100-000006000000}"/>
  <tableColumns count="1">
    <tableColumn id="1" xr3:uid="{00000000-0010-0000-0500-000001000000}" name="Bennett 29J" dataDxfId="922"/>
  </tableColumns>
  <tableStyleInfo name="TableStyleLight6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3B000000}" name="Table60" displayName="Table60" ref="BK3:BK7" totalsRowShown="0" headerRowDxfId="656" dataDxfId="654" headerRowBorderDxfId="655" tableBorderDxfId="653">
  <autoFilter ref="BK3:BK7" xr:uid="{00000000-0009-0000-0100-00003C000000}"/>
  <tableColumns count="1">
    <tableColumn id="1" xr3:uid="{00000000-0010-0000-3B00-000001000000}" name="Hanover 28" dataDxfId="652"/>
  </tableColumns>
  <tableStyleInfo name="TableStyleLight6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3C000000}" name="Table61" displayName="Table61" ref="BL3:BL17" totalsRowShown="0" headerRowDxfId="651" dataDxfId="649" headerRowBorderDxfId="650" tableBorderDxfId="648">
  <autoFilter ref="BL3:BL17" xr:uid="{00000000-0009-0000-0100-00003D000000}"/>
  <tableColumns count="1">
    <tableColumn id="1" xr3:uid="{00000000-0010-0000-3C00-000001000000}" name="Lewis-Palmer 38" dataDxfId="647"/>
  </tableColumns>
  <tableStyleInfo name="TableStyleLight7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3D000000}" name="Table62" displayName="Table62" ref="BM3:BM51" totalsRowShown="0" headerRowDxfId="646" dataDxfId="644" headerRowBorderDxfId="645" tableBorderDxfId="643">
  <autoFilter ref="BM3:BM51" xr:uid="{00000000-0009-0000-0100-00003E000000}"/>
  <tableColumns count="1">
    <tableColumn id="1" xr3:uid="{00000000-0010-0000-3D00-000001000000}" name="District 49" dataDxfId="642"/>
  </tableColumns>
  <tableStyleInfo name="TableStyleLight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3E000000}" name="Table63" displayName="Table63" ref="BN3:BN7" totalsRowShown="0" headerRowDxfId="641" dataDxfId="639" headerRowBorderDxfId="640" tableBorderDxfId="638">
  <autoFilter ref="BN3:BN7" xr:uid="{00000000-0009-0000-0100-00003F000000}"/>
  <tableColumns count="1">
    <tableColumn id="1" xr3:uid="{00000000-0010-0000-3E00-000001000000}" name="Edison 54 JT" dataDxfId="637"/>
  </tableColumns>
  <tableStyleInfo name="TableStyleLight3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3F000000}" name="Table64" displayName="Table64" ref="BO3:BO6" totalsRowShown="0" headerRowDxfId="636" dataDxfId="634" headerRowBorderDxfId="635" tableBorderDxfId="633">
  <autoFilter ref="BO3:BO6" xr:uid="{00000000-0009-0000-0100-000040000000}"/>
  <tableColumns count="1">
    <tableColumn id="1" xr3:uid="{00000000-0010-0000-3F00-000001000000}" name="Miami/Yoder 60 JT" dataDxfId="632"/>
  </tableColumns>
  <tableStyleInfo name="TableStyleLight4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00000000-000C-0000-FFFF-FFFF40000000}" name="Table65" displayName="Table65" ref="BP3:BP24" totalsRowShown="0" headerRowDxfId="631" dataDxfId="629" headerRowBorderDxfId="630" tableBorderDxfId="628">
  <autoFilter ref="BP3:BP24" xr:uid="{00000000-0009-0000-0100-000041000000}"/>
  <tableColumns count="1">
    <tableColumn id="1" xr3:uid="{00000000-0010-0000-4000-000001000000}" name="Canon City RE-1" dataDxfId="627"/>
  </tableColumns>
  <tableStyleInfo name="TableStyleLight5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41000000}" name="Table66" displayName="Table66" ref="BQ3:BQ9" totalsRowShown="0" headerRowDxfId="626" dataDxfId="624" headerRowBorderDxfId="625" tableBorderDxfId="623">
  <autoFilter ref="BQ3:BQ9" xr:uid="{00000000-0009-0000-0100-000042000000}"/>
  <tableColumns count="1">
    <tableColumn id="1" xr3:uid="{00000000-0010-0000-4100-000001000000}" name="Fremont RE-2" dataDxfId="622"/>
  </tableColumns>
  <tableStyleInfo name="TableStyleLight6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42000000}" name="Table67" displayName="Table67" ref="BR3:BR7" totalsRowShown="0" headerRowDxfId="621" dataDxfId="619" headerRowBorderDxfId="620" tableBorderDxfId="618">
  <autoFilter ref="BR3:BR7" xr:uid="{00000000-0009-0000-0100-000043000000}"/>
  <tableColumns count="1">
    <tableColumn id="1" xr3:uid="{00000000-0010-0000-4200-000001000000}" name="Cotopaxi RE-3" dataDxfId="617"/>
  </tableColumns>
  <tableStyleInfo name="TableStyleLight7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43000000}" name="Table68" displayName="Table68" ref="BS3:BS33" totalsRowShown="0" headerRowDxfId="616" dataDxfId="614" headerRowBorderDxfId="615" tableBorderDxfId="613">
  <autoFilter ref="BS3:BS33" xr:uid="{00000000-0009-0000-0100-000044000000}"/>
  <tableColumns count="1">
    <tableColumn id="1" xr3:uid="{00000000-0010-0000-4300-000001000000}" name="Roaring Fork RE-1" dataDxfId="612"/>
  </tableColumns>
  <tableStyleInfo name="TableStyleLight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00000000-000C-0000-FFFF-FFFF44000000}" name="Table69" displayName="Table69" ref="BT3:BT20" totalsRowShown="0" headerRowDxfId="611" dataDxfId="609" headerRowBorderDxfId="610" tableBorderDxfId="608">
  <autoFilter ref="BT3:BT20" xr:uid="{00000000-0009-0000-0100-000045000000}"/>
  <tableColumns count="1">
    <tableColumn id="1" xr3:uid="{00000000-0010-0000-4400-000001000000}" name="Garfield Re-2" dataDxfId="607"/>
  </tableColumns>
  <tableStyleInfo name="TableStyleLight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7" displayName="Table7" ref="J3:J9" totalsRowShown="0" headerRowDxfId="921" dataDxfId="919" headerRowBorderDxfId="920" tableBorderDxfId="918">
  <autoFilter ref="J3:J9" xr:uid="{00000000-0009-0000-0100-000007000000}"/>
  <tableColumns count="1">
    <tableColumn id="1" xr3:uid="{00000000-0010-0000-0600-000001000000}" name="Strasburg 31J" dataDxfId="917"/>
  </tableColumns>
  <tableStyleInfo name="TableStyleLight7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5000000}" name="Table70" displayName="Table70" ref="BU3:BU9" totalsRowShown="0" headerRowDxfId="606" dataDxfId="604" headerRowBorderDxfId="605" tableBorderDxfId="603">
  <autoFilter ref="BU3:BU9" xr:uid="{00000000-0009-0000-0100-000046000000}"/>
  <tableColumns count="1">
    <tableColumn id="1" xr3:uid="{00000000-0010-0000-4500-000001000000}" name="Garfield 16" dataDxfId="602"/>
  </tableColumns>
  <tableStyleInfo name="TableStyleLight4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6000000}" name="Table71" displayName="Table71" ref="BV3:BV7" totalsRowShown="0" headerRowDxfId="601" dataDxfId="599" headerRowBorderDxfId="600" tableBorderDxfId="598">
  <autoFilter ref="BV3:BV7" xr:uid="{00000000-0009-0000-0100-000047000000}"/>
  <tableColumns count="1">
    <tableColumn id="1" xr3:uid="{00000000-0010-0000-4600-000001000000}" name="Gilpin County RE-1" dataDxfId="597"/>
  </tableColumns>
  <tableStyleInfo name="TableStyleLight5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7000000}" name="Table72" displayName="Table72" ref="BW3:BW8" totalsRowShown="0" headerRowDxfId="596" dataDxfId="594" headerRowBorderDxfId="595" tableBorderDxfId="593">
  <autoFilter ref="BW3:BW8" xr:uid="{00000000-0009-0000-0100-000048000000}"/>
  <tableColumns count="1">
    <tableColumn id="1" xr3:uid="{00000000-0010-0000-4700-000001000000}" name="West Grand 1-JT" dataDxfId="592"/>
  </tableColumns>
  <tableStyleInfo name="TableStyleLight6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8000000}" name="Table73" displayName="Table73" ref="BX3:BX16" totalsRowShown="0" headerRowDxfId="591" dataDxfId="589" headerRowBorderDxfId="590" tableBorderDxfId="588">
  <autoFilter ref="BX3:BX16" xr:uid="{00000000-0009-0000-0100-000049000000}"/>
  <tableColumns count="1">
    <tableColumn id="1" xr3:uid="{00000000-0010-0000-4800-000001000000}" name="East Grand 2" dataDxfId="587"/>
  </tableColumns>
  <tableStyleInfo name="TableStyleLight7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9000000}" name="Table74" displayName="Table74" ref="BY3:BY16" totalsRowShown="0" headerRowDxfId="586" dataDxfId="584" headerRowBorderDxfId="585" tableBorderDxfId="583">
  <autoFilter ref="BY3:BY16" xr:uid="{00000000-0009-0000-0100-00004A000000}"/>
  <tableColumns count="1">
    <tableColumn id="1" xr3:uid="{00000000-0010-0000-4900-000001000000}" name="Gunnison Watershed RE1J" dataDxfId="582"/>
  </tableColumns>
  <tableStyleInfo name="TableStyleLight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A000000}" name="Table75" displayName="Table75" ref="BZ3:BZ6" totalsRowShown="0" headerRowDxfId="581" dataDxfId="579" headerRowBorderDxfId="580" tableBorderDxfId="578">
  <autoFilter ref="BZ3:BZ6" xr:uid="{00000000-0009-0000-0100-00004B000000}"/>
  <tableColumns count="1">
    <tableColumn id="1" xr3:uid="{00000000-0010-0000-4A00-000001000000}" name="Hinsdale County RE 1" dataDxfId="577"/>
  </tableColumns>
  <tableStyleInfo name="TableStyleLight3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B000000}" name="Table76" displayName="Table76" ref="CA3:CA9" totalsRowShown="0" headerRowDxfId="576" dataDxfId="574" headerRowBorderDxfId="575" tableBorderDxfId="573">
  <autoFilter ref="CA3:CA9" xr:uid="{00000000-0009-0000-0100-00004C000000}"/>
  <tableColumns count="1">
    <tableColumn id="1" xr3:uid="{00000000-0010-0000-4B00-000001000000}" name="Huerfano Re-1" dataDxfId="572"/>
  </tableColumns>
  <tableStyleInfo name="TableStyleLight4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C000000}" name="Table77" displayName="Table77" ref="CB3:CB6" totalsRowShown="0" headerRowDxfId="571" dataDxfId="569" headerRowBorderDxfId="570" tableBorderDxfId="568">
  <autoFilter ref="CB3:CB6" xr:uid="{00000000-0009-0000-0100-00004D000000}"/>
  <tableColumns count="1">
    <tableColumn id="1" xr3:uid="{00000000-0010-0000-4C00-000001000000}" name="La Veta Re-2" dataDxfId="567"/>
  </tableColumns>
  <tableStyleInfo name="TableStyleLight5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D000000}" name="Table78" displayName="Table78" ref="CC3:CC5" totalsRowShown="0" headerRowDxfId="566" dataDxfId="564" headerRowBorderDxfId="565" tableBorderDxfId="563">
  <autoFilter ref="CC3:CC5" xr:uid="{00000000-0009-0000-0100-00004E000000}"/>
  <tableColumns count="1">
    <tableColumn id="1" xr3:uid="{00000000-0010-0000-4D00-000001000000}" name="North Park R-1" dataDxfId="562"/>
  </tableColumns>
  <tableStyleInfo name="TableStyleLight6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E000000}" name="Table79" displayName="Table79" ref="CD3:CD191" totalsRowShown="0" headerRowDxfId="561" dataDxfId="559" headerRowBorderDxfId="560" tableBorderDxfId="558">
  <autoFilter ref="CD3:CD191" xr:uid="{00000000-0009-0000-0100-00004F000000}"/>
  <tableColumns count="1">
    <tableColumn id="1" xr3:uid="{00000000-0010-0000-4E00-000001000000}" name="Jefferson County R-1" dataDxfId="557"/>
  </tableColumns>
  <tableStyleInfo name="TableStyleLight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8" displayName="Table8" ref="K3:K32" totalsRowShown="0" headerRowDxfId="916" dataDxfId="914" headerRowBorderDxfId="915" tableBorderDxfId="913">
  <autoFilter ref="K3:K32" xr:uid="{00000000-0009-0000-0100-000008000000}"/>
  <tableColumns count="1">
    <tableColumn id="1" xr3:uid="{00000000-0010-0000-0700-000001000000}" name="Westminster Public Schools" dataDxfId="912"/>
  </tableColumns>
  <tableStyleInfo name="TableStyleLight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0000000-000C-0000-FFFF-FFFF4F000000}" name="Table80" displayName="Table80" ref="CE3:CE7" totalsRowShown="0" headerRowDxfId="556" dataDxfId="554" headerRowBorderDxfId="555" tableBorderDxfId="553">
  <autoFilter ref="CE3:CE7" xr:uid="{00000000-0009-0000-0100-000050000000}"/>
  <tableColumns count="1">
    <tableColumn id="1" xr3:uid="{00000000-0010-0000-4F00-000001000000}" name="Eads RE-1" dataDxfId="552"/>
  </tableColumns>
  <tableStyleInfo name="TableStyleLight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50000000}" name="Table81" displayName="Table81" ref="CF3:CF6" totalsRowShown="0" headerRowDxfId="551" dataDxfId="549" headerRowBorderDxfId="550" tableBorderDxfId="548">
  <autoFilter ref="CF3:CF6" xr:uid="{00000000-0009-0000-0100-000051000000}"/>
  <tableColumns count="1">
    <tableColumn id="1" xr3:uid="{00000000-0010-0000-5000-000001000000}" name="Plainview RE-2" dataDxfId="547"/>
  </tableColumns>
  <tableStyleInfo name="TableStyleLight3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51000000}" name="Table82" displayName="Table82" ref="CG3:CG5" totalsRowShown="0" headerRowDxfId="546" dataDxfId="544" headerRowBorderDxfId="545" tableBorderDxfId="543">
  <autoFilter ref="CG3:CG5" xr:uid="{00000000-0009-0000-0100-000052000000}"/>
  <tableColumns count="1">
    <tableColumn id="1" xr3:uid="{00000000-0010-0000-5100-000001000000}" name="Arriba-Flagler C-20" dataDxfId="542"/>
  </tableColumns>
  <tableStyleInfo name="TableStyleLight4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52000000}" name="Table83" displayName="Table83" ref="CH3:CH5" totalsRowShown="0" headerRowDxfId="541" dataDxfId="539" headerRowBorderDxfId="540" tableBorderDxfId="538">
  <autoFilter ref="CH3:CH5" xr:uid="{00000000-0009-0000-0100-000053000000}"/>
  <tableColumns count="1">
    <tableColumn id="1" xr3:uid="{00000000-0010-0000-5200-000001000000}" name="Hi-Plains R-23" dataDxfId="537"/>
  </tableColumns>
  <tableStyleInfo name="TableStyleLight5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3000000}" name="Table84" displayName="Table84" ref="CI3:CI7" totalsRowShown="0" headerRowDxfId="536" dataDxfId="534" headerRowBorderDxfId="535" tableBorderDxfId="533">
  <autoFilter ref="CI3:CI7" xr:uid="{00000000-0009-0000-0100-000054000000}"/>
  <tableColumns count="1">
    <tableColumn id="1" xr3:uid="{00000000-0010-0000-5300-000001000000}" name="Stratton R-4" dataDxfId="532"/>
  </tableColumns>
  <tableStyleInfo name="TableStyleLight6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4000000}" name="Table85" displayName="Table85" ref="CJ3:CJ5" totalsRowShown="0" headerRowDxfId="531" dataDxfId="529" headerRowBorderDxfId="530" tableBorderDxfId="528">
  <autoFilter ref="CJ3:CJ5" xr:uid="{00000000-0009-0000-0100-000055000000}"/>
  <tableColumns count="1">
    <tableColumn id="1" xr3:uid="{00000000-0010-0000-5400-000001000000}" name="Bethune R-5" dataDxfId="527"/>
  </tableColumns>
  <tableStyleInfo name="TableStyleLight7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5000000}" name="Table86" displayName="Table86" ref="CK3:CK9" totalsRowShown="0" headerRowDxfId="526" dataDxfId="524" headerRowBorderDxfId="525" tableBorderDxfId="523">
  <autoFilter ref="CK3:CK9" xr:uid="{00000000-0009-0000-0100-000056000000}"/>
  <tableColumns count="1">
    <tableColumn id="1" xr3:uid="{00000000-0010-0000-5500-000001000000}" name="Burlington RE-6J" dataDxfId="522"/>
  </tableColumns>
  <tableStyleInfo name="TableStyleLight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6000000}" name="Table87" displayName="Table87" ref="CL3:CL11" totalsRowShown="0" headerRowDxfId="521" dataDxfId="519" headerRowBorderDxfId="520" tableBorderDxfId="518">
  <autoFilter ref="CL3:CL11" xr:uid="{00000000-0009-0000-0100-000057000000}"/>
  <tableColumns count="1">
    <tableColumn id="1" xr3:uid="{00000000-0010-0000-5600-000001000000}" name="Lake County R-1" dataDxfId="517"/>
  </tableColumns>
  <tableStyleInfo name="TableStyleLight3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57000000}" name="Table88" displayName="Table88" ref="CM3:CM50" totalsRowShown="0" headerRowDxfId="516" dataDxfId="514" headerRowBorderDxfId="515" tableBorderDxfId="513">
  <autoFilter ref="CM3:CM50" xr:uid="{00000000-0009-0000-0100-000058000000}"/>
  <tableColumns count="1">
    <tableColumn id="1" xr3:uid="{00000000-0010-0000-5700-000001000000}" name="Durango 9-R" dataDxfId="512"/>
  </tableColumns>
  <tableStyleInfo name="TableStyleLight4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58000000}" name="Table89" displayName="Table89" ref="CN3:CN12" totalsRowShown="0" headerRowDxfId="511" dataDxfId="509" headerRowBorderDxfId="510" tableBorderDxfId="508">
  <autoFilter ref="CN3:CN12" xr:uid="{00000000-0009-0000-0100-000059000000}"/>
  <tableColumns count="1">
    <tableColumn id="1" xr3:uid="{00000000-0010-0000-5800-000001000000}" name="Bayfield 10 Jt-R" dataDxfId="507"/>
  </tableColumns>
  <tableStyleInfo name="TableStyleLight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9" displayName="Table9" ref="L3:L18" totalsRowShown="0" headerRowDxfId="911" dataDxfId="909" headerRowBorderDxfId="910" tableBorderDxfId="908">
  <autoFilter ref="L3:L18" xr:uid="{00000000-0009-0000-0100-000009000000}"/>
  <tableColumns count="1">
    <tableColumn id="1" xr3:uid="{00000000-0010-0000-0800-000001000000}" name="Alamosa RE-11J" dataDxfId="907"/>
  </tableColumns>
  <tableStyleInfo name="TableStyleLight3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59000000}" name="Table90" displayName="Table90" ref="CO3:CO12" totalsRowShown="0" headerRowDxfId="506" dataDxfId="504" headerRowBorderDxfId="505" tableBorderDxfId="503">
  <autoFilter ref="CO3:CO12" xr:uid="{00000000-0009-0000-0100-00005A000000}"/>
  <tableColumns count="1">
    <tableColumn id="1" xr3:uid="{00000000-0010-0000-5900-000001000000}" name="Ignacio 11 JT" dataDxfId="502"/>
  </tableColumns>
  <tableStyleInfo name="TableStyleLight6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5A000000}" name="Table91" displayName="Table91" ref="CP3:CP90" totalsRowShown="0" headerRowDxfId="501" dataDxfId="499" headerRowBorderDxfId="500" tableBorderDxfId="498">
  <autoFilter ref="CP3:CP90" xr:uid="{00000000-0009-0000-0100-00005B000000}"/>
  <tableColumns count="1">
    <tableColumn id="1" xr3:uid="{00000000-0010-0000-5A00-000001000000}" name="Poudre R-1" dataDxfId="497"/>
  </tableColumns>
  <tableStyleInfo name="TableStyleLight7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5B000000}" name="Table92" displayName="Table92" ref="CQ3:CQ45" totalsRowShown="0" headerRowDxfId="496" dataDxfId="494" headerRowBorderDxfId="495" tableBorderDxfId="493">
  <autoFilter ref="CQ3:CQ45" xr:uid="{00000000-0009-0000-0100-00005C000000}"/>
  <tableColumns count="1">
    <tableColumn id="1" xr3:uid="{00000000-0010-0000-5B00-000001000000}" name="Thompson R2-J" dataDxfId="492"/>
  </tableColumns>
  <tableStyleInfo name="TableStyleLight2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C000000}" name="Table93" displayName="Table93" ref="CR3:CR10" totalsRowShown="0" headerRowDxfId="491" dataDxfId="489" headerRowBorderDxfId="490" tableBorderDxfId="488">
  <autoFilter ref="CR3:CR10" xr:uid="{00000000-0009-0000-0100-00005D000000}"/>
  <tableColumns count="1">
    <tableColumn id="1" xr3:uid="{00000000-0010-0000-5C00-000001000000}" name="Estes Park R-3" dataDxfId="487"/>
  </tableColumns>
  <tableStyleInfo name="TableStyleLight3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D000000}" name="Table94" displayName="Table94" ref="CS3:CS10" totalsRowShown="0" headerRowDxfId="486" dataDxfId="484" headerRowBorderDxfId="485" tableBorderDxfId="483">
  <autoFilter ref="CS3:CS10" xr:uid="{00000000-0009-0000-0100-00005E000000}"/>
  <tableColumns count="1">
    <tableColumn id="1" xr3:uid="{00000000-0010-0000-5D00-000001000000}" name="Trinidad 1" dataDxfId="482"/>
  </tableColumns>
  <tableStyleInfo name="TableStyleLight4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E000000}" name="Table95" displayName="Table95" ref="CT3:CT6" totalsRowShown="0" headerRowDxfId="481" dataDxfId="479" headerRowBorderDxfId="480" tableBorderDxfId="478">
  <autoFilter ref="CT3:CT6" xr:uid="{00000000-0009-0000-0100-00005F000000}"/>
  <tableColumns count="1">
    <tableColumn id="1" xr3:uid="{00000000-0010-0000-5E00-000001000000}" name="Primero Reorganized 2" dataDxfId="477"/>
  </tableColumns>
  <tableStyleInfo name="TableStyleLight5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F000000}" name="Table96" displayName="Table96" ref="CU3:CU5" totalsRowShown="0" headerRowDxfId="476" dataDxfId="474" headerRowBorderDxfId="475" tableBorderDxfId="473">
  <autoFilter ref="CU3:CU5" xr:uid="{00000000-0009-0000-0100-000060000000}"/>
  <tableColumns count="1">
    <tableColumn id="1" xr3:uid="{00000000-0010-0000-5F00-000001000000}" name="Hoehne Reorganized 3" dataDxfId="472"/>
  </tableColumns>
  <tableStyleInfo name="TableStyleLight6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60000000}" name="Table97" displayName="Table97" ref="CV3:CV6" totalsRowShown="0" headerRowDxfId="471" dataDxfId="469" headerRowBorderDxfId="470" tableBorderDxfId="468">
  <autoFilter ref="CV3:CV6" xr:uid="{00000000-0009-0000-0100-000061000000}"/>
  <tableColumns count="1">
    <tableColumn id="1" xr3:uid="{00000000-0010-0000-6000-000001000000}" name="Aguilar Reorganized 6" dataDxfId="467"/>
  </tableColumns>
  <tableStyleInfo name="TableStyleLight7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61000000}" name="Table98" displayName="Table98" ref="CW3:CW6" totalsRowShown="0" headerRowDxfId="466" dataDxfId="464" headerRowBorderDxfId="465" tableBorderDxfId="463">
  <autoFilter ref="CW3:CW6" xr:uid="{00000000-0009-0000-0100-000062000000}"/>
  <tableColumns count="1">
    <tableColumn id="1" xr3:uid="{00000000-0010-0000-6100-000001000000}" name="Branson Reorganized 82" dataDxfId="462"/>
  </tableColumns>
  <tableStyleInfo name="TableStyleLight2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62000000}" name="Table99" displayName="Table99" ref="CX3:CX6" totalsRowShown="0" headerRowDxfId="461" dataDxfId="459" headerRowBorderDxfId="460" tableBorderDxfId="458">
  <autoFilter ref="CX3:CX6" xr:uid="{00000000-0009-0000-0100-000063000000}"/>
  <tableColumns count="1">
    <tableColumn id="1" xr3:uid="{00000000-0010-0000-6200-000001000000}" name="Kim Reorganized 88" dataDxfId="457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smartsheet.com/b/form/702de089fc6b45ac97c31f343c8f745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table" Target="../tables/table116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63" Type="http://schemas.openxmlformats.org/officeDocument/2006/relationships/table" Target="../tables/table62.xml"/><Relationship Id="rId84" Type="http://schemas.openxmlformats.org/officeDocument/2006/relationships/table" Target="../tables/table83.xml"/><Relationship Id="rId138" Type="http://schemas.openxmlformats.org/officeDocument/2006/relationships/table" Target="../tables/table137.xml"/><Relationship Id="rId159" Type="http://schemas.openxmlformats.org/officeDocument/2006/relationships/table" Target="../tables/table158.xml"/><Relationship Id="rId170" Type="http://schemas.openxmlformats.org/officeDocument/2006/relationships/table" Target="../tables/table169.xml"/><Relationship Id="rId191" Type="http://schemas.openxmlformats.org/officeDocument/2006/relationships/table" Target="../tables/table190.xml"/><Relationship Id="rId107" Type="http://schemas.openxmlformats.org/officeDocument/2006/relationships/table" Target="../tables/table106.xml"/><Relationship Id="rId11" Type="http://schemas.openxmlformats.org/officeDocument/2006/relationships/table" Target="../tables/table10.xml"/><Relationship Id="rId32" Type="http://schemas.openxmlformats.org/officeDocument/2006/relationships/table" Target="../tables/table31.xml"/><Relationship Id="rId53" Type="http://schemas.openxmlformats.org/officeDocument/2006/relationships/table" Target="../tables/table52.xml"/><Relationship Id="rId74" Type="http://schemas.openxmlformats.org/officeDocument/2006/relationships/table" Target="../tables/table73.xml"/><Relationship Id="rId128" Type="http://schemas.openxmlformats.org/officeDocument/2006/relationships/table" Target="../tables/table127.xml"/><Relationship Id="rId149" Type="http://schemas.openxmlformats.org/officeDocument/2006/relationships/table" Target="../tables/table148.xml"/><Relationship Id="rId5" Type="http://schemas.openxmlformats.org/officeDocument/2006/relationships/table" Target="../tables/table4.xml"/><Relationship Id="rId95" Type="http://schemas.openxmlformats.org/officeDocument/2006/relationships/table" Target="../tables/table94.xml"/><Relationship Id="rId160" Type="http://schemas.openxmlformats.org/officeDocument/2006/relationships/table" Target="../tables/table159.xml"/><Relationship Id="rId181" Type="http://schemas.openxmlformats.org/officeDocument/2006/relationships/table" Target="../tables/table180.xml"/><Relationship Id="rId22" Type="http://schemas.openxmlformats.org/officeDocument/2006/relationships/table" Target="../tables/table21.xml"/><Relationship Id="rId43" Type="http://schemas.openxmlformats.org/officeDocument/2006/relationships/table" Target="../tables/table42.xml"/><Relationship Id="rId64" Type="http://schemas.openxmlformats.org/officeDocument/2006/relationships/table" Target="../tables/table63.xml"/><Relationship Id="rId118" Type="http://schemas.openxmlformats.org/officeDocument/2006/relationships/table" Target="../tables/table117.xml"/><Relationship Id="rId139" Type="http://schemas.openxmlformats.org/officeDocument/2006/relationships/table" Target="../tables/table138.xml"/><Relationship Id="rId85" Type="http://schemas.openxmlformats.org/officeDocument/2006/relationships/table" Target="../tables/table84.xml"/><Relationship Id="rId150" Type="http://schemas.openxmlformats.org/officeDocument/2006/relationships/table" Target="../tables/table149.xml"/><Relationship Id="rId171" Type="http://schemas.openxmlformats.org/officeDocument/2006/relationships/table" Target="../tables/table170.xml"/><Relationship Id="rId12" Type="http://schemas.openxmlformats.org/officeDocument/2006/relationships/table" Target="../tables/table11.xml"/><Relationship Id="rId33" Type="http://schemas.openxmlformats.org/officeDocument/2006/relationships/table" Target="../tables/table32.xml"/><Relationship Id="rId108" Type="http://schemas.openxmlformats.org/officeDocument/2006/relationships/table" Target="../tables/table107.xml"/><Relationship Id="rId129" Type="http://schemas.openxmlformats.org/officeDocument/2006/relationships/table" Target="../tables/table128.xml"/><Relationship Id="rId54" Type="http://schemas.openxmlformats.org/officeDocument/2006/relationships/table" Target="../tables/table53.xml"/><Relationship Id="rId75" Type="http://schemas.openxmlformats.org/officeDocument/2006/relationships/table" Target="../tables/table74.xml"/><Relationship Id="rId96" Type="http://schemas.openxmlformats.org/officeDocument/2006/relationships/table" Target="../tables/table95.xml"/><Relationship Id="rId140" Type="http://schemas.openxmlformats.org/officeDocument/2006/relationships/table" Target="../tables/table139.xml"/><Relationship Id="rId161" Type="http://schemas.openxmlformats.org/officeDocument/2006/relationships/table" Target="../tables/table160.xml"/><Relationship Id="rId182" Type="http://schemas.openxmlformats.org/officeDocument/2006/relationships/table" Target="../tables/table181.xml"/><Relationship Id="rId6" Type="http://schemas.openxmlformats.org/officeDocument/2006/relationships/table" Target="../tables/table5.xml"/><Relationship Id="rId23" Type="http://schemas.openxmlformats.org/officeDocument/2006/relationships/table" Target="../tables/table22.xml"/><Relationship Id="rId119" Type="http://schemas.openxmlformats.org/officeDocument/2006/relationships/table" Target="../tables/table118.xml"/><Relationship Id="rId44" Type="http://schemas.openxmlformats.org/officeDocument/2006/relationships/table" Target="../tables/table43.xml"/><Relationship Id="rId65" Type="http://schemas.openxmlformats.org/officeDocument/2006/relationships/table" Target="../tables/table64.xml"/><Relationship Id="rId86" Type="http://schemas.openxmlformats.org/officeDocument/2006/relationships/table" Target="../tables/table85.xml"/><Relationship Id="rId130" Type="http://schemas.openxmlformats.org/officeDocument/2006/relationships/table" Target="../tables/table129.xml"/><Relationship Id="rId151" Type="http://schemas.openxmlformats.org/officeDocument/2006/relationships/table" Target="../tables/table150.xml"/><Relationship Id="rId172" Type="http://schemas.openxmlformats.org/officeDocument/2006/relationships/table" Target="../tables/table171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109" Type="http://schemas.openxmlformats.org/officeDocument/2006/relationships/table" Target="../tables/table10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Relationship Id="rId104" Type="http://schemas.openxmlformats.org/officeDocument/2006/relationships/table" Target="../tables/table103.xml"/><Relationship Id="rId120" Type="http://schemas.openxmlformats.org/officeDocument/2006/relationships/table" Target="../tables/table119.xml"/><Relationship Id="rId125" Type="http://schemas.openxmlformats.org/officeDocument/2006/relationships/table" Target="../tables/table124.xml"/><Relationship Id="rId141" Type="http://schemas.openxmlformats.org/officeDocument/2006/relationships/table" Target="../tables/table140.xml"/><Relationship Id="rId146" Type="http://schemas.openxmlformats.org/officeDocument/2006/relationships/table" Target="../tables/table145.xml"/><Relationship Id="rId167" Type="http://schemas.openxmlformats.org/officeDocument/2006/relationships/table" Target="../tables/table166.xml"/><Relationship Id="rId188" Type="http://schemas.openxmlformats.org/officeDocument/2006/relationships/table" Target="../tables/table187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162" Type="http://schemas.openxmlformats.org/officeDocument/2006/relationships/table" Target="../tables/table161.xml"/><Relationship Id="rId183" Type="http://schemas.openxmlformats.org/officeDocument/2006/relationships/table" Target="../tables/table182.xml"/><Relationship Id="rId2" Type="http://schemas.openxmlformats.org/officeDocument/2006/relationships/table" Target="../tables/table1.xml"/><Relationship Id="rId29" Type="http://schemas.openxmlformats.org/officeDocument/2006/relationships/table" Target="../tables/table28.xml"/><Relationship Id="rId24" Type="http://schemas.openxmlformats.org/officeDocument/2006/relationships/table" Target="../tables/table23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66" Type="http://schemas.openxmlformats.org/officeDocument/2006/relationships/table" Target="../tables/table65.xml"/><Relationship Id="rId87" Type="http://schemas.openxmlformats.org/officeDocument/2006/relationships/table" Target="../tables/table86.xml"/><Relationship Id="rId110" Type="http://schemas.openxmlformats.org/officeDocument/2006/relationships/table" Target="../tables/table109.xml"/><Relationship Id="rId115" Type="http://schemas.openxmlformats.org/officeDocument/2006/relationships/table" Target="../tables/table114.xml"/><Relationship Id="rId131" Type="http://schemas.openxmlformats.org/officeDocument/2006/relationships/table" Target="../tables/table130.xml"/><Relationship Id="rId136" Type="http://schemas.openxmlformats.org/officeDocument/2006/relationships/table" Target="../tables/table135.xml"/><Relationship Id="rId157" Type="http://schemas.openxmlformats.org/officeDocument/2006/relationships/table" Target="../tables/table156.xml"/><Relationship Id="rId178" Type="http://schemas.openxmlformats.org/officeDocument/2006/relationships/table" Target="../tables/table177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152" Type="http://schemas.openxmlformats.org/officeDocument/2006/relationships/table" Target="../tables/table151.xml"/><Relationship Id="rId173" Type="http://schemas.openxmlformats.org/officeDocument/2006/relationships/table" Target="../tables/table172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56" Type="http://schemas.openxmlformats.org/officeDocument/2006/relationships/table" Target="../tables/table55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105" Type="http://schemas.openxmlformats.org/officeDocument/2006/relationships/table" Target="../tables/table104.xml"/><Relationship Id="rId126" Type="http://schemas.openxmlformats.org/officeDocument/2006/relationships/table" Target="../tables/table125.xml"/><Relationship Id="rId147" Type="http://schemas.openxmlformats.org/officeDocument/2006/relationships/table" Target="../tables/table146.xml"/><Relationship Id="rId168" Type="http://schemas.openxmlformats.org/officeDocument/2006/relationships/table" Target="../tables/table167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121" Type="http://schemas.openxmlformats.org/officeDocument/2006/relationships/table" Target="../tables/table120.xml"/><Relationship Id="rId142" Type="http://schemas.openxmlformats.org/officeDocument/2006/relationships/table" Target="../tables/table141.xml"/><Relationship Id="rId163" Type="http://schemas.openxmlformats.org/officeDocument/2006/relationships/table" Target="../tables/table162.xml"/><Relationship Id="rId184" Type="http://schemas.openxmlformats.org/officeDocument/2006/relationships/table" Target="../tables/table183.xml"/><Relationship Id="rId189" Type="http://schemas.openxmlformats.org/officeDocument/2006/relationships/table" Target="../tables/table188.xml"/><Relationship Id="rId3" Type="http://schemas.openxmlformats.org/officeDocument/2006/relationships/table" Target="../tables/table2.xml"/><Relationship Id="rId25" Type="http://schemas.openxmlformats.org/officeDocument/2006/relationships/table" Target="../tables/table24.xml"/><Relationship Id="rId46" Type="http://schemas.openxmlformats.org/officeDocument/2006/relationships/table" Target="../tables/table45.xml"/><Relationship Id="rId67" Type="http://schemas.openxmlformats.org/officeDocument/2006/relationships/table" Target="../tables/table66.xml"/><Relationship Id="rId116" Type="http://schemas.openxmlformats.org/officeDocument/2006/relationships/table" Target="../tables/table115.xml"/><Relationship Id="rId137" Type="http://schemas.openxmlformats.org/officeDocument/2006/relationships/table" Target="../tables/table136.xml"/><Relationship Id="rId158" Type="http://schemas.openxmlformats.org/officeDocument/2006/relationships/table" Target="../tables/table157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62" Type="http://schemas.openxmlformats.org/officeDocument/2006/relationships/table" Target="../tables/table61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111" Type="http://schemas.openxmlformats.org/officeDocument/2006/relationships/table" Target="../tables/table110.xml"/><Relationship Id="rId132" Type="http://schemas.openxmlformats.org/officeDocument/2006/relationships/table" Target="../tables/table131.xml"/><Relationship Id="rId153" Type="http://schemas.openxmlformats.org/officeDocument/2006/relationships/table" Target="../tables/table152.xml"/><Relationship Id="rId174" Type="http://schemas.openxmlformats.org/officeDocument/2006/relationships/table" Target="../tables/table173.xml"/><Relationship Id="rId179" Type="http://schemas.openxmlformats.org/officeDocument/2006/relationships/table" Target="../tables/table178.xml"/><Relationship Id="rId190" Type="http://schemas.openxmlformats.org/officeDocument/2006/relationships/table" Target="../tables/table189.xml"/><Relationship Id="rId15" Type="http://schemas.openxmlformats.org/officeDocument/2006/relationships/table" Target="../tables/table14.xml"/><Relationship Id="rId36" Type="http://schemas.openxmlformats.org/officeDocument/2006/relationships/table" Target="../tables/table35.xml"/><Relationship Id="rId57" Type="http://schemas.openxmlformats.org/officeDocument/2006/relationships/table" Target="../tables/table56.xml"/><Relationship Id="rId106" Type="http://schemas.openxmlformats.org/officeDocument/2006/relationships/table" Target="../tables/table105.xml"/><Relationship Id="rId127" Type="http://schemas.openxmlformats.org/officeDocument/2006/relationships/table" Target="../tables/table12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52" Type="http://schemas.openxmlformats.org/officeDocument/2006/relationships/table" Target="../tables/table51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122" Type="http://schemas.openxmlformats.org/officeDocument/2006/relationships/table" Target="../tables/table121.xml"/><Relationship Id="rId143" Type="http://schemas.openxmlformats.org/officeDocument/2006/relationships/table" Target="../tables/table142.xml"/><Relationship Id="rId148" Type="http://schemas.openxmlformats.org/officeDocument/2006/relationships/table" Target="../tables/table147.xml"/><Relationship Id="rId164" Type="http://schemas.openxmlformats.org/officeDocument/2006/relationships/table" Target="../tables/table163.xml"/><Relationship Id="rId169" Type="http://schemas.openxmlformats.org/officeDocument/2006/relationships/table" Target="../tables/table168.xml"/><Relationship Id="rId185" Type="http://schemas.openxmlformats.org/officeDocument/2006/relationships/table" Target="../tables/table18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80" Type="http://schemas.openxmlformats.org/officeDocument/2006/relationships/table" Target="../tables/table179.xml"/><Relationship Id="rId26" Type="http://schemas.openxmlformats.org/officeDocument/2006/relationships/table" Target="../tables/table25.xml"/><Relationship Id="rId47" Type="http://schemas.openxmlformats.org/officeDocument/2006/relationships/table" Target="../tables/table46.xml"/><Relationship Id="rId68" Type="http://schemas.openxmlformats.org/officeDocument/2006/relationships/table" Target="../tables/table67.xml"/><Relationship Id="rId89" Type="http://schemas.openxmlformats.org/officeDocument/2006/relationships/table" Target="../tables/table88.xml"/><Relationship Id="rId112" Type="http://schemas.openxmlformats.org/officeDocument/2006/relationships/table" Target="../tables/table111.xml"/><Relationship Id="rId133" Type="http://schemas.openxmlformats.org/officeDocument/2006/relationships/table" Target="../tables/table132.xml"/><Relationship Id="rId154" Type="http://schemas.openxmlformats.org/officeDocument/2006/relationships/table" Target="../tables/table153.xml"/><Relationship Id="rId175" Type="http://schemas.openxmlformats.org/officeDocument/2006/relationships/table" Target="../tables/table174.xml"/><Relationship Id="rId16" Type="http://schemas.openxmlformats.org/officeDocument/2006/relationships/table" Target="../tables/table15.xml"/><Relationship Id="rId37" Type="http://schemas.openxmlformats.org/officeDocument/2006/relationships/table" Target="../tables/table36.xml"/><Relationship Id="rId58" Type="http://schemas.openxmlformats.org/officeDocument/2006/relationships/table" Target="../tables/table57.xml"/><Relationship Id="rId79" Type="http://schemas.openxmlformats.org/officeDocument/2006/relationships/table" Target="../tables/table78.xml"/><Relationship Id="rId102" Type="http://schemas.openxmlformats.org/officeDocument/2006/relationships/table" Target="../tables/table101.xml"/><Relationship Id="rId123" Type="http://schemas.openxmlformats.org/officeDocument/2006/relationships/table" Target="../tables/table122.xml"/><Relationship Id="rId144" Type="http://schemas.openxmlformats.org/officeDocument/2006/relationships/table" Target="../tables/table143.xml"/><Relationship Id="rId90" Type="http://schemas.openxmlformats.org/officeDocument/2006/relationships/table" Target="../tables/table89.xml"/><Relationship Id="rId165" Type="http://schemas.openxmlformats.org/officeDocument/2006/relationships/table" Target="../tables/table164.xml"/><Relationship Id="rId186" Type="http://schemas.openxmlformats.org/officeDocument/2006/relationships/table" Target="../tables/table185.xml"/><Relationship Id="rId27" Type="http://schemas.openxmlformats.org/officeDocument/2006/relationships/table" Target="../tables/table26.xml"/><Relationship Id="rId48" Type="http://schemas.openxmlformats.org/officeDocument/2006/relationships/table" Target="../tables/table47.xml"/><Relationship Id="rId69" Type="http://schemas.openxmlformats.org/officeDocument/2006/relationships/table" Target="../tables/table68.xml"/><Relationship Id="rId113" Type="http://schemas.openxmlformats.org/officeDocument/2006/relationships/table" Target="../tables/table112.xml"/><Relationship Id="rId134" Type="http://schemas.openxmlformats.org/officeDocument/2006/relationships/table" Target="../tables/table133.xml"/><Relationship Id="rId80" Type="http://schemas.openxmlformats.org/officeDocument/2006/relationships/table" Target="../tables/table79.xml"/><Relationship Id="rId155" Type="http://schemas.openxmlformats.org/officeDocument/2006/relationships/table" Target="../tables/table154.xml"/><Relationship Id="rId176" Type="http://schemas.openxmlformats.org/officeDocument/2006/relationships/table" Target="../tables/table175.xml"/><Relationship Id="rId17" Type="http://schemas.openxmlformats.org/officeDocument/2006/relationships/table" Target="../tables/table16.xml"/><Relationship Id="rId38" Type="http://schemas.openxmlformats.org/officeDocument/2006/relationships/table" Target="../tables/table37.xml"/><Relationship Id="rId59" Type="http://schemas.openxmlformats.org/officeDocument/2006/relationships/table" Target="../tables/table58.xml"/><Relationship Id="rId103" Type="http://schemas.openxmlformats.org/officeDocument/2006/relationships/table" Target="../tables/table102.xml"/><Relationship Id="rId124" Type="http://schemas.openxmlformats.org/officeDocument/2006/relationships/table" Target="../tables/table123.xml"/><Relationship Id="rId70" Type="http://schemas.openxmlformats.org/officeDocument/2006/relationships/table" Target="../tables/table69.xml"/><Relationship Id="rId91" Type="http://schemas.openxmlformats.org/officeDocument/2006/relationships/table" Target="../tables/table90.xml"/><Relationship Id="rId145" Type="http://schemas.openxmlformats.org/officeDocument/2006/relationships/table" Target="../tables/table144.xml"/><Relationship Id="rId166" Type="http://schemas.openxmlformats.org/officeDocument/2006/relationships/table" Target="../tables/table165.xml"/><Relationship Id="rId187" Type="http://schemas.openxmlformats.org/officeDocument/2006/relationships/table" Target="../tables/table186.xml"/><Relationship Id="rId1" Type="http://schemas.openxmlformats.org/officeDocument/2006/relationships/printerSettings" Target="../printerSettings/printerSettings5.bin"/><Relationship Id="rId28" Type="http://schemas.openxmlformats.org/officeDocument/2006/relationships/table" Target="../tables/table27.xml"/><Relationship Id="rId49" Type="http://schemas.openxmlformats.org/officeDocument/2006/relationships/table" Target="../tables/table48.xml"/><Relationship Id="rId114" Type="http://schemas.openxmlformats.org/officeDocument/2006/relationships/table" Target="../tables/table113.xml"/><Relationship Id="rId60" Type="http://schemas.openxmlformats.org/officeDocument/2006/relationships/table" Target="../tables/table59.xml"/><Relationship Id="rId81" Type="http://schemas.openxmlformats.org/officeDocument/2006/relationships/table" Target="../tables/table80.xml"/><Relationship Id="rId135" Type="http://schemas.openxmlformats.org/officeDocument/2006/relationships/table" Target="../tables/table134.xml"/><Relationship Id="rId156" Type="http://schemas.openxmlformats.org/officeDocument/2006/relationships/table" Target="../tables/table155.xml"/><Relationship Id="rId177" Type="http://schemas.openxmlformats.org/officeDocument/2006/relationships/table" Target="../tables/table17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62"/>
  <sheetViews>
    <sheetView tabSelected="1" topLeftCell="B1" zoomScale="75" workbookViewId="0">
      <selection activeCell="C5" sqref="C5"/>
    </sheetView>
  </sheetViews>
  <sheetFormatPr defaultColWidth="0" defaultRowHeight="13.8" zeroHeight="1" x14ac:dyDescent="0.3"/>
  <cols>
    <col min="1" max="1" width="13.44140625" style="37" hidden="1" customWidth="1"/>
    <col min="2" max="2" width="29.109375" style="38" customWidth="1"/>
    <col min="3" max="3" width="26.109375" style="38" customWidth="1"/>
    <col min="4" max="4" width="20.109375" style="38" customWidth="1"/>
    <col min="5" max="5" width="16.88671875" style="38" customWidth="1"/>
    <col min="6" max="6" width="18.5546875" style="38" hidden="1" customWidth="1"/>
    <col min="7" max="7" width="15" style="38" customWidth="1"/>
    <col min="8" max="8" width="12.44140625" style="38" hidden="1" customWidth="1"/>
    <col min="9" max="16384" width="14.44140625" style="38" hidden="1"/>
  </cols>
  <sheetData>
    <row r="1" spans="1:8" s="35" customFormat="1" ht="18.75" customHeight="1" x14ac:dyDescent="0.3">
      <c r="A1" s="179" t="s">
        <v>6501</v>
      </c>
      <c r="B1" s="179"/>
      <c r="C1" s="179"/>
      <c r="D1" s="179"/>
      <c r="E1" s="179"/>
      <c r="F1" s="179"/>
      <c r="G1" s="179"/>
      <c r="H1" s="34"/>
    </row>
    <row r="2" spans="1:8" s="35" customFormat="1" x14ac:dyDescent="0.3">
      <c r="A2" s="178" t="s">
        <v>6586</v>
      </c>
      <c r="B2" s="178"/>
      <c r="C2" s="178"/>
      <c r="D2" s="178"/>
      <c r="E2" s="178"/>
      <c r="F2" s="178"/>
      <c r="G2" s="178"/>
      <c r="H2" s="36"/>
    </row>
    <row r="3" spans="1:8" s="35" customFormat="1" x14ac:dyDescent="0.3">
      <c r="A3" s="117"/>
      <c r="B3" s="118"/>
      <c r="C3" s="178" t="s">
        <v>6557</v>
      </c>
      <c r="D3" s="178"/>
      <c r="E3" s="178"/>
      <c r="F3" s="119"/>
      <c r="G3" s="119"/>
    </row>
    <row r="4" spans="1:8" s="35" customFormat="1" ht="18.75" customHeight="1" x14ac:dyDescent="0.3">
      <c r="A4" s="117"/>
      <c r="B4" s="120"/>
      <c r="C4" s="121"/>
      <c r="D4" s="119"/>
      <c r="E4" s="122"/>
      <c r="F4" s="119"/>
      <c r="G4" s="119"/>
    </row>
    <row r="5" spans="1:8" s="35" customFormat="1" ht="18.75" customHeight="1" x14ac:dyDescent="0.3">
      <c r="A5" s="117"/>
      <c r="B5" s="123" t="s">
        <v>6518</v>
      </c>
      <c r="C5" s="124"/>
      <c r="D5" s="180" t="e">
        <f>VLOOKUP(C5,Tables!B4:C192,2,FALSE)</f>
        <v>#N/A</v>
      </c>
      <c r="E5" s="180"/>
      <c r="F5" s="119"/>
      <c r="G5" s="119"/>
    </row>
    <row r="6" spans="1:8" s="35" customFormat="1" ht="18.75" customHeight="1" x14ac:dyDescent="0.3">
      <c r="A6" s="117"/>
      <c r="B6" s="125" t="s">
        <v>6502</v>
      </c>
      <c r="C6" s="126" t="e">
        <f>VLOOKUP(D5,'Indirect Cost Rates'!A9:E211,3,)/100</f>
        <v>#N/A</v>
      </c>
      <c r="D6" s="119"/>
      <c r="E6" s="119"/>
      <c r="F6" s="119"/>
      <c r="G6" s="119"/>
    </row>
    <row r="7" spans="1:8" s="35" customFormat="1" ht="6.75" customHeight="1" x14ac:dyDescent="0.3">
      <c r="A7" s="117"/>
      <c r="B7" s="118"/>
      <c r="C7" s="119"/>
      <c r="D7" s="119"/>
      <c r="E7" s="119"/>
      <c r="F7" s="119"/>
      <c r="G7" s="119"/>
    </row>
    <row r="8" spans="1:8" s="35" customFormat="1" x14ac:dyDescent="0.3">
      <c r="A8" s="117"/>
      <c r="B8" s="127" t="s">
        <v>6503</v>
      </c>
      <c r="C8" s="128" t="s">
        <v>6504</v>
      </c>
      <c r="D8" s="119"/>
      <c r="E8" s="119"/>
      <c r="F8" s="119"/>
      <c r="G8" s="119"/>
    </row>
    <row r="9" spans="1:8" s="35" customFormat="1" x14ac:dyDescent="0.3">
      <c r="A9" s="117"/>
      <c r="B9" s="127" t="s">
        <v>6505</v>
      </c>
      <c r="C9" s="129"/>
      <c r="D9" s="119"/>
      <c r="E9" s="119"/>
      <c r="F9" s="119"/>
      <c r="G9" s="119"/>
    </row>
    <row r="10" spans="1:8" s="35" customFormat="1" x14ac:dyDescent="0.3">
      <c r="A10" s="117"/>
      <c r="B10" s="127" t="s">
        <v>6506</v>
      </c>
      <c r="C10" s="130"/>
      <c r="D10" s="119"/>
      <c r="E10" s="119"/>
      <c r="F10" s="119"/>
      <c r="G10" s="119"/>
    </row>
    <row r="11" spans="1:8" s="35" customFormat="1" x14ac:dyDescent="0.3">
      <c r="A11" s="117"/>
      <c r="B11" s="127"/>
      <c r="C11" s="119"/>
      <c r="D11" s="119"/>
      <c r="E11" s="119"/>
      <c r="F11" s="119"/>
      <c r="G11" s="119"/>
    </row>
    <row r="12" spans="1:8" s="35" customFormat="1" x14ac:dyDescent="0.3">
      <c r="A12" s="117"/>
      <c r="B12" s="181" t="s">
        <v>6507</v>
      </c>
      <c r="C12" s="181"/>
      <c r="D12" s="181"/>
      <c r="E12" s="181"/>
      <c r="F12" s="119"/>
      <c r="G12" s="119"/>
    </row>
    <row r="13" spans="1:8" s="35" customFormat="1" x14ac:dyDescent="0.3">
      <c r="A13" s="117"/>
      <c r="B13" s="127" t="s">
        <v>6508</v>
      </c>
      <c r="C13" s="171"/>
      <c r="D13" s="171"/>
      <c r="E13" s="171"/>
      <c r="F13" s="119"/>
      <c r="G13" s="119"/>
    </row>
    <row r="14" spans="1:8" s="35" customFormat="1" x14ac:dyDescent="0.3">
      <c r="A14" s="117"/>
      <c r="B14" s="127" t="s">
        <v>6509</v>
      </c>
      <c r="C14" s="171"/>
      <c r="D14" s="171"/>
      <c r="E14" s="171"/>
      <c r="F14" s="119"/>
      <c r="G14" s="119"/>
    </row>
    <row r="15" spans="1:8" s="35" customFormat="1" x14ac:dyDescent="0.3">
      <c r="A15" s="117"/>
      <c r="B15" s="127" t="s">
        <v>6510</v>
      </c>
      <c r="C15" s="170"/>
      <c r="D15" s="171"/>
      <c r="E15" s="171"/>
      <c r="F15" s="119"/>
      <c r="G15" s="119"/>
    </row>
    <row r="16" spans="1:8" ht="9" customHeight="1" x14ac:dyDescent="0.3">
      <c r="A16" s="117"/>
      <c r="B16" s="127"/>
      <c r="C16" s="117"/>
      <c r="D16" s="117"/>
      <c r="E16" s="117"/>
      <c r="F16" s="119"/>
      <c r="G16" s="119"/>
    </row>
    <row r="17" spans="1:7" ht="16.5" customHeight="1" x14ac:dyDescent="0.3">
      <c r="A17" s="117"/>
      <c r="B17" s="127" t="s">
        <v>6511</v>
      </c>
      <c r="C17" s="131" t="s">
        <v>6558</v>
      </c>
      <c r="D17" s="132"/>
      <c r="E17" s="132"/>
      <c r="F17" s="132"/>
      <c r="G17" s="119"/>
    </row>
    <row r="18" spans="1:7" x14ac:dyDescent="0.3">
      <c r="A18" s="117"/>
      <c r="B18" s="133" t="s">
        <v>6512</v>
      </c>
      <c r="C18" s="134" t="s">
        <v>6565</v>
      </c>
      <c r="D18" s="135"/>
      <c r="E18" s="119"/>
      <c r="F18" s="119"/>
      <c r="G18" s="119"/>
    </row>
    <row r="19" spans="1:7" x14ac:dyDescent="0.3">
      <c r="A19" s="117"/>
      <c r="B19" s="133" t="s">
        <v>6513</v>
      </c>
      <c r="C19" s="135" t="s">
        <v>6514</v>
      </c>
      <c r="D19" s="134"/>
      <c r="E19" s="119"/>
      <c r="F19" s="119"/>
      <c r="G19" s="119"/>
    </row>
    <row r="20" spans="1:7" ht="14.4" thickBot="1" x14ac:dyDescent="0.35">
      <c r="A20" s="117"/>
      <c r="B20" s="133"/>
      <c r="C20" s="135"/>
      <c r="D20" s="134"/>
      <c r="E20" s="119"/>
      <c r="F20" s="119"/>
      <c r="G20" s="119"/>
    </row>
    <row r="21" spans="1:7" ht="15" customHeight="1" x14ac:dyDescent="0.3">
      <c r="A21" s="117"/>
      <c r="B21" s="136"/>
      <c r="C21" s="172" t="s">
        <v>6515</v>
      </c>
      <c r="D21" s="173"/>
      <c r="E21" s="174"/>
      <c r="F21" s="136"/>
      <c r="G21" s="119"/>
    </row>
    <row r="22" spans="1:7" ht="15.75" customHeight="1" thickBot="1" x14ac:dyDescent="0.35">
      <c r="A22" s="117"/>
      <c r="B22" s="136"/>
      <c r="C22" s="175" t="s">
        <v>6516</v>
      </c>
      <c r="D22" s="176"/>
      <c r="E22" s="177"/>
      <c r="F22" s="136"/>
      <c r="G22" s="119"/>
    </row>
    <row r="23" spans="1:7" x14ac:dyDescent="0.3">
      <c r="A23" s="119"/>
      <c r="B23" s="119"/>
      <c r="C23" s="137"/>
      <c r="D23" s="138" t="s">
        <v>6499</v>
      </c>
      <c r="E23" s="138" t="s">
        <v>6523</v>
      </c>
      <c r="F23" s="119"/>
      <c r="G23" s="119"/>
    </row>
    <row r="24" spans="1:7" x14ac:dyDescent="0.3">
      <c r="A24" s="139" t="str">
        <f>C24&amp;$D$23</f>
        <v>Cohort 4Federal</v>
      </c>
      <c r="B24" s="119"/>
      <c r="C24" s="140" t="s">
        <v>6247</v>
      </c>
      <c r="D24" s="141">
        <f>'Annual Financial Report - Fed'!P26</f>
        <v>0</v>
      </c>
      <c r="E24" s="141">
        <f>'Annual Financial Report - State'!P26</f>
        <v>0</v>
      </c>
      <c r="F24" s="139" t="str">
        <f t="shared" ref="F24" si="0">C24&amp;$E$23</f>
        <v>Cohort 4State</v>
      </c>
      <c r="G24" s="119"/>
    </row>
    <row r="25" spans="1:7" x14ac:dyDescent="0.3">
      <c r="A25" s="139" t="str">
        <f>C25&amp;$D$23</f>
        <v>Cohort 5Federal</v>
      </c>
      <c r="B25" s="119"/>
      <c r="C25" s="140" t="s">
        <v>6490</v>
      </c>
      <c r="D25" s="142">
        <f>'Annual Financial Report - Fed'!P48</f>
        <v>0</v>
      </c>
      <c r="E25" s="143">
        <f>'Annual Financial Report - State'!P48</f>
        <v>0</v>
      </c>
      <c r="F25" s="139" t="str">
        <f t="shared" ref="F25" si="1">C25&amp;$E$23</f>
        <v>Cohort 5State</v>
      </c>
      <c r="G25" s="119"/>
    </row>
    <row r="26" spans="1:7" x14ac:dyDescent="0.3">
      <c r="A26" s="144" t="str">
        <f>C26&amp;$D$23</f>
        <v>Cohort 6Federal</v>
      </c>
      <c r="B26" s="119"/>
      <c r="C26" s="140" t="s">
        <v>6559</v>
      </c>
      <c r="D26" s="142">
        <f>'Annual Financial Report - Fed'!P71</f>
        <v>0</v>
      </c>
      <c r="E26" s="143">
        <f>'Annual Financial Report - State'!P71</f>
        <v>0</v>
      </c>
      <c r="F26" s="139" t="str">
        <f>C26&amp;$E$23</f>
        <v>Cohort 6State</v>
      </c>
      <c r="G26" s="119"/>
    </row>
    <row r="27" spans="1:7" x14ac:dyDescent="0.3">
      <c r="A27" s="144" t="str">
        <f>C27&amp;$D$23</f>
        <v>Cohort 7Federal</v>
      </c>
      <c r="B27" s="119"/>
      <c r="C27" s="140" t="s">
        <v>6566</v>
      </c>
      <c r="D27" s="142">
        <f>'Annual Financial Report - Fed'!P94</f>
        <v>0</v>
      </c>
      <c r="E27" s="143">
        <f>'Annual Financial Report - State'!P94</f>
        <v>0</v>
      </c>
      <c r="F27" s="139" t="str">
        <f>C27&amp;$E$23</f>
        <v>Cohort 7State</v>
      </c>
      <c r="G27" s="119"/>
    </row>
    <row r="28" spans="1:7" ht="14.4" thickBot="1" x14ac:dyDescent="0.35">
      <c r="A28" s="144" t="str">
        <f>C28&amp;$D$23</f>
        <v>ESSER3Federal</v>
      </c>
      <c r="B28" s="119"/>
      <c r="C28" s="145" t="s">
        <v>6564</v>
      </c>
      <c r="D28" s="146">
        <f>'Annual Financial Report - Fed'!P116</f>
        <v>0</v>
      </c>
      <c r="E28" s="147"/>
      <c r="F28" s="139" t="str">
        <f>C28&amp;$E$23</f>
        <v>ESSER3State</v>
      </c>
      <c r="G28" s="119"/>
    </row>
    <row r="29" spans="1:7" ht="14.4" thickBot="1" x14ac:dyDescent="0.35">
      <c r="A29" s="117"/>
      <c r="B29" s="119"/>
      <c r="C29" s="148" t="s">
        <v>6517</v>
      </c>
      <c r="D29" s="149">
        <f>SUM(D24:D28)</f>
        <v>0</v>
      </c>
      <c r="E29" s="149">
        <f>SUM(E24:E28)</f>
        <v>0</v>
      </c>
      <c r="F29" s="119"/>
      <c r="G29" s="119"/>
    </row>
    <row r="30" spans="1:7" x14ac:dyDescent="0.3">
      <c r="A30" s="117"/>
      <c r="B30" s="150"/>
      <c r="C30" s="119"/>
      <c r="D30" s="119"/>
      <c r="E30" s="119"/>
      <c r="F30" s="119"/>
      <c r="G30" s="119"/>
    </row>
    <row r="31" spans="1:7" x14ac:dyDescent="0.3">
      <c r="A31" s="117"/>
      <c r="B31" s="119"/>
      <c r="C31" s="119"/>
      <c r="D31" s="119"/>
      <c r="E31" s="119"/>
      <c r="F31" s="119"/>
      <c r="G31" s="119"/>
    </row>
    <row r="32" spans="1:7" x14ac:dyDescent="0.3">
      <c r="A32" s="117"/>
      <c r="B32" s="119"/>
      <c r="C32" s="119"/>
      <c r="D32" s="119"/>
      <c r="E32" s="119"/>
      <c r="F32" s="119"/>
      <c r="G32" s="119"/>
    </row>
    <row r="33" spans="1:7" hidden="1" x14ac:dyDescent="0.3">
      <c r="A33" s="117"/>
      <c r="B33" s="119"/>
      <c r="C33" s="119"/>
      <c r="D33" s="119"/>
      <c r="E33" s="119"/>
      <c r="F33" s="119"/>
      <c r="G33" s="119"/>
    </row>
    <row r="34" spans="1:7" hidden="1" x14ac:dyDescent="0.3">
      <c r="A34" s="117"/>
      <c r="B34" s="119"/>
      <c r="C34" s="119"/>
      <c r="D34" s="119"/>
      <c r="E34" s="119"/>
      <c r="F34" s="119"/>
      <c r="G34" s="119"/>
    </row>
    <row r="35" spans="1:7" hidden="1" x14ac:dyDescent="0.3">
      <c r="A35" s="117"/>
      <c r="B35" s="119"/>
      <c r="C35" s="119"/>
      <c r="D35" s="119"/>
      <c r="E35" s="119"/>
      <c r="F35" s="119"/>
      <c r="G35" s="119"/>
    </row>
    <row r="36" spans="1:7" hidden="1" x14ac:dyDescent="0.3">
      <c r="A36" s="117"/>
      <c r="B36" s="119"/>
      <c r="C36" s="119"/>
      <c r="D36" s="119"/>
      <c r="E36" s="119"/>
      <c r="F36" s="119"/>
      <c r="G36" s="119"/>
    </row>
    <row r="37" spans="1:7" hidden="1" x14ac:dyDescent="0.3">
      <c r="A37" s="117"/>
      <c r="B37" s="119"/>
      <c r="C37" s="119"/>
      <c r="D37" s="119"/>
      <c r="E37" s="119"/>
      <c r="F37" s="119"/>
      <c r="G37" s="119"/>
    </row>
    <row r="38" spans="1:7" hidden="1" x14ac:dyDescent="0.3">
      <c r="A38" s="117"/>
      <c r="B38" s="119"/>
      <c r="C38" s="119"/>
      <c r="D38" s="119"/>
      <c r="E38" s="119"/>
      <c r="F38" s="119"/>
      <c r="G38" s="119"/>
    </row>
    <row r="39" spans="1:7" hidden="1" x14ac:dyDescent="0.3">
      <c r="A39" s="117"/>
      <c r="B39" s="119"/>
      <c r="C39" s="119"/>
      <c r="D39" s="119"/>
      <c r="E39" s="119"/>
      <c r="F39" s="119"/>
      <c r="G39" s="119"/>
    </row>
    <row r="40" spans="1:7" hidden="1" x14ac:dyDescent="0.3">
      <c r="A40" s="117"/>
      <c r="B40" s="119"/>
      <c r="C40" s="119"/>
      <c r="D40" s="119"/>
      <c r="E40" s="119"/>
      <c r="F40" s="119"/>
      <c r="G40" s="119"/>
    </row>
    <row r="41" spans="1:7" hidden="1" x14ac:dyDescent="0.3">
      <c r="A41" s="117"/>
      <c r="B41" s="119"/>
      <c r="C41" s="119"/>
      <c r="D41" s="119"/>
      <c r="E41" s="119"/>
      <c r="F41" s="119"/>
      <c r="G41" s="119"/>
    </row>
    <row r="42" spans="1:7" hidden="1" x14ac:dyDescent="0.3">
      <c r="A42" s="117"/>
      <c r="B42" s="119"/>
      <c r="C42" s="119"/>
      <c r="D42" s="119"/>
      <c r="E42" s="119"/>
      <c r="F42" s="119"/>
      <c r="G42" s="119"/>
    </row>
    <row r="43" spans="1:7" hidden="1" x14ac:dyDescent="0.3">
      <c r="A43" s="117"/>
      <c r="B43" s="119"/>
      <c r="C43" s="119"/>
      <c r="D43" s="119"/>
      <c r="E43" s="119"/>
      <c r="F43" s="119"/>
      <c r="G43" s="119"/>
    </row>
    <row r="44" spans="1:7" hidden="1" x14ac:dyDescent="0.3">
      <c r="A44" s="117"/>
      <c r="B44" s="119"/>
      <c r="C44" s="119"/>
      <c r="D44" s="119"/>
      <c r="E44" s="119"/>
      <c r="F44" s="119"/>
      <c r="G44" s="119"/>
    </row>
    <row r="45" spans="1:7" x14ac:dyDescent="0.3">
      <c r="A45" s="117"/>
      <c r="B45" s="119"/>
      <c r="C45" s="119"/>
      <c r="D45" s="119"/>
      <c r="E45" s="119"/>
      <c r="F45" s="119"/>
      <c r="G45" s="119"/>
    </row>
    <row r="46" spans="1:7" x14ac:dyDescent="0.3">
      <c r="A46" s="117"/>
      <c r="B46" s="119"/>
      <c r="C46" s="119"/>
      <c r="D46" s="119"/>
      <c r="E46" s="119"/>
      <c r="F46" s="119"/>
      <c r="G46" s="119"/>
    </row>
    <row r="47" spans="1:7" x14ac:dyDescent="0.3">
      <c r="A47" s="117"/>
      <c r="B47" s="119"/>
      <c r="C47" s="119"/>
      <c r="D47" s="119"/>
      <c r="E47" s="119"/>
      <c r="F47" s="119"/>
      <c r="G47" s="119"/>
    </row>
    <row r="48" spans="1:7" x14ac:dyDescent="0.3">
      <c r="A48" s="117"/>
      <c r="B48" s="119"/>
      <c r="C48" s="119"/>
      <c r="D48" s="119"/>
      <c r="E48" s="119"/>
      <c r="F48" s="119"/>
      <c r="G48" s="119"/>
    </row>
    <row r="49" spans="1:7" hidden="1" x14ac:dyDescent="0.3">
      <c r="A49" s="117"/>
      <c r="B49" s="119"/>
      <c r="C49" s="119"/>
      <c r="D49" s="119"/>
      <c r="E49" s="119"/>
      <c r="F49" s="119"/>
      <c r="G49" s="119"/>
    </row>
    <row r="50" spans="1:7" hidden="1" x14ac:dyDescent="0.3">
      <c r="A50" s="117"/>
      <c r="B50" s="119"/>
      <c r="C50" s="119"/>
      <c r="D50" s="119"/>
      <c r="E50" s="119"/>
      <c r="F50" s="119"/>
      <c r="G50" s="119"/>
    </row>
    <row r="51" spans="1:7" hidden="1" x14ac:dyDescent="0.3">
      <c r="A51" s="117"/>
      <c r="B51" s="119"/>
      <c r="C51" s="119"/>
      <c r="D51" s="119"/>
      <c r="E51" s="119"/>
      <c r="F51" s="119"/>
      <c r="G51" s="119"/>
    </row>
    <row r="52" spans="1:7" hidden="1" x14ac:dyDescent="0.3">
      <c r="A52" s="117"/>
      <c r="B52" s="119"/>
      <c r="C52" s="119"/>
      <c r="D52" s="119"/>
      <c r="E52" s="119"/>
      <c r="F52" s="119"/>
      <c r="G52" s="119"/>
    </row>
    <row r="53" spans="1:7" hidden="1" x14ac:dyDescent="0.3">
      <c r="A53" s="117"/>
      <c r="B53" s="119"/>
      <c r="C53" s="119"/>
      <c r="D53" s="119"/>
      <c r="E53" s="119"/>
      <c r="F53" s="119"/>
      <c r="G53" s="119"/>
    </row>
    <row r="54" spans="1:7" hidden="1" x14ac:dyDescent="0.3">
      <c r="A54" s="117"/>
      <c r="B54" s="119"/>
      <c r="C54" s="119"/>
      <c r="D54" s="119"/>
      <c r="E54" s="119"/>
      <c r="F54" s="119"/>
      <c r="G54" s="119"/>
    </row>
    <row r="55" spans="1:7" hidden="1" x14ac:dyDescent="0.3">
      <c r="A55" s="117"/>
      <c r="B55" s="119"/>
      <c r="C55" s="119"/>
      <c r="D55" s="119"/>
      <c r="E55" s="119"/>
      <c r="F55" s="119"/>
      <c r="G55" s="119"/>
    </row>
    <row r="56" spans="1:7" hidden="1" x14ac:dyDescent="0.3">
      <c r="A56" s="117"/>
      <c r="B56" s="119"/>
      <c r="C56" s="119"/>
      <c r="D56" s="119"/>
      <c r="E56" s="119"/>
      <c r="F56" s="119"/>
      <c r="G56" s="119"/>
    </row>
    <row r="57" spans="1:7" x14ac:dyDescent="0.3">
      <c r="A57" s="117"/>
      <c r="B57" s="119"/>
      <c r="C57" s="119"/>
      <c r="D57" s="119"/>
      <c r="E57" s="119"/>
      <c r="F57" s="119"/>
      <c r="G57" s="119"/>
    </row>
    <row r="58" spans="1:7" x14ac:dyDescent="0.3">
      <c r="A58" s="117"/>
      <c r="B58" s="119"/>
      <c r="C58" s="119"/>
      <c r="D58" s="119"/>
      <c r="E58" s="119"/>
      <c r="F58" s="119"/>
      <c r="G58" s="119"/>
    </row>
    <row r="59" spans="1:7" x14ac:dyDescent="0.3">
      <c r="A59" s="117"/>
      <c r="B59" s="119"/>
      <c r="C59" s="119"/>
      <c r="D59" s="119"/>
      <c r="E59" s="119"/>
      <c r="F59" s="119"/>
      <c r="G59" s="119"/>
    </row>
    <row r="60" spans="1:7" x14ac:dyDescent="0.3">
      <c r="A60" s="117"/>
      <c r="B60" s="119"/>
      <c r="C60" s="119"/>
      <c r="D60" s="119"/>
      <c r="E60" s="119"/>
      <c r="F60" s="119"/>
      <c r="G60" s="119"/>
    </row>
    <row r="61" spans="1:7" x14ac:dyDescent="0.3">
      <c r="A61" s="117"/>
      <c r="B61" s="119"/>
      <c r="C61" s="119"/>
      <c r="D61" s="119"/>
      <c r="E61" s="119"/>
      <c r="F61" s="119"/>
      <c r="G61" s="119"/>
    </row>
    <row r="62" spans="1:7" x14ac:dyDescent="0.3">
      <c r="A62" s="117"/>
      <c r="B62" s="119"/>
      <c r="C62" s="119"/>
      <c r="D62" s="119"/>
      <c r="E62" s="119"/>
      <c r="F62" s="119"/>
      <c r="G62" s="119"/>
    </row>
  </sheetData>
  <sheetProtection algorithmName="SHA-512" hashValue="6pfMQYFsMXNt1Wt1nAna0Nn7IGuHxlpz37zUhtTTwHNpfaCZCUIXSSuPIK4NyIUQESisSHif333J82DucR/HBg==" saltValue="w1g0fXDijIf1yUg9e7l3pw==" spinCount="100000" sheet="1" objects="1" scenarios="1"/>
  <protectedRanges>
    <protectedRange sqref="C9" name="Range4"/>
    <protectedRange sqref="D18:D20" name="Range1"/>
  </protectedRanges>
  <mergeCells count="10">
    <mergeCell ref="C15:E15"/>
    <mergeCell ref="C21:E21"/>
    <mergeCell ref="C22:E22"/>
    <mergeCell ref="C3:E3"/>
    <mergeCell ref="A1:G1"/>
    <mergeCell ref="A2:G2"/>
    <mergeCell ref="D5:E5"/>
    <mergeCell ref="B12:E12"/>
    <mergeCell ref="C13:E13"/>
    <mergeCell ref="C14:E14"/>
  </mergeCells>
  <conditionalFormatting sqref="C9">
    <cfRule type="expression" dxfId="1" priority="1" stopIfTrue="1">
      <formula>AND(OR(#REF!="original budget",#REF!="Annual financial report"),ISBLANK($C$9)=FALSE)</formula>
    </cfRule>
    <cfRule type="expression" dxfId="0" priority="2" stopIfTrue="1">
      <formula>OR(#REF!="original budget",#REF!="Annual financial report")</formula>
    </cfRule>
  </conditionalFormatting>
  <dataValidations count="2">
    <dataValidation allowBlank="1" showInputMessage="1" showErrorMessage="1" prompt="Enter date as shown in the following example:_x000a_(January 23, 2015)" sqref="C10" xr:uid="{00000000-0002-0000-0000-000001000000}"/>
    <dataValidation allowBlank="1" showInputMessage="1" showErrorMessage="1" errorTitle="For CDE Use Only" sqref="D24:E29" xr:uid="{00000000-0002-0000-0000-000000000000}"/>
  </dataValidations>
  <hyperlinks>
    <hyperlink ref="C17" r:id="rId1" xr:uid="{06FFCF2A-E522-4638-BBBA-CDB6FE98A2A9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Tables!$B$4:$B$192</xm:f>
          </x14:formula1>
          <xm:sqref>C5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190"/>
  <sheetViews>
    <sheetView workbookViewId="0">
      <pane ySplit="1" topLeftCell="A2" activePane="bottomLeft" state="frozen"/>
      <selection pane="bottomLeft" activeCell="B8" sqref="B8"/>
    </sheetView>
  </sheetViews>
  <sheetFormatPr defaultColWidth="8.5546875" defaultRowHeight="13.8" x14ac:dyDescent="0.3"/>
  <cols>
    <col min="1" max="1" width="15.109375" style="2" bestFit="1" customWidth="1"/>
    <col min="2" max="2" width="39.88671875" style="2" bestFit="1" customWidth="1"/>
    <col min="3" max="3" width="3.88671875" style="2" customWidth="1"/>
    <col min="4" max="4" width="15.109375" style="2" bestFit="1" customWidth="1"/>
    <col min="5" max="5" width="39.88671875" style="2" bestFit="1" customWidth="1"/>
    <col min="6" max="6" width="9.5546875" style="2" bestFit="1" customWidth="1"/>
    <col min="7" max="7" width="15.109375" style="2" bestFit="1" customWidth="1"/>
    <col min="8" max="8" width="22" style="2" bestFit="1" customWidth="1"/>
    <col min="9" max="9" width="12.5546875" style="2" bestFit="1" customWidth="1"/>
    <col min="10" max="10" width="18.5546875" style="2" bestFit="1" customWidth="1"/>
    <col min="11" max="11" width="10.5546875" style="2" bestFit="1" customWidth="1"/>
    <col min="12" max="12" width="8.88671875" style="2" bestFit="1" customWidth="1"/>
    <col min="13" max="13" width="11.88671875" style="2" bestFit="1" customWidth="1"/>
    <col min="14" max="14" width="8.5546875" style="2" bestFit="1" customWidth="1"/>
    <col min="15" max="15" width="11" style="2" bestFit="1" customWidth="1"/>
    <col min="16" max="16" width="17" style="2" bestFit="1" customWidth="1"/>
    <col min="17" max="17" width="7.5546875" style="2" bestFit="1" customWidth="1"/>
    <col min="18" max="18" width="18.109375" style="2" bestFit="1" customWidth="1"/>
    <col min="19" max="19" width="9.44140625" style="2" bestFit="1" customWidth="1"/>
    <col min="20" max="20" width="11.109375" style="2" bestFit="1" customWidth="1"/>
    <col min="21" max="21" width="12.5546875" style="2" bestFit="1" customWidth="1"/>
    <col min="22" max="22" width="8.109375" style="2" bestFit="1" customWidth="1"/>
    <col min="23" max="23" width="10" style="2" bestFit="1" customWidth="1"/>
    <col min="24" max="24" width="13.109375" style="2" bestFit="1" customWidth="1"/>
    <col min="25" max="25" width="11" style="2" bestFit="1" customWidth="1"/>
    <col min="26" max="27" width="15.5546875" style="2" bestFit="1" customWidth="1"/>
    <col min="28" max="28" width="13.5546875" style="2" bestFit="1" customWidth="1"/>
    <col min="29" max="29" width="9.109375" style="2" bestFit="1" customWidth="1"/>
    <col min="30" max="30" width="11.44140625" style="2" bestFit="1" customWidth="1"/>
    <col min="31" max="31" width="18.44140625" style="2" bestFit="1" customWidth="1"/>
    <col min="32" max="32" width="13.44140625" style="2" bestFit="1" customWidth="1"/>
    <col min="33" max="33" width="16.44140625" style="2" bestFit="1" customWidth="1"/>
    <col min="34" max="34" width="8.5546875" style="2" bestFit="1" customWidth="1"/>
    <col min="35" max="35" width="16.5546875" style="2" bestFit="1" customWidth="1"/>
    <col min="36" max="36" width="12" style="2" bestFit="1" customWidth="1"/>
    <col min="37" max="37" width="15.109375" style="2" bestFit="1" customWidth="1"/>
    <col min="38" max="38" width="17.88671875" style="2" bestFit="1" customWidth="1"/>
    <col min="39" max="39" width="26.109375" style="2" bestFit="1" customWidth="1"/>
    <col min="40" max="40" width="14.5546875" style="2" bestFit="1" customWidth="1"/>
    <col min="41" max="41" width="13.5546875" style="2" bestFit="1" customWidth="1"/>
    <col min="42" max="42" width="19.109375" style="2" bestFit="1" customWidth="1"/>
    <col min="43" max="43" width="16.5546875" style="2" bestFit="1" customWidth="1"/>
    <col min="44" max="44" width="15.44140625" style="2" bestFit="1" customWidth="1"/>
    <col min="45" max="45" width="19.44140625" style="2" bestFit="1" customWidth="1"/>
    <col min="46" max="46" width="8.44140625" style="2" bestFit="1" customWidth="1"/>
    <col min="47" max="47" width="11.88671875" style="2" bestFit="1" customWidth="1"/>
    <col min="48" max="48" width="8.5546875" style="2" bestFit="1" customWidth="1"/>
    <col min="49" max="49" width="8.44140625" style="2" bestFit="1" customWidth="1"/>
    <col min="50" max="50" width="9.5546875" style="2" bestFit="1" customWidth="1"/>
    <col min="51" max="51" width="8.5546875" style="2" bestFit="1" customWidth="1"/>
    <col min="52" max="52" width="9.5546875" style="2" bestFit="1" customWidth="1"/>
    <col min="53" max="53" width="9" style="2" bestFit="1" customWidth="1"/>
    <col min="54" max="54" width="16.109375" style="2" bestFit="1" customWidth="1"/>
    <col min="55" max="55" width="18.88671875" style="2" bestFit="1" customWidth="1"/>
    <col min="56" max="56" width="15.5546875" style="2" bestFit="1" customWidth="1"/>
    <col min="57" max="57" width="10" style="2" bestFit="1" customWidth="1"/>
    <col min="58" max="58" width="8.44140625" style="2" bestFit="1" customWidth="1"/>
    <col min="59" max="59" width="10" style="2" bestFit="1" customWidth="1"/>
    <col min="60" max="60" width="9.44140625" style="2" bestFit="1" customWidth="1"/>
    <col min="61" max="61" width="13.109375" style="2" bestFit="1" customWidth="1"/>
    <col min="62" max="62" width="8.44140625" style="2" bestFit="1" customWidth="1"/>
    <col min="63" max="63" width="10.109375" style="2" bestFit="1" customWidth="1"/>
    <col min="64" max="64" width="15.109375" style="2" bestFit="1" customWidth="1"/>
    <col min="65" max="65" width="13" style="2" bestFit="1" customWidth="1"/>
    <col min="66" max="66" width="11.109375" style="2" bestFit="1" customWidth="1"/>
    <col min="67" max="67" width="11.44140625" style="2" bestFit="1" customWidth="1"/>
    <col min="68" max="68" width="14.44140625" style="2" bestFit="1" customWidth="1"/>
    <col min="69" max="69" width="10.5546875" style="2" bestFit="1" customWidth="1"/>
    <col min="70" max="70" width="9.109375" style="2" bestFit="1" customWidth="1"/>
    <col min="71" max="71" width="15.109375" style="2" bestFit="1" customWidth="1"/>
    <col min="72" max="72" width="13.44140625" style="2" bestFit="1" customWidth="1"/>
    <col min="73" max="73" width="10.5546875" style="2" bestFit="1" customWidth="1"/>
    <col min="74" max="74" width="21.109375" style="2" bestFit="1" customWidth="1"/>
    <col min="75" max="75" width="17.109375" style="2" bestFit="1" customWidth="1"/>
    <col min="76" max="76" width="11.5546875" style="2" bestFit="1" customWidth="1"/>
    <col min="77" max="77" width="10.109375" style="2" bestFit="1" customWidth="1"/>
    <col min="78" max="78" width="11.88671875" style="2" bestFit="1" customWidth="1"/>
    <col min="79" max="79" width="16.5546875" style="2" bestFit="1" customWidth="1"/>
    <col min="80" max="80" width="8.109375" style="2" bestFit="1" customWidth="1"/>
    <col min="81" max="81" width="11.88671875" style="2" bestFit="1" customWidth="1"/>
    <col min="82" max="82" width="15" style="2" bestFit="1" customWidth="1"/>
    <col min="83" max="83" width="11.109375" style="2" bestFit="1" customWidth="1"/>
    <col min="84" max="84" width="10" style="2" bestFit="1" customWidth="1"/>
    <col min="85" max="85" width="10.109375" style="2" bestFit="1" customWidth="1"/>
    <col min="86" max="86" width="13.44140625" style="2" bestFit="1" customWidth="1"/>
    <col min="87" max="87" width="13.109375" style="2" bestFit="1" customWidth="1"/>
    <col min="88" max="88" width="10.109375" style="2" bestFit="1" customWidth="1"/>
    <col min="89" max="89" width="12.44140625" style="2" bestFit="1" customWidth="1"/>
    <col min="90" max="90" width="10.44140625" style="2" bestFit="1" customWidth="1"/>
    <col min="91" max="91" width="9.109375" style="2" bestFit="1" customWidth="1"/>
    <col min="92" max="92" width="12.44140625" style="2" bestFit="1" customWidth="1"/>
    <col min="93" max="93" width="11.44140625" style="2" bestFit="1" customWidth="1"/>
    <col min="94" max="94" width="8.5546875" style="2" bestFit="1" customWidth="1"/>
    <col min="95" max="96" width="18.109375" style="2" bestFit="1" customWidth="1"/>
    <col min="97" max="97" width="17.5546875" style="2" bestFit="1" customWidth="1"/>
    <col min="98" max="98" width="19.44140625" style="2" bestFit="1" customWidth="1"/>
    <col min="99" max="99" width="15.88671875" style="2" bestFit="1" customWidth="1"/>
    <col min="100" max="100" width="14.5546875" style="2" bestFit="1" customWidth="1"/>
    <col min="101" max="101" width="9.88671875" style="2" bestFit="1" customWidth="1"/>
    <col min="102" max="102" width="10.109375" style="2" bestFit="1" customWidth="1"/>
    <col min="103" max="103" width="9.109375" style="2" bestFit="1" customWidth="1"/>
    <col min="104" max="104" width="13.109375" style="2" bestFit="1" customWidth="1"/>
    <col min="105" max="105" width="10.5546875" style="2" bestFit="1" customWidth="1"/>
    <col min="106" max="106" width="10.44140625" style="2" bestFit="1" customWidth="1"/>
    <col min="107" max="107" width="11.88671875" style="2" bestFit="1" customWidth="1"/>
    <col min="108" max="108" width="13.88671875" style="2" bestFit="1" customWidth="1"/>
    <col min="109" max="109" width="18.44140625" style="2" bestFit="1" customWidth="1"/>
    <col min="110" max="110" width="17.5546875" style="2" bestFit="1" customWidth="1"/>
    <col min="111" max="111" width="18.88671875" style="2" bestFit="1" customWidth="1"/>
    <col min="112" max="112" width="19.44140625" style="2" bestFit="1" customWidth="1"/>
    <col min="113" max="113" width="11.5546875" style="2" bestFit="1" customWidth="1"/>
    <col min="114" max="114" width="10.5546875" style="2" bestFit="1" customWidth="1"/>
    <col min="115" max="115" width="18.5546875" style="2" bestFit="1" customWidth="1"/>
    <col min="116" max="116" width="11.88671875" style="2" bestFit="1" customWidth="1"/>
    <col min="117" max="117" width="10.5546875" style="2" bestFit="1" customWidth="1"/>
    <col min="118" max="118" width="14.109375" style="2" bestFit="1" customWidth="1"/>
    <col min="119" max="119" width="18.44140625" style="2" bestFit="1" customWidth="1"/>
    <col min="120" max="120" width="13.109375" style="2" bestFit="1" customWidth="1"/>
    <col min="121" max="121" width="11.5546875" style="2" bestFit="1" customWidth="1"/>
    <col min="122" max="122" width="12" style="2" bestFit="1" customWidth="1"/>
    <col min="123" max="123" width="11.109375" style="2" bestFit="1" customWidth="1"/>
    <col min="124" max="124" width="9.44140625" style="2" bestFit="1" customWidth="1"/>
    <col min="125" max="125" width="8.88671875" style="2" bestFit="1" customWidth="1"/>
    <col min="126" max="126" width="7.44140625" style="2" bestFit="1" customWidth="1"/>
    <col min="127" max="127" width="8.44140625" style="2" bestFit="1" customWidth="1"/>
    <col min="128" max="128" width="10" style="2" bestFit="1" customWidth="1"/>
    <col min="129" max="129" width="12.88671875" style="2" bestFit="1" customWidth="1"/>
    <col min="130" max="130" width="13.88671875" style="2" bestFit="1" customWidth="1"/>
    <col min="131" max="131" width="11.44140625" style="2" bestFit="1" customWidth="1"/>
    <col min="132" max="132" width="10.5546875" style="2" bestFit="1" customWidth="1"/>
    <col min="133" max="133" width="6.88671875" style="2" bestFit="1" customWidth="1"/>
    <col min="134" max="134" width="11.109375" style="2" bestFit="1" customWidth="1"/>
    <col min="135" max="135" width="9.44140625" style="2" bestFit="1" customWidth="1"/>
    <col min="136" max="136" width="8.44140625" style="2" bestFit="1" customWidth="1"/>
    <col min="137" max="137" width="11.44140625" style="2" bestFit="1" customWidth="1"/>
    <col min="138" max="138" width="11.5546875" style="2" bestFit="1" customWidth="1"/>
    <col min="139" max="139" width="14.44140625" style="2" bestFit="1" customWidth="1"/>
    <col min="140" max="140" width="10.44140625" style="2" bestFit="1" customWidth="1"/>
    <col min="141" max="141" width="10.5546875" style="2" bestFit="1" customWidth="1"/>
    <col min="142" max="142" width="29.109375" style="2" bestFit="1" customWidth="1"/>
    <col min="143" max="143" width="13.109375" style="2" bestFit="1" customWidth="1"/>
    <col min="144" max="144" width="11.88671875" style="2" bestFit="1" customWidth="1"/>
    <col min="145" max="145" width="10.44140625" style="2" bestFit="1" customWidth="1"/>
    <col min="146" max="146" width="19" style="2" bestFit="1" customWidth="1"/>
    <col min="147" max="147" width="13.88671875" style="2" bestFit="1" customWidth="1"/>
    <col min="148" max="148" width="17.44140625" style="2" bestFit="1" customWidth="1"/>
    <col min="149" max="149" width="7.44140625" style="2" bestFit="1" customWidth="1"/>
    <col min="150" max="150" width="10.109375" style="2" bestFit="1" customWidth="1"/>
    <col min="151" max="151" width="8.88671875" style="2" bestFit="1" customWidth="1"/>
    <col min="152" max="152" width="10.44140625" style="2" bestFit="1" customWidth="1"/>
    <col min="153" max="153" width="11.44140625" style="2" bestFit="1" customWidth="1"/>
    <col min="154" max="154" width="11.5546875" style="2" bestFit="1" customWidth="1"/>
    <col min="155" max="155" width="17.44140625" style="2" bestFit="1" customWidth="1"/>
    <col min="156" max="156" width="10.44140625" style="2" bestFit="1" customWidth="1"/>
    <col min="157" max="157" width="20" style="2" bestFit="1" customWidth="1"/>
    <col min="158" max="158" width="16.44140625" style="2" bestFit="1" customWidth="1"/>
    <col min="159" max="159" width="8.44140625" style="2" bestFit="1" customWidth="1"/>
    <col min="160" max="160" width="10.88671875" style="2" bestFit="1" customWidth="1"/>
    <col min="161" max="161" width="6.5546875" style="2" bestFit="1" customWidth="1"/>
    <col min="162" max="162" width="11.109375" style="2" bestFit="1" customWidth="1"/>
    <col min="163" max="163" width="12.109375" style="2" bestFit="1" customWidth="1"/>
    <col min="164" max="164" width="14.5546875" style="2" bestFit="1" customWidth="1"/>
    <col min="165" max="165" width="9.109375" style="2" bestFit="1" customWidth="1"/>
    <col min="166" max="166" width="26.5546875" style="2" bestFit="1" customWidth="1"/>
    <col min="167" max="167" width="11.109375" style="2" bestFit="1" customWidth="1"/>
    <col min="168" max="168" width="20.109375" style="2" bestFit="1" customWidth="1"/>
    <col min="169" max="169" width="8" style="2" bestFit="1" customWidth="1"/>
    <col min="170" max="170" width="14.109375" style="2" bestFit="1" customWidth="1"/>
    <col min="171" max="171" width="14.88671875" style="2" bestFit="1" customWidth="1"/>
    <col min="172" max="172" width="15.109375" style="2" bestFit="1" customWidth="1"/>
    <col min="173" max="173" width="13.44140625" style="2" bestFit="1" customWidth="1"/>
    <col min="174" max="174" width="10.44140625" style="2" bestFit="1" customWidth="1"/>
    <col min="175" max="175" width="11.44140625" style="2" bestFit="1" customWidth="1"/>
    <col min="176" max="176" width="6.44140625" style="2" bestFit="1" customWidth="1"/>
    <col min="177" max="177" width="8.88671875" style="2" bestFit="1" customWidth="1"/>
    <col min="178" max="179" width="8.44140625" style="2" bestFit="1" customWidth="1"/>
    <col min="180" max="180" width="39.88671875" style="2" bestFit="1" customWidth="1"/>
    <col min="181" max="181" width="19.109375" style="2" bestFit="1" customWidth="1"/>
    <col min="182" max="182" width="21.44140625" style="2" bestFit="1" customWidth="1"/>
    <col min="183" max="183" width="20.44140625" style="2" bestFit="1" customWidth="1"/>
    <col min="184" max="184" width="31" style="2" bestFit="1" customWidth="1"/>
    <col min="185" max="185" width="14.5546875" style="2" bestFit="1" customWidth="1"/>
    <col min="186" max="186" width="12.88671875" style="2" bestFit="1" customWidth="1"/>
    <col min="187" max="187" width="16.88671875" style="2" bestFit="1" customWidth="1"/>
    <col min="188" max="188" width="24.44140625" style="2" bestFit="1" customWidth="1"/>
    <col min="189" max="189" width="17.5546875" style="2" bestFit="1" customWidth="1"/>
    <col min="190" max="190" width="24.44140625" style="2" bestFit="1" customWidth="1"/>
    <col min="191" max="16384" width="8.5546875" style="2"/>
  </cols>
  <sheetData>
    <row r="1" spans="1:7" ht="14.4" thickBot="1" x14ac:dyDescent="0.35">
      <c r="A1" s="1" t="s">
        <v>9</v>
      </c>
      <c r="B1" s="1" t="s">
        <v>1</v>
      </c>
      <c r="D1" s="1" t="s">
        <v>9</v>
      </c>
      <c r="E1" s="1" t="s">
        <v>1</v>
      </c>
      <c r="F1" s="1" t="s">
        <v>6249</v>
      </c>
      <c r="G1" s="1" t="s">
        <v>9</v>
      </c>
    </row>
    <row r="2" spans="1:7" ht="14.4" thickBot="1" x14ac:dyDescent="0.35">
      <c r="A2" s="3" t="s">
        <v>461</v>
      </c>
      <c r="B2" s="3" t="s">
        <v>462</v>
      </c>
      <c r="D2" s="3" t="s">
        <v>461</v>
      </c>
      <c r="E2" s="3" t="s">
        <v>462</v>
      </c>
      <c r="F2" s="10" t="s">
        <v>6250</v>
      </c>
      <c r="G2" s="3" t="s">
        <v>461</v>
      </c>
    </row>
    <row r="3" spans="1:7" ht="14.4" thickBot="1" x14ac:dyDescent="0.35">
      <c r="A3" s="4" t="s">
        <v>469</v>
      </c>
      <c r="B3" s="4" t="s">
        <v>470</v>
      </c>
      <c r="D3" s="4" t="s">
        <v>469</v>
      </c>
      <c r="E3" s="4" t="s">
        <v>470</v>
      </c>
      <c r="F3" s="10" t="s">
        <v>6251</v>
      </c>
      <c r="G3" s="4" t="s">
        <v>469</v>
      </c>
    </row>
    <row r="4" spans="1:7" ht="14.4" thickBot="1" x14ac:dyDescent="0.35">
      <c r="A4" s="4" t="s">
        <v>1646</v>
      </c>
      <c r="B4" s="4" t="s">
        <v>1647</v>
      </c>
      <c r="D4" s="4" t="s">
        <v>1646</v>
      </c>
      <c r="E4" s="4" t="s">
        <v>1647</v>
      </c>
      <c r="F4" s="10" t="s">
        <v>6252</v>
      </c>
      <c r="G4" s="4" t="s">
        <v>1646</v>
      </c>
    </row>
    <row r="5" spans="1:7" ht="14.4" thickBot="1" x14ac:dyDescent="0.35">
      <c r="A5" s="4" t="s">
        <v>473</v>
      </c>
      <c r="B5" s="4" t="s">
        <v>474</v>
      </c>
      <c r="D5" s="4" t="s">
        <v>473</v>
      </c>
      <c r="E5" s="4" t="s">
        <v>474</v>
      </c>
      <c r="F5" s="10" t="s">
        <v>6253</v>
      </c>
      <c r="G5" s="4" t="s">
        <v>473</v>
      </c>
    </row>
    <row r="6" spans="1:7" ht="14.4" thickBot="1" x14ac:dyDescent="0.35">
      <c r="A6" s="4" t="s">
        <v>477</v>
      </c>
      <c r="B6" s="4" t="s">
        <v>478</v>
      </c>
      <c r="D6" s="4" t="s">
        <v>477</v>
      </c>
      <c r="E6" s="4" t="s">
        <v>478</v>
      </c>
      <c r="F6" s="10" t="s">
        <v>6254</v>
      </c>
      <c r="G6" s="4" t="s">
        <v>477</v>
      </c>
    </row>
    <row r="7" spans="1:7" ht="14.4" thickBot="1" x14ac:dyDescent="0.35">
      <c r="A7" s="4" t="s">
        <v>1405</v>
      </c>
      <c r="B7" s="4" t="s">
        <v>1406</v>
      </c>
      <c r="D7" s="4" t="s">
        <v>1405</v>
      </c>
      <c r="E7" s="4" t="s">
        <v>1406</v>
      </c>
      <c r="F7" s="10" t="s">
        <v>6255</v>
      </c>
      <c r="G7" s="4" t="s">
        <v>1405</v>
      </c>
    </row>
    <row r="8" spans="1:7" ht="14.4" thickBot="1" x14ac:dyDescent="0.35">
      <c r="A8" s="4" t="s">
        <v>743</v>
      </c>
      <c r="B8" s="4" t="s">
        <v>744</v>
      </c>
      <c r="D8" s="4" t="s">
        <v>743</v>
      </c>
      <c r="E8" s="4" t="s">
        <v>744</v>
      </c>
      <c r="F8" s="10" t="s">
        <v>6256</v>
      </c>
      <c r="G8" s="4" t="s">
        <v>743</v>
      </c>
    </row>
    <row r="9" spans="1:7" ht="14.4" thickBot="1" x14ac:dyDescent="0.35">
      <c r="A9" s="4" t="s">
        <v>1522</v>
      </c>
      <c r="B9" s="4" t="s">
        <v>1523</v>
      </c>
      <c r="D9" s="4" t="s">
        <v>1522</v>
      </c>
      <c r="E9" s="4" t="s">
        <v>1523</v>
      </c>
      <c r="F9" s="10" t="s">
        <v>6257</v>
      </c>
      <c r="G9" s="4" t="s">
        <v>1522</v>
      </c>
    </row>
    <row r="10" spans="1:7" ht="14.4" thickBot="1" x14ac:dyDescent="0.35">
      <c r="A10" s="4" t="s">
        <v>2185</v>
      </c>
      <c r="B10" s="4" t="s">
        <v>2186</v>
      </c>
      <c r="D10" s="4" t="s">
        <v>2185</v>
      </c>
      <c r="E10" s="4" t="s">
        <v>2186</v>
      </c>
      <c r="F10" s="10" t="s">
        <v>6258</v>
      </c>
      <c r="G10" s="4" t="s">
        <v>2185</v>
      </c>
    </row>
    <row r="11" spans="1:7" ht="14.4" thickBot="1" x14ac:dyDescent="0.35">
      <c r="A11" s="4" t="s">
        <v>1409</v>
      </c>
      <c r="B11" s="4" t="s">
        <v>1410</v>
      </c>
      <c r="D11" s="4" t="s">
        <v>1409</v>
      </c>
      <c r="E11" s="4" t="s">
        <v>1410</v>
      </c>
      <c r="F11" s="10" t="s">
        <v>6259</v>
      </c>
      <c r="G11" s="4" t="s">
        <v>1409</v>
      </c>
    </row>
    <row r="12" spans="1:7" ht="14.4" thickBot="1" x14ac:dyDescent="0.35">
      <c r="A12" s="4" t="s">
        <v>1413</v>
      </c>
      <c r="B12" s="4" t="s">
        <v>1414</v>
      </c>
      <c r="D12" s="4" t="s">
        <v>1413</v>
      </c>
      <c r="E12" s="4" t="s">
        <v>1414</v>
      </c>
      <c r="F12" s="10" t="s">
        <v>6260</v>
      </c>
      <c r="G12" s="4" t="s">
        <v>1413</v>
      </c>
    </row>
    <row r="13" spans="1:7" ht="14.4" thickBot="1" x14ac:dyDescent="0.35">
      <c r="A13" s="4" t="s">
        <v>409</v>
      </c>
      <c r="B13" s="4" t="s">
        <v>410</v>
      </c>
      <c r="D13" s="4" t="s">
        <v>409</v>
      </c>
      <c r="E13" s="4" t="s">
        <v>410</v>
      </c>
      <c r="F13" s="10" t="s">
        <v>6261</v>
      </c>
      <c r="G13" s="4" t="s">
        <v>409</v>
      </c>
    </row>
    <row r="14" spans="1:7" ht="14.4" thickBot="1" x14ac:dyDescent="0.35">
      <c r="A14" s="4" t="s">
        <v>425</v>
      </c>
      <c r="B14" s="4" t="s">
        <v>426</v>
      </c>
      <c r="D14" s="4" t="s">
        <v>425</v>
      </c>
      <c r="E14" s="4" t="s">
        <v>426</v>
      </c>
      <c r="F14" s="10" t="s">
        <v>6262</v>
      </c>
      <c r="G14" s="4" t="s">
        <v>425</v>
      </c>
    </row>
    <row r="15" spans="1:7" ht="14.4" thickBot="1" x14ac:dyDescent="0.35">
      <c r="A15" s="4" t="s">
        <v>2139</v>
      </c>
      <c r="B15" s="4" t="s">
        <v>2140</v>
      </c>
      <c r="D15" s="4" t="s">
        <v>2139</v>
      </c>
      <c r="E15" s="4" t="s">
        <v>2140</v>
      </c>
      <c r="F15" s="10" t="s">
        <v>6263</v>
      </c>
      <c r="G15" s="4" t="s">
        <v>2139</v>
      </c>
    </row>
    <row r="16" spans="1:7" ht="14.4" thickBot="1" x14ac:dyDescent="0.35">
      <c r="A16" s="4" t="s">
        <v>433</v>
      </c>
      <c r="B16" s="4" t="s">
        <v>434</v>
      </c>
      <c r="D16" s="4" t="s">
        <v>433</v>
      </c>
      <c r="E16" s="4" t="s">
        <v>434</v>
      </c>
      <c r="F16" s="10" t="s">
        <v>6264</v>
      </c>
      <c r="G16" s="4" t="s">
        <v>433</v>
      </c>
    </row>
    <row r="17" spans="1:7" ht="14.4" thickBot="1" x14ac:dyDescent="0.35">
      <c r="A17" s="4" t="s">
        <v>445</v>
      </c>
      <c r="B17" s="4" t="s">
        <v>446</v>
      </c>
      <c r="D17" s="4" t="s">
        <v>445</v>
      </c>
      <c r="E17" s="4" t="s">
        <v>446</v>
      </c>
      <c r="F17" s="10" t="s">
        <v>6265</v>
      </c>
      <c r="G17" s="4" t="s">
        <v>445</v>
      </c>
    </row>
    <row r="18" spans="1:7" ht="14.4" thickBot="1" x14ac:dyDescent="0.35">
      <c r="A18" s="4" t="s">
        <v>450</v>
      </c>
      <c r="B18" s="4" t="s">
        <v>451</v>
      </c>
      <c r="D18" s="4" t="s">
        <v>450</v>
      </c>
      <c r="E18" s="4" t="s">
        <v>451</v>
      </c>
      <c r="F18" s="10" t="s">
        <v>6266</v>
      </c>
      <c r="G18" s="4" t="s">
        <v>450</v>
      </c>
    </row>
    <row r="19" spans="1:7" ht="14.4" thickBot="1" x14ac:dyDescent="0.35">
      <c r="A19" s="4" t="s">
        <v>1380</v>
      </c>
      <c r="B19" s="4" t="s">
        <v>1381</v>
      </c>
      <c r="D19" s="4" t="s">
        <v>1380</v>
      </c>
      <c r="E19" s="4" t="s">
        <v>1381</v>
      </c>
      <c r="F19" s="10" t="s">
        <v>6267</v>
      </c>
      <c r="G19" s="4" t="s">
        <v>1380</v>
      </c>
    </row>
    <row r="20" spans="1:7" ht="14.4" thickBot="1" x14ac:dyDescent="0.35">
      <c r="A20" s="4" t="s">
        <v>2160</v>
      </c>
      <c r="B20" s="4" t="s">
        <v>2161</v>
      </c>
      <c r="D20" s="4" t="s">
        <v>2160</v>
      </c>
      <c r="E20" s="4" t="s">
        <v>2161</v>
      </c>
      <c r="F20" s="10" t="s">
        <v>6268</v>
      </c>
      <c r="G20" s="4" t="s">
        <v>2160</v>
      </c>
    </row>
    <row r="21" spans="1:7" ht="14.4" thickBot="1" x14ac:dyDescent="0.35">
      <c r="A21" s="4" t="s">
        <v>3809</v>
      </c>
      <c r="B21" s="4" t="s">
        <v>5303</v>
      </c>
      <c r="D21" s="4" t="s">
        <v>3809</v>
      </c>
      <c r="E21" s="4" t="s">
        <v>5303</v>
      </c>
      <c r="F21" s="10" t="s">
        <v>6269</v>
      </c>
      <c r="G21" s="4" t="s">
        <v>3809</v>
      </c>
    </row>
    <row r="22" spans="1:7" ht="14.4" thickBot="1" x14ac:dyDescent="0.35">
      <c r="A22" s="4" t="s">
        <v>456</v>
      </c>
      <c r="B22" s="4" t="s">
        <v>457</v>
      </c>
      <c r="D22" s="4" t="s">
        <v>456</v>
      </c>
      <c r="E22" s="4" t="s">
        <v>457</v>
      </c>
      <c r="F22" s="10" t="s">
        <v>6270</v>
      </c>
      <c r="G22" s="4" t="s">
        <v>456</v>
      </c>
    </row>
    <row r="23" spans="1:7" ht="14.4" thickBot="1" x14ac:dyDescent="0.35">
      <c r="A23" s="4" t="s">
        <v>3639</v>
      </c>
      <c r="B23" s="4" t="s">
        <v>3640</v>
      </c>
      <c r="D23" s="4" t="s">
        <v>3639</v>
      </c>
      <c r="E23" s="4" t="s">
        <v>3640</v>
      </c>
      <c r="F23" s="10" t="s">
        <v>6271</v>
      </c>
      <c r="G23" s="4" t="s">
        <v>3639</v>
      </c>
    </row>
    <row r="24" spans="1:7" ht="14.4" thickBot="1" x14ac:dyDescent="0.35">
      <c r="A24" s="4" t="s">
        <v>735</v>
      </c>
      <c r="B24" s="4" t="s">
        <v>736</v>
      </c>
      <c r="D24" s="4" t="s">
        <v>735</v>
      </c>
      <c r="E24" s="4" t="s">
        <v>736</v>
      </c>
      <c r="F24" s="10" t="s">
        <v>6272</v>
      </c>
      <c r="G24" s="4" t="s">
        <v>735</v>
      </c>
    </row>
    <row r="25" spans="1:7" ht="14.4" thickBot="1" x14ac:dyDescent="0.35">
      <c r="A25" s="4" t="s">
        <v>1640</v>
      </c>
      <c r="B25" s="4" t="s">
        <v>1641</v>
      </c>
      <c r="D25" s="4" t="s">
        <v>1640</v>
      </c>
      <c r="E25" s="4" t="s">
        <v>1641</v>
      </c>
      <c r="F25" s="10" t="s">
        <v>6273</v>
      </c>
      <c r="G25" s="4" t="s">
        <v>1640</v>
      </c>
    </row>
    <row r="26" spans="1:7" ht="14.4" thickBot="1" x14ac:dyDescent="0.35">
      <c r="A26" s="4" t="s">
        <v>371</v>
      </c>
      <c r="B26" s="4" t="s">
        <v>372</v>
      </c>
      <c r="D26" s="4" t="s">
        <v>371</v>
      </c>
      <c r="E26" s="4" t="s">
        <v>372</v>
      </c>
      <c r="F26" s="10" t="s">
        <v>6274</v>
      </c>
      <c r="G26" s="4" t="s">
        <v>371</v>
      </c>
    </row>
    <row r="27" spans="1:7" ht="14.4" thickBot="1" x14ac:dyDescent="0.35">
      <c r="A27" s="4" t="s">
        <v>749</v>
      </c>
      <c r="B27" s="4" t="s">
        <v>750</v>
      </c>
      <c r="D27" s="4" t="s">
        <v>749</v>
      </c>
      <c r="E27" s="4" t="s">
        <v>750</v>
      </c>
      <c r="F27" s="10" t="s">
        <v>6275</v>
      </c>
      <c r="G27" s="4" t="s">
        <v>749</v>
      </c>
    </row>
    <row r="28" spans="1:7" ht="14.4" thickBot="1" x14ac:dyDescent="0.35">
      <c r="A28" s="4" t="s">
        <v>1314</v>
      </c>
      <c r="B28" s="4" t="s">
        <v>1315</v>
      </c>
      <c r="D28" s="4" t="s">
        <v>1314</v>
      </c>
      <c r="E28" s="4" t="s">
        <v>1315</v>
      </c>
      <c r="F28" s="10" t="s">
        <v>6276</v>
      </c>
      <c r="G28" s="4" t="s">
        <v>1314</v>
      </c>
    </row>
    <row r="29" spans="1:7" ht="14.4" thickBot="1" x14ac:dyDescent="0.35">
      <c r="A29" s="4" t="s">
        <v>399</v>
      </c>
      <c r="B29" s="4" t="s">
        <v>400</v>
      </c>
      <c r="D29" s="4" t="s">
        <v>399</v>
      </c>
      <c r="E29" s="4" t="s">
        <v>400</v>
      </c>
      <c r="F29" s="10" t="s">
        <v>6277</v>
      </c>
      <c r="G29" s="4" t="s">
        <v>399</v>
      </c>
    </row>
    <row r="30" spans="1:7" ht="14.4" thickBot="1" x14ac:dyDescent="0.35">
      <c r="A30" s="4" t="s">
        <v>404</v>
      </c>
      <c r="B30" s="4" t="s">
        <v>405</v>
      </c>
      <c r="D30" s="4" t="s">
        <v>404</v>
      </c>
      <c r="E30" s="4" t="s">
        <v>405</v>
      </c>
      <c r="F30" s="10" t="s">
        <v>6278</v>
      </c>
      <c r="G30" s="4" t="s">
        <v>404</v>
      </c>
    </row>
    <row r="31" spans="1:7" ht="14.4" thickBot="1" x14ac:dyDescent="0.35">
      <c r="A31" s="4" t="s">
        <v>767</v>
      </c>
      <c r="B31" s="4" t="s">
        <v>768</v>
      </c>
      <c r="D31" s="4" t="s">
        <v>767</v>
      </c>
      <c r="E31" s="4" t="s">
        <v>768</v>
      </c>
      <c r="F31" s="10" t="s">
        <v>6279</v>
      </c>
      <c r="G31" s="4" t="s">
        <v>767</v>
      </c>
    </row>
    <row r="32" spans="1:7" ht="14.4" thickBot="1" x14ac:dyDescent="0.35">
      <c r="A32" s="4" t="s">
        <v>1323</v>
      </c>
      <c r="B32" s="4" t="s">
        <v>1324</v>
      </c>
      <c r="D32" s="4" t="s">
        <v>1323</v>
      </c>
      <c r="E32" s="4" t="s">
        <v>1324</v>
      </c>
      <c r="F32" s="10" t="s">
        <v>6280</v>
      </c>
      <c r="G32" s="4" t="s">
        <v>1323</v>
      </c>
    </row>
    <row r="33" spans="1:7" ht="14.4" thickBot="1" x14ac:dyDescent="0.35">
      <c r="A33" s="4" t="s">
        <v>555</v>
      </c>
      <c r="B33" s="4" t="s">
        <v>556</v>
      </c>
      <c r="D33" s="4" t="s">
        <v>555</v>
      </c>
      <c r="E33" s="4" t="s">
        <v>556</v>
      </c>
      <c r="F33" s="10" t="s">
        <v>6281</v>
      </c>
      <c r="G33" s="4" t="s">
        <v>555</v>
      </c>
    </row>
    <row r="34" spans="1:7" ht="14.4" thickBot="1" x14ac:dyDescent="0.35">
      <c r="A34" s="4" t="s">
        <v>771</v>
      </c>
      <c r="B34" s="4" t="s">
        <v>772</v>
      </c>
      <c r="D34" s="4" t="s">
        <v>771</v>
      </c>
      <c r="E34" s="4" t="s">
        <v>772</v>
      </c>
      <c r="F34" s="10" t="s">
        <v>6282</v>
      </c>
      <c r="G34" s="4" t="s">
        <v>771</v>
      </c>
    </row>
    <row r="35" spans="1:7" ht="14.4" thickBot="1" x14ac:dyDescent="0.35">
      <c r="A35" s="4" t="s">
        <v>3805</v>
      </c>
      <c r="B35" s="4" t="s">
        <v>3806</v>
      </c>
      <c r="D35" s="4" t="s">
        <v>3805</v>
      </c>
      <c r="E35" s="4" t="s">
        <v>3806</v>
      </c>
      <c r="F35" s="10" t="s">
        <v>6283</v>
      </c>
      <c r="G35" s="4" t="s">
        <v>3805</v>
      </c>
    </row>
    <row r="36" spans="1:7" ht="14.4" thickBot="1" x14ac:dyDescent="0.35">
      <c r="A36" s="4" t="s">
        <v>1859</v>
      </c>
      <c r="B36" s="4" t="s">
        <v>1860</v>
      </c>
      <c r="D36" s="4" t="s">
        <v>1859</v>
      </c>
      <c r="E36" s="4" t="s">
        <v>1860</v>
      </c>
      <c r="F36" s="10" t="s">
        <v>6284</v>
      </c>
      <c r="G36" s="4" t="s">
        <v>1859</v>
      </c>
    </row>
    <row r="37" spans="1:7" ht="14.4" thickBot="1" x14ac:dyDescent="0.35">
      <c r="A37" s="4" t="s">
        <v>3811</v>
      </c>
      <c r="B37" s="4" t="s">
        <v>3812</v>
      </c>
      <c r="D37" s="4" t="s">
        <v>3811</v>
      </c>
      <c r="E37" s="4" t="s">
        <v>3812</v>
      </c>
      <c r="F37" s="10" t="s">
        <v>6285</v>
      </c>
      <c r="G37" s="4" t="s">
        <v>3811</v>
      </c>
    </row>
    <row r="38" spans="1:7" ht="14.4" thickBot="1" x14ac:dyDescent="0.35">
      <c r="A38" s="4" t="s">
        <v>479</v>
      </c>
      <c r="B38" s="4" t="s">
        <v>663</v>
      </c>
      <c r="D38" s="4" t="s">
        <v>479</v>
      </c>
      <c r="E38" s="4" t="s">
        <v>663</v>
      </c>
      <c r="F38" s="10" t="s">
        <v>6286</v>
      </c>
      <c r="G38" s="4" t="s">
        <v>479</v>
      </c>
    </row>
    <row r="39" spans="1:7" ht="14.4" thickBot="1" x14ac:dyDescent="0.35">
      <c r="A39" s="4" t="s">
        <v>1914</v>
      </c>
      <c r="B39" s="4" t="s">
        <v>3818</v>
      </c>
      <c r="D39" s="4" t="s">
        <v>1914</v>
      </c>
      <c r="E39" s="4" t="s">
        <v>3818</v>
      </c>
      <c r="F39" s="10" t="s">
        <v>6287</v>
      </c>
      <c r="G39" s="4" t="s">
        <v>1914</v>
      </c>
    </row>
    <row r="40" spans="1:7" ht="14.4" thickBot="1" x14ac:dyDescent="0.35">
      <c r="A40" s="4" t="s">
        <v>776</v>
      </c>
      <c r="B40" s="4" t="s">
        <v>777</v>
      </c>
      <c r="D40" s="4" t="s">
        <v>776</v>
      </c>
      <c r="E40" s="4" t="s">
        <v>777</v>
      </c>
      <c r="F40" s="10" t="s">
        <v>6288</v>
      </c>
      <c r="G40" s="4" t="s">
        <v>776</v>
      </c>
    </row>
    <row r="41" spans="1:7" ht="14.4" thickBot="1" x14ac:dyDescent="0.35">
      <c r="A41" s="4" t="s">
        <v>667</v>
      </c>
      <c r="B41" s="4" t="s">
        <v>668</v>
      </c>
      <c r="D41" s="4" t="s">
        <v>667</v>
      </c>
      <c r="E41" s="4" t="s">
        <v>668</v>
      </c>
      <c r="F41" s="10" t="s">
        <v>6289</v>
      </c>
      <c r="G41" s="4" t="s">
        <v>667</v>
      </c>
    </row>
    <row r="42" spans="1:7" ht="14.4" thickBot="1" x14ac:dyDescent="0.35">
      <c r="A42" s="4" t="s">
        <v>1628</v>
      </c>
      <c r="B42" s="4" t="s">
        <v>1629</v>
      </c>
      <c r="D42" s="4" t="s">
        <v>1628</v>
      </c>
      <c r="E42" s="4" t="s">
        <v>1629</v>
      </c>
      <c r="F42" s="10" t="s">
        <v>6290</v>
      </c>
      <c r="G42" s="4" t="s">
        <v>1628</v>
      </c>
    </row>
    <row r="43" spans="1:7" ht="14.4" thickBot="1" x14ac:dyDescent="0.35">
      <c r="A43" s="4" t="s">
        <v>783</v>
      </c>
      <c r="B43" s="4" t="s">
        <v>784</v>
      </c>
      <c r="D43" s="4" t="s">
        <v>783</v>
      </c>
      <c r="E43" s="4" t="s">
        <v>784</v>
      </c>
      <c r="F43" s="10" t="s">
        <v>6291</v>
      </c>
      <c r="G43" s="4" t="s">
        <v>783</v>
      </c>
    </row>
    <row r="44" spans="1:7" ht="14.4" thickBot="1" x14ac:dyDescent="0.35">
      <c r="A44" s="4" t="s">
        <v>728</v>
      </c>
      <c r="B44" s="4" t="s">
        <v>729</v>
      </c>
      <c r="D44" s="4" t="s">
        <v>728</v>
      </c>
      <c r="E44" s="4" t="s">
        <v>729</v>
      </c>
      <c r="F44" s="10" t="s">
        <v>6292</v>
      </c>
      <c r="G44" s="4" t="s">
        <v>728</v>
      </c>
    </row>
    <row r="45" spans="1:7" ht="14.4" thickBot="1" x14ac:dyDescent="0.35">
      <c r="A45" s="4" t="s">
        <v>1634</v>
      </c>
      <c r="B45" s="4" t="s">
        <v>1635</v>
      </c>
      <c r="D45" s="4" t="s">
        <v>1634</v>
      </c>
      <c r="E45" s="4" t="s">
        <v>1635</v>
      </c>
      <c r="F45" s="10" t="s">
        <v>6293</v>
      </c>
      <c r="G45" s="4" t="s">
        <v>1634</v>
      </c>
    </row>
    <row r="46" spans="1:7" ht="14.4" thickBot="1" x14ac:dyDescent="0.35">
      <c r="A46" s="4" t="s">
        <v>546</v>
      </c>
      <c r="B46" s="4" t="s">
        <v>547</v>
      </c>
      <c r="D46" s="4" t="s">
        <v>546</v>
      </c>
      <c r="E46" s="4" t="s">
        <v>547</v>
      </c>
      <c r="F46" s="10" t="s">
        <v>6294</v>
      </c>
      <c r="G46" s="4" t="s">
        <v>546</v>
      </c>
    </row>
    <row r="47" spans="1:7" ht="14.4" thickBot="1" x14ac:dyDescent="0.35">
      <c r="A47" s="4" t="s">
        <v>2224</v>
      </c>
      <c r="B47" s="4" t="s">
        <v>2225</v>
      </c>
      <c r="D47" s="4" t="s">
        <v>2224</v>
      </c>
      <c r="E47" s="4" t="s">
        <v>2225</v>
      </c>
      <c r="F47" s="10" t="s">
        <v>6295</v>
      </c>
      <c r="G47" s="4" t="s">
        <v>2224</v>
      </c>
    </row>
    <row r="48" spans="1:7" ht="14.4" thickBot="1" x14ac:dyDescent="0.35">
      <c r="A48" s="4" t="s">
        <v>2752</v>
      </c>
      <c r="B48" s="4" t="s">
        <v>3754</v>
      </c>
      <c r="D48" s="4" t="s">
        <v>2752</v>
      </c>
      <c r="E48" s="4" t="s">
        <v>3754</v>
      </c>
      <c r="F48" s="10" t="s">
        <v>6296</v>
      </c>
      <c r="G48" s="4" t="s">
        <v>2752</v>
      </c>
    </row>
    <row r="49" spans="1:7" ht="14.4" thickBot="1" x14ac:dyDescent="0.35">
      <c r="A49" s="4" t="s">
        <v>550</v>
      </c>
      <c r="B49" s="4" t="s">
        <v>551</v>
      </c>
      <c r="D49" s="4" t="s">
        <v>550</v>
      </c>
      <c r="E49" s="4" t="s">
        <v>551</v>
      </c>
      <c r="F49" s="10" t="s">
        <v>6297</v>
      </c>
      <c r="G49" s="4" t="s">
        <v>550</v>
      </c>
    </row>
    <row r="50" spans="1:7" ht="14.4" thickBot="1" x14ac:dyDescent="0.35">
      <c r="A50" s="4" t="s">
        <v>1552</v>
      </c>
      <c r="B50" s="4" t="s">
        <v>1553</v>
      </c>
      <c r="D50" s="4" t="s">
        <v>1552</v>
      </c>
      <c r="E50" s="4" t="s">
        <v>1553</v>
      </c>
      <c r="F50" s="10" t="s">
        <v>6298</v>
      </c>
      <c r="G50" s="4" t="s">
        <v>1552</v>
      </c>
    </row>
    <row r="51" spans="1:7" ht="14.4" thickBot="1" x14ac:dyDescent="0.35">
      <c r="A51" s="4" t="s">
        <v>797</v>
      </c>
      <c r="B51" s="4" t="s">
        <v>798</v>
      </c>
      <c r="D51" s="4" t="s">
        <v>797</v>
      </c>
      <c r="E51" s="4" t="s">
        <v>798</v>
      </c>
      <c r="F51" s="10" t="s">
        <v>6299</v>
      </c>
      <c r="G51" s="4" t="s">
        <v>797</v>
      </c>
    </row>
    <row r="52" spans="1:7" ht="14.4" thickBot="1" x14ac:dyDescent="0.35">
      <c r="A52" s="4" t="s">
        <v>610</v>
      </c>
      <c r="B52" s="4" t="s">
        <v>611</v>
      </c>
      <c r="D52" s="4" t="s">
        <v>610</v>
      </c>
      <c r="E52" s="4" t="s">
        <v>611</v>
      </c>
      <c r="F52" s="10" t="s">
        <v>6300</v>
      </c>
      <c r="G52" s="4" t="s">
        <v>610</v>
      </c>
    </row>
    <row r="53" spans="1:7" ht="14.4" thickBot="1" x14ac:dyDescent="0.35">
      <c r="A53" s="4" t="s">
        <v>805</v>
      </c>
      <c r="B53" s="4" t="s">
        <v>806</v>
      </c>
      <c r="D53" s="4" t="s">
        <v>805</v>
      </c>
      <c r="E53" s="4" t="s">
        <v>806</v>
      </c>
      <c r="F53" s="10" t="s">
        <v>6301</v>
      </c>
      <c r="G53" s="4" t="s">
        <v>805</v>
      </c>
    </row>
    <row r="54" spans="1:7" ht="14.4" thickBot="1" x14ac:dyDescent="0.35">
      <c r="A54" s="4" t="s">
        <v>614</v>
      </c>
      <c r="B54" s="4" t="s">
        <v>615</v>
      </c>
      <c r="D54" s="4" t="s">
        <v>614</v>
      </c>
      <c r="E54" s="4" t="s">
        <v>615</v>
      </c>
      <c r="F54" s="10" t="s">
        <v>6302</v>
      </c>
      <c r="G54" s="4" t="s">
        <v>614</v>
      </c>
    </row>
    <row r="55" spans="1:7" ht="14.4" thickBot="1" x14ac:dyDescent="0.35">
      <c r="A55" s="4" t="s">
        <v>962</v>
      </c>
      <c r="B55" s="4" t="s">
        <v>963</v>
      </c>
      <c r="D55" s="4" t="s">
        <v>962</v>
      </c>
      <c r="E55" s="4" t="s">
        <v>963</v>
      </c>
      <c r="F55" s="10" t="s">
        <v>6303</v>
      </c>
      <c r="G55" s="4" t="s">
        <v>962</v>
      </c>
    </row>
    <row r="56" spans="1:7" ht="14.4" thickBot="1" x14ac:dyDescent="0.35">
      <c r="A56" s="4" t="s">
        <v>3801</v>
      </c>
      <c r="B56" s="4" t="s">
        <v>3802</v>
      </c>
      <c r="D56" s="4" t="s">
        <v>3801</v>
      </c>
      <c r="E56" s="4" t="s">
        <v>3802</v>
      </c>
      <c r="F56" s="10" t="s">
        <v>6304</v>
      </c>
      <c r="G56" s="4" t="s">
        <v>3801</v>
      </c>
    </row>
    <row r="57" spans="1:7" ht="14.4" thickBot="1" x14ac:dyDescent="0.35">
      <c r="A57" s="4" t="s">
        <v>506</v>
      </c>
      <c r="B57" s="4" t="s">
        <v>507</v>
      </c>
      <c r="D57" s="4" t="s">
        <v>506</v>
      </c>
      <c r="E57" s="4" t="s">
        <v>507</v>
      </c>
      <c r="F57" s="10" t="s">
        <v>6305</v>
      </c>
      <c r="G57" s="4" t="s">
        <v>506</v>
      </c>
    </row>
    <row r="58" spans="1:7" ht="14.4" thickBot="1" x14ac:dyDescent="0.35">
      <c r="A58" s="4" t="s">
        <v>522</v>
      </c>
      <c r="B58" s="4" t="s">
        <v>523</v>
      </c>
      <c r="D58" s="4" t="s">
        <v>522</v>
      </c>
      <c r="E58" s="4" t="s">
        <v>523</v>
      </c>
      <c r="F58" s="10" t="s">
        <v>6306</v>
      </c>
      <c r="G58" s="4" t="s">
        <v>522</v>
      </c>
    </row>
    <row r="59" spans="1:7" ht="14.4" thickBot="1" x14ac:dyDescent="0.35">
      <c r="A59" s="4" t="s">
        <v>811</v>
      </c>
      <c r="B59" s="4" t="s">
        <v>812</v>
      </c>
      <c r="D59" s="4" t="s">
        <v>811</v>
      </c>
      <c r="E59" s="4" t="s">
        <v>812</v>
      </c>
      <c r="F59" s="10" t="s">
        <v>6307</v>
      </c>
      <c r="G59" s="4" t="s">
        <v>811</v>
      </c>
    </row>
    <row r="60" spans="1:7" ht="14.4" thickBot="1" x14ac:dyDescent="0.35">
      <c r="A60" s="4" t="s">
        <v>1668</v>
      </c>
      <c r="B60" s="4" t="s">
        <v>2210</v>
      </c>
      <c r="D60" s="4" t="s">
        <v>1668</v>
      </c>
      <c r="E60" s="4" t="s">
        <v>2210</v>
      </c>
      <c r="F60" s="10" t="s">
        <v>6308</v>
      </c>
      <c r="G60" s="4" t="s">
        <v>1668</v>
      </c>
    </row>
    <row r="61" spans="1:7" ht="14.4" thickBot="1" x14ac:dyDescent="0.35">
      <c r="A61" s="4" t="s">
        <v>815</v>
      </c>
      <c r="B61" s="4" t="s">
        <v>816</v>
      </c>
      <c r="D61" s="4" t="s">
        <v>815</v>
      </c>
      <c r="E61" s="4" t="s">
        <v>816</v>
      </c>
      <c r="F61" s="10" t="s">
        <v>6309</v>
      </c>
      <c r="G61" s="4" t="s">
        <v>815</v>
      </c>
    </row>
    <row r="62" spans="1:7" ht="14.4" thickBot="1" x14ac:dyDescent="0.35">
      <c r="A62" s="4" t="s">
        <v>526</v>
      </c>
      <c r="B62" s="4" t="s">
        <v>527</v>
      </c>
      <c r="D62" s="4" t="s">
        <v>526</v>
      </c>
      <c r="E62" s="4" t="s">
        <v>527</v>
      </c>
      <c r="F62" s="10" t="s">
        <v>6310</v>
      </c>
      <c r="G62" s="4" t="s">
        <v>526</v>
      </c>
    </row>
    <row r="63" spans="1:7" ht="14.4" thickBot="1" x14ac:dyDescent="0.35">
      <c r="A63" s="4" t="s">
        <v>1477</v>
      </c>
      <c r="B63" s="4" t="s">
        <v>1478</v>
      </c>
      <c r="D63" s="4" t="s">
        <v>1477</v>
      </c>
      <c r="E63" s="4" t="s">
        <v>1478</v>
      </c>
      <c r="F63" s="10" t="s">
        <v>6311</v>
      </c>
      <c r="G63" s="4" t="s">
        <v>1477</v>
      </c>
    </row>
    <row r="64" spans="1:7" ht="14.4" thickBot="1" x14ac:dyDescent="0.35">
      <c r="A64" s="4" t="s">
        <v>1318</v>
      </c>
      <c r="B64" s="4" t="s">
        <v>2400</v>
      </c>
      <c r="D64" s="4" t="s">
        <v>1318</v>
      </c>
      <c r="E64" s="4" t="s">
        <v>2400</v>
      </c>
      <c r="F64" s="10" t="s">
        <v>6312</v>
      </c>
      <c r="G64" s="4" t="s">
        <v>1318</v>
      </c>
    </row>
    <row r="65" spans="1:7" ht="14.4" thickBot="1" x14ac:dyDescent="0.35">
      <c r="A65" s="4" t="s">
        <v>541</v>
      </c>
      <c r="B65" s="4" t="s">
        <v>542</v>
      </c>
      <c r="D65" s="4" t="s">
        <v>541</v>
      </c>
      <c r="E65" s="4" t="s">
        <v>542</v>
      </c>
      <c r="F65" s="10" t="s">
        <v>6313</v>
      </c>
      <c r="G65" s="4" t="s">
        <v>541</v>
      </c>
    </row>
    <row r="66" spans="1:7" ht="14.4" thickBot="1" x14ac:dyDescent="0.35">
      <c r="A66" s="4" t="s">
        <v>1484</v>
      </c>
      <c r="B66" s="4" t="s">
        <v>1485</v>
      </c>
      <c r="D66" s="4" t="s">
        <v>1484</v>
      </c>
      <c r="E66" s="4" t="s">
        <v>1485</v>
      </c>
      <c r="F66" s="10" t="s">
        <v>6314</v>
      </c>
      <c r="G66" s="4" t="s">
        <v>1484</v>
      </c>
    </row>
    <row r="67" spans="1:7" ht="14.4" thickBot="1" x14ac:dyDescent="0.35">
      <c r="A67" s="4" t="s">
        <v>1548</v>
      </c>
      <c r="B67" s="4" t="s">
        <v>1549</v>
      </c>
      <c r="D67" s="4" t="s">
        <v>1548</v>
      </c>
      <c r="E67" s="4" t="s">
        <v>1549</v>
      </c>
      <c r="F67" s="10" t="s">
        <v>6315</v>
      </c>
      <c r="G67" s="4" t="s">
        <v>1548</v>
      </c>
    </row>
    <row r="68" spans="1:7" ht="14.4" thickBot="1" x14ac:dyDescent="0.35">
      <c r="A68" s="4" t="s">
        <v>354</v>
      </c>
      <c r="B68" s="4" t="s">
        <v>355</v>
      </c>
      <c r="D68" s="4" t="s">
        <v>354</v>
      </c>
      <c r="E68" s="4" t="s">
        <v>355</v>
      </c>
      <c r="F68" s="10" t="s">
        <v>6316</v>
      </c>
      <c r="G68" s="4" t="s">
        <v>354</v>
      </c>
    </row>
    <row r="69" spans="1:7" ht="14.4" thickBot="1" x14ac:dyDescent="0.35">
      <c r="A69" s="4" t="s">
        <v>362</v>
      </c>
      <c r="B69" s="4" t="s">
        <v>363</v>
      </c>
      <c r="D69" s="4" t="s">
        <v>362</v>
      </c>
      <c r="E69" s="4" t="s">
        <v>363</v>
      </c>
      <c r="F69" s="10" t="s">
        <v>6317</v>
      </c>
      <c r="G69" s="4" t="s">
        <v>362</v>
      </c>
    </row>
    <row r="70" spans="1:7" ht="14.4" thickBot="1" x14ac:dyDescent="0.35">
      <c r="A70" s="4" t="s">
        <v>1123</v>
      </c>
      <c r="B70" s="4" t="s">
        <v>2933</v>
      </c>
      <c r="D70" s="4" t="s">
        <v>1123</v>
      </c>
      <c r="E70" s="4" t="s">
        <v>2933</v>
      </c>
      <c r="F70" s="10" t="s">
        <v>6318</v>
      </c>
      <c r="G70" s="4" t="s">
        <v>1123</v>
      </c>
    </row>
    <row r="71" spans="1:7" ht="14.4" thickBot="1" x14ac:dyDescent="0.35">
      <c r="A71" s="4" t="s">
        <v>1446</v>
      </c>
      <c r="B71" s="4" t="s">
        <v>1447</v>
      </c>
      <c r="D71" s="4" t="s">
        <v>1446</v>
      </c>
      <c r="E71" s="4" t="s">
        <v>1447</v>
      </c>
      <c r="F71" s="10" t="s">
        <v>6319</v>
      </c>
      <c r="G71" s="4" t="s">
        <v>1446</v>
      </c>
    </row>
    <row r="72" spans="1:7" ht="14.4" thickBot="1" x14ac:dyDescent="0.35">
      <c r="A72" s="4" t="s">
        <v>1450</v>
      </c>
      <c r="B72" s="4" t="s">
        <v>1451</v>
      </c>
      <c r="D72" s="4" t="s">
        <v>1450</v>
      </c>
      <c r="E72" s="4" t="s">
        <v>1451</v>
      </c>
      <c r="F72" s="10" t="s">
        <v>6320</v>
      </c>
      <c r="G72" s="4" t="s">
        <v>1450</v>
      </c>
    </row>
    <row r="73" spans="1:7" ht="14.4" thickBot="1" x14ac:dyDescent="0.35">
      <c r="A73" s="4" t="s">
        <v>496</v>
      </c>
      <c r="B73" s="4" t="s">
        <v>497</v>
      </c>
      <c r="D73" s="4" t="s">
        <v>496</v>
      </c>
      <c r="E73" s="4" t="s">
        <v>497</v>
      </c>
      <c r="F73" s="10" t="s">
        <v>6321</v>
      </c>
      <c r="G73" s="4" t="s">
        <v>496</v>
      </c>
    </row>
    <row r="74" spans="1:7" ht="14.4" thickBot="1" x14ac:dyDescent="0.35">
      <c r="A74" s="4" t="s">
        <v>501</v>
      </c>
      <c r="B74" s="4" t="s">
        <v>502</v>
      </c>
      <c r="D74" s="4" t="s">
        <v>501</v>
      </c>
      <c r="E74" s="4" t="s">
        <v>502</v>
      </c>
      <c r="F74" s="10" t="s">
        <v>6322</v>
      </c>
      <c r="G74" s="4" t="s">
        <v>501</v>
      </c>
    </row>
    <row r="75" spans="1:7" ht="14.4" thickBot="1" x14ac:dyDescent="0.35">
      <c r="A75" s="4" t="s">
        <v>2344</v>
      </c>
      <c r="B75" s="4" t="s">
        <v>3680</v>
      </c>
      <c r="D75" s="4" t="s">
        <v>2344</v>
      </c>
      <c r="E75" s="4" t="s">
        <v>3680</v>
      </c>
      <c r="F75" s="10" t="s">
        <v>6323</v>
      </c>
      <c r="G75" s="4" t="s">
        <v>2344</v>
      </c>
    </row>
    <row r="76" spans="1:7" ht="14.4" thickBot="1" x14ac:dyDescent="0.35">
      <c r="A76" s="4" t="s">
        <v>588</v>
      </c>
      <c r="B76" s="4" t="s">
        <v>589</v>
      </c>
      <c r="D76" s="4" t="s">
        <v>588</v>
      </c>
      <c r="E76" s="4" t="s">
        <v>589</v>
      </c>
      <c r="F76" s="10" t="s">
        <v>6324</v>
      </c>
      <c r="G76" s="4" t="s">
        <v>588</v>
      </c>
    </row>
    <row r="77" spans="1:7" ht="14.4" thickBot="1" x14ac:dyDescent="0.35">
      <c r="A77" s="4" t="s">
        <v>2405</v>
      </c>
      <c r="B77" s="4" t="s">
        <v>2406</v>
      </c>
      <c r="D77" s="4" t="s">
        <v>2405</v>
      </c>
      <c r="E77" s="4" t="s">
        <v>2406</v>
      </c>
      <c r="F77" s="10" t="s">
        <v>6325</v>
      </c>
      <c r="G77" s="4" t="s">
        <v>2405</v>
      </c>
    </row>
    <row r="78" spans="1:7" ht="14.4" thickBot="1" x14ac:dyDescent="0.35">
      <c r="A78" s="4" t="s">
        <v>4461</v>
      </c>
      <c r="B78" s="4" t="s">
        <v>4462</v>
      </c>
      <c r="D78" s="4" t="s">
        <v>4461</v>
      </c>
      <c r="E78" s="4" t="s">
        <v>4462</v>
      </c>
      <c r="F78" s="10" t="s">
        <v>6326</v>
      </c>
      <c r="G78" s="4" t="s">
        <v>4461</v>
      </c>
    </row>
    <row r="79" spans="1:7" ht="14.4" thickBot="1" x14ac:dyDescent="0.35">
      <c r="A79" s="4" t="s">
        <v>252</v>
      </c>
      <c r="B79" s="4" t="s">
        <v>253</v>
      </c>
      <c r="D79" s="4" t="s">
        <v>252</v>
      </c>
      <c r="E79" s="4" t="s">
        <v>253</v>
      </c>
      <c r="F79" s="10" t="s">
        <v>6327</v>
      </c>
      <c r="G79" s="4" t="s">
        <v>252</v>
      </c>
    </row>
    <row r="80" spans="1:7" ht="14.4" thickBot="1" x14ac:dyDescent="0.35">
      <c r="A80" s="4" t="s">
        <v>323</v>
      </c>
      <c r="B80" s="4" t="s">
        <v>324</v>
      </c>
      <c r="D80" s="4" t="s">
        <v>323</v>
      </c>
      <c r="E80" s="4" t="s">
        <v>324</v>
      </c>
      <c r="F80" s="10" t="s">
        <v>6328</v>
      </c>
      <c r="G80" s="4" t="s">
        <v>323</v>
      </c>
    </row>
    <row r="81" spans="1:7" ht="14.4" thickBot="1" x14ac:dyDescent="0.35">
      <c r="A81" s="4" t="s">
        <v>3521</v>
      </c>
      <c r="B81" s="4" t="s">
        <v>3522</v>
      </c>
      <c r="D81" s="4" t="s">
        <v>3521</v>
      </c>
      <c r="E81" s="4" t="s">
        <v>3522</v>
      </c>
      <c r="F81" s="10" t="s">
        <v>6329</v>
      </c>
      <c r="G81" s="4" t="s">
        <v>3521</v>
      </c>
    </row>
    <row r="82" spans="1:7" ht="14.4" thickBot="1" x14ac:dyDescent="0.35">
      <c r="A82" s="4" t="s">
        <v>4217</v>
      </c>
      <c r="B82" s="4" t="s">
        <v>5703</v>
      </c>
      <c r="D82" s="4" t="s">
        <v>4217</v>
      </c>
      <c r="E82" s="4" t="s">
        <v>5703</v>
      </c>
      <c r="F82" s="10" t="s">
        <v>6330</v>
      </c>
      <c r="G82" s="4" t="s">
        <v>4217</v>
      </c>
    </row>
    <row r="83" spans="1:7" ht="14.4" thickBot="1" x14ac:dyDescent="0.35">
      <c r="A83" s="4" t="s">
        <v>2765</v>
      </c>
      <c r="B83" s="4" t="s">
        <v>2766</v>
      </c>
      <c r="D83" s="4" t="s">
        <v>2765</v>
      </c>
      <c r="E83" s="4" t="s">
        <v>2766</v>
      </c>
      <c r="F83" s="10" t="s">
        <v>6331</v>
      </c>
      <c r="G83" s="4" t="s">
        <v>2765</v>
      </c>
    </row>
    <row r="84" spans="1:7" ht="14.4" thickBot="1" x14ac:dyDescent="0.35">
      <c r="A84" s="4" t="s">
        <v>827</v>
      </c>
      <c r="B84" s="4" t="s">
        <v>828</v>
      </c>
      <c r="D84" s="4" t="s">
        <v>827</v>
      </c>
      <c r="E84" s="4" t="s">
        <v>828</v>
      </c>
      <c r="F84" s="10" t="s">
        <v>6332</v>
      </c>
      <c r="G84" s="4" t="s">
        <v>827</v>
      </c>
    </row>
    <row r="85" spans="1:7" ht="14.4" thickBot="1" x14ac:dyDescent="0.35">
      <c r="A85" s="4" t="s">
        <v>2069</v>
      </c>
      <c r="B85" s="4" t="s">
        <v>2070</v>
      </c>
      <c r="D85" s="4" t="s">
        <v>2069</v>
      </c>
      <c r="E85" s="4" t="s">
        <v>2070</v>
      </c>
      <c r="F85" s="10" t="s">
        <v>6333</v>
      </c>
      <c r="G85" s="4" t="s">
        <v>2069</v>
      </c>
    </row>
    <row r="86" spans="1:7" ht="14.4" thickBot="1" x14ac:dyDescent="0.35">
      <c r="A86" s="4" t="s">
        <v>328</v>
      </c>
      <c r="B86" s="4" t="s">
        <v>329</v>
      </c>
      <c r="D86" s="4" t="s">
        <v>328</v>
      </c>
      <c r="E86" s="4" t="s">
        <v>329</v>
      </c>
      <c r="F86" s="10" t="s">
        <v>6334</v>
      </c>
      <c r="G86" s="4" t="s">
        <v>328</v>
      </c>
    </row>
    <row r="87" spans="1:7" ht="14.4" thickBot="1" x14ac:dyDescent="0.35">
      <c r="A87" s="4" t="s">
        <v>335</v>
      </c>
      <c r="B87" s="4" t="s">
        <v>336</v>
      </c>
      <c r="D87" s="4" t="s">
        <v>335</v>
      </c>
      <c r="E87" s="4" t="s">
        <v>336</v>
      </c>
      <c r="F87" s="10" t="s">
        <v>6335</v>
      </c>
      <c r="G87" s="4" t="s">
        <v>335</v>
      </c>
    </row>
    <row r="88" spans="1:7" ht="14.4" thickBot="1" x14ac:dyDescent="0.35">
      <c r="A88" s="4" t="s">
        <v>339</v>
      </c>
      <c r="B88" s="4" t="s">
        <v>340</v>
      </c>
      <c r="D88" s="4" t="s">
        <v>339</v>
      </c>
      <c r="E88" s="4" t="s">
        <v>340</v>
      </c>
      <c r="F88" s="10" t="s">
        <v>6336</v>
      </c>
      <c r="G88" s="4" t="s">
        <v>339</v>
      </c>
    </row>
    <row r="89" spans="1:7" ht="14.4" thickBot="1" x14ac:dyDescent="0.35">
      <c r="A89" s="4" t="s">
        <v>968</v>
      </c>
      <c r="B89" s="4" t="s">
        <v>969</v>
      </c>
      <c r="D89" s="4" t="s">
        <v>968</v>
      </c>
      <c r="E89" s="4" t="s">
        <v>969</v>
      </c>
      <c r="F89" s="10" t="s">
        <v>6337</v>
      </c>
      <c r="G89" s="4" t="s">
        <v>968</v>
      </c>
    </row>
    <row r="90" spans="1:7" ht="14.4" thickBot="1" x14ac:dyDescent="0.35">
      <c r="A90" s="4" t="s">
        <v>209</v>
      </c>
      <c r="B90" s="4" t="s">
        <v>210</v>
      </c>
      <c r="D90" s="4" t="s">
        <v>209</v>
      </c>
      <c r="E90" s="4" t="s">
        <v>210</v>
      </c>
      <c r="F90" s="10" t="s">
        <v>6338</v>
      </c>
      <c r="G90" s="4" t="s">
        <v>209</v>
      </c>
    </row>
    <row r="91" spans="1:7" ht="14.4" thickBot="1" x14ac:dyDescent="0.35">
      <c r="A91" s="4" t="s">
        <v>214</v>
      </c>
      <c r="B91" s="4" t="s">
        <v>215</v>
      </c>
      <c r="D91" s="4" t="s">
        <v>214</v>
      </c>
      <c r="E91" s="4" t="s">
        <v>215</v>
      </c>
      <c r="F91" s="10" t="s">
        <v>6339</v>
      </c>
      <c r="G91" s="4" t="s">
        <v>214</v>
      </c>
    </row>
    <row r="92" spans="1:7" ht="14.4" thickBot="1" x14ac:dyDescent="0.35">
      <c r="A92" s="4" t="s">
        <v>233</v>
      </c>
      <c r="B92" s="4" t="s">
        <v>234</v>
      </c>
      <c r="D92" s="4" t="s">
        <v>233</v>
      </c>
      <c r="E92" s="4" t="s">
        <v>234</v>
      </c>
      <c r="F92" s="10" t="s">
        <v>6340</v>
      </c>
      <c r="G92" s="4" t="s">
        <v>233</v>
      </c>
    </row>
    <row r="93" spans="1:7" ht="14.4" thickBot="1" x14ac:dyDescent="0.35">
      <c r="A93" s="4" t="s">
        <v>243</v>
      </c>
      <c r="B93" s="4" t="s">
        <v>244</v>
      </c>
      <c r="D93" s="4" t="s">
        <v>243</v>
      </c>
      <c r="E93" s="4" t="s">
        <v>244</v>
      </c>
      <c r="F93" s="10" t="s">
        <v>6341</v>
      </c>
      <c r="G93" s="4" t="s">
        <v>243</v>
      </c>
    </row>
    <row r="94" spans="1:7" ht="14.4" thickBot="1" x14ac:dyDescent="0.35">
      <c r="A94" s="4" t="s">
        <v>3161</v>
      </c>
      <c r="B94" s="4" t="s">
        <v>3162</v>
      </c>
      <c r="D94" s="4" t="s">
        <v>3161</v>
      </c>
      <c r="E94" s="4" t="s">
        <v>3162</v>
      </c>
      <c r="F94" s="10" t="s">
        <v>6342</v>
      </c>
      <c r="G94" s="4" t="s">
        <v>3161</v>
      </c>
    </row>
    <row r="95" spans="1:7" ht="14.4" thickBot="1" x14ac:dyDescent="0.35">
      <c r="A95" s="4" t="s">
        <v>247</v>
      </c>
      <c r="B95" s="4" t="s">
        <v>248</v>
      </c>
      <c r="D95" s="4" t="s">
        <v>247</v>
      </c>
      <c r="E95" s="4" t="s">
        <v>248</v>
      </c>
      <c r="F95" s="10" t="s">
        <v>6343</v>
      </c>
      <c r="G95" s="4" t="s">
        <v>247</v>
      </c>
    </row>
    <row r="96" spans="1:7" ht="14.4" thickBot="1" x14ac:dyDescent="0.35">
      <c r="A96" s="4" t="s">
        <v>4931</v>
      </c>
      <c r="B96" s="4" t="s">
        <v>4932</v>
      </c>
      <c r="D96" s="4" t="s">
        <v>4931</v>
      </c>
      <c r="E96" s="4" t="s">
        <v>4932</v>
      </c>
      <c r="F96" s="10" t="s">
        <v>6344</v>
      </c>
      <c r="G96" s="4" t="s">
        <v>4931</v>
      </c>
    </row>
    <row r="97" spans="1:7" ht="14.4" thickBot="1" x14ac:dyDescent="0.35">
      <c r="A97" s="4" t="s">
        <v>1195</v>
      </c>
      <c r="B97" s="4" t="s">
        <v>1196</v>
      </c>
      <c r="D97" s="4" t="s">
        <v>1195</v>
      </c>
      <c r="E97" s="4" t="s">
        <v>1196</v>
      </c>
      <c r="F97" s="10" t="s">
        <v>6345</v>
      </c>
      <c r="G97" s="4" t="s">
        <v>1195</v>
      </c>
    </row>
    <row r="98" spans="1:7" ht="14.4" thickBot="1" x14ac:dyDescent="0.35">
      <c r="A98" s="4" t="s">
        <v>2684</v>
      </c>
      <c r="B98" s="4" t="s">
        <v>2685</v>
      </c>
      <c r="D98" s="4" t="s">
        <v>2684</v>
      </c>
      <c r="E98" s="4" t="s">
        <v>2685</v>
      </c>
      <c r="F98" s="10" t="s">
        <v>6346</v>
      </c>
      <c r="G98" s="4" t="s">
        <v>2684</v>
      </c>
    </row>
    <row r="99" spans="1:7" ht="14.4" thickBot="1" x14ac:dyDescent="0.35">
      <c r="A99" s="4" t="s">
        <v>1710</v>
      </c>
      <c r="B99" s="4" t="s">
        <v>1711</v>
      </c>
      <c r="D99" s="4" t="s">
        <v>1710</v>
      </c>
      <c r="E99" s="4" t="s">
        <v>1711</v>
      </c>
      <c r="F99" s="10" t="s">
        <v>6347</v>
      </c>
      <c r="G99" s="4" t="s">
        <v>1710</v>
      </c>
    </row>
    <row r="100" spans="1:7" ht="14.4" thickBot="1" x14ac:dyDescent="0.35">
      <c r="A100" s="4" t="s">
        <v>4262</v>
      </c>
      <c r="B100" s="4" t="s">
        <v>4263</v>
      </c>
      <c r="D100" s="4" t="s">
        <v>4262</v>
      </c>
      <c r="E100" s="4" t="s">
        <v>4263</v>
      </c>
      <c r="F100" s="10" t="s">
        <v>6348</v>
      </c>
      <c r="G100" s="4" t="s">
        <v>4262</v>
      </c>
    </row>
    <row r="101" spans="1:7" ht="14.4" thickBot="1" x14ac:dyDescent="0.35">
      <c r="A101" s="4" t="s">
        <v>1117</v>
      </c>
      <c r="B101" s="4" t="s">
        <v>1118</v>
      </c>
      <c r="D101" s="4" t="s">
        <v>1117</v>
      </c>
      <c r="E101" s="4" t="s">
        <v>1118</v>
      </c>
      <c r="F101" s="10" t="s">
        <v>6349</v>
      </c>
      <c r="G101" s="4" t="s">
        <v>1117</v>
      </c>
    </row>
    <row r="102" spans="1:7" ht="14.4" thickBot="1" x14ac:dyDescent="0.35">
      <c r="A102" s="4" t="s">
        <v>166</v>
      </c>
      <c r="B102" s="4" t="s">
        <v>167</v>
      </c>
      <c r="D102" s="4" t="s">
        <v>166</v>
      </c>
      <c r="E102" s="4" t="s">
        <v>167</v>
      </c>
      <c r="F102" s="10" t="s">
        <v>6350</v>
      </c>
      <c r="G102" s="4" t="s">
        <v>166</v>
      </c>
    </row>
    <row r="103" spans="1:7" ht="14.4" thickBot="1" x14ac:dyDescent="0.35">
      <c r="A103" s="4" t="s">
        <v>97</v>
      </c>
      <c r="B103" s="4" t="s">
        <v>171</v>
      </c>
      <c r="D103" s="4" t="s">
        <v>97</v>
      </c>
      <c r="E103" s="4" t="s">
        <v>171</v>
      </c>
      <c r="F103" s="10" t="s">
        <v>6351</v>
      </c>
      <c r="G103" s="4" t="s">
        <v>97</v>
      </c>
    </row>
    <row r="104" spans="1:7" ht="14.4" thickBot="1" x14ac:dyDescent="0.35">
      <c r="A104" s="4" t="s">
        <v>1127</v>
      </c>
      <c r="B104" s="4" t="s">
        <v>1128</v>
      </c>
      <c r="D104" s="4" t="s">
        <v>1127</v>
      </c>
      <c r="E104" s="4" t="s">
        <v>1128</v>
      </c>
      <c r="F104" s="10" t="s">
        <v>6352</v>
      </c>
      <c r="G104" s="4" t="s">
        <v>1127</v>
      </c>
    </row>
    <row r="105" spans="1:7" ht="14.4" thickBot="1" x14ac:dyDescent="0.35">
      <c r="A105" s="4" t="s">
        <v>1966</v>
      </c>
      <c r="B105" s="4" t="s">
        <v>1967</v>
      </c>
      <c r="D105" s="4" t="s">
        <v>1966</v>
      </c>
      <c r="E105" s="4" t="s">
        <v>1967</v>
      </c>
      <c r="F105" s="10" t="s">
        <v>6353</v>
      </c>
      <c r="G105" s="4" t="s">
        <v>1966</v>
      </c>
    </row>
    <row r="106" spans="1:7" ht="14.4" thickBot="1" x14ac:dyDescent="0.35">
      <c r="A106" s="4" t="s">
        <v>1578</v>
      </c>
      <c r="B106" s="4" t="s">
        <v>2605</v>
      </c>
      <c r="D106" s="4" t="s">
        <v>1578</v>
      </c>
      <c r="E106" s="4" t="s">
        <v>2605</v>
      </c>
      <c r="F106" s="10" t="s">
        <v>6354</v>
      </c>
      <c r="G106" s="4" t="s">
        <v>1578</v>
      </c>
    </row>
    <row r="107" spans="1:7" ht="14.4" thickBot="1" x14ac:dyDescent="0.35">
      <c r="A107" s="4" t="s">
        <v>1822</v>
      </c>
      <c r="B107" s="4" t="s">
        <v>2409</v>
      </c>
      <c r="D107" s="4" t="s">
        <v>1822</v>
      </c>
      <c r="E107" s="4" t="s">
        <v>2409</v>
      </c>
      <c r="F107" s="10" t="s">
        <v>6355</v>
      </c>
      <c r="G107" s="4" t="s">
        <v>1822</v>
      </c>
    </row>
    <row r="108" spans="1:7" ht="14.4" thickBot="1" x14ac:dyDescent="0.35">
      <c r="A108" s="4" t="s">
        <v>1131</v>
      </c>
      <c r="B108" s="4" t="s">
        <v>1132</v>
      </c>
      <c r="D108" s="4" t="s">
        <v>1131</v>
      </c>
      <c r="E108" s="4" t="s">
        <v>1132</v>
      </c>
      <c r="F108" s="10" t="s">
        <v>6356</v>
      </c>
      <c r="G108" s="4" t="s">
        <v>1131</v>
      </c>
    </row>
    <row r="109" spans="1:7" ht="14.4" thickBot="1" x14ac:dyDescent="0.35">
      <c r="A109" s="4" t="s">
        <v>177</v>
      </c>
      <c r="B109" s="4" t="s">
        <v>178</v>
      </c>
      <c r="D109" s="4" t="s">
        <v>177</v>
      </c>
      <c r="E109" s="4" t="s">
        <v>178</v>
      </c>
      <c r="F109" s="10" t="s">
        <v>6357</v>
      </c>
      <c r="G109" s="4" t="s">
        <v>177</v>
      </c>
    </row>
    <row r="110" spans="1:7" ht="14.4" thickBot="1" x14ac:dyDescent="0.35">
      <c r="A110" s="4" t="s">
        <v>2497</v>
      </c>
      <c r="B110" s="4" t="s">
        <v>2498</v>
      </c>
      <c r="D110" s="4" t="s">
        <v>2497</v>
      </c>
      <c r="E110" s="4" t="s">
        <v>2498</v>
      </c>
      <c r="F110" s="10" t="s">
        <v>6358</v>
      </c>
      <c r="G110" s="4" t="s">
        <v>2497</v>
      </c>
    </row>
    <row r="111" spans="1:7" ht="14.4" thickBot="1" x14ac:dyDescent="0.35">
      <c r="A111" s="4" t="s">
        <v>204</v>
      </c>
      <c r="B111" s="4" t="s">
        <v>205</v>
      </c>
      <c r="D111" s="4" t="s">
        <v>204</v>
      </c>
      <c r="E111" s="4" t="s">
        <v>205</v>
      </c>
      <c r="F111" s="10" t="s">
        <v>6359</v>
      </c>
      <c r="G111" s="4" t="s">
        <v>204</v>
      </c>
    </row>
    <row r="112" spans="1:7" ht="14.4" thickBot="1" x14ac:dyDescent="0.35">
      <c r="A112" s="4" t="s">
        <v>124</v>
      </c>
      <c r="B112" s="4" t="s">
        <v>125</v>
      </c>
      <c r="D112" s="4" t="s">
        <v>124</v>
      </c>
      <c r="E112" s="4" t="s">
        <v>125</v>
      </c>
      <c r="F112" s="10" t="s">
        <v>6360</v>
      </c>
      <c r="G112" s="4" t="s">
        <v>124</v>
      </c>
    </row>
    <row r="113" spans="1:7" ht="14.4" thickBot="1" x14ac:dyDescent="0.35">
      <c r="A113" s="4" t="s">
        <v>136</v>
      </c>
      <c r="B113" s="4" t="s">
        <v>137</v>
      </c>
      <c r="D113" s="4" t="s">
        <v>136</v>
      </c>
      <c r="E113" s="4" t="s">
        <v>137</v>
      </c>
      <c r="F113" s="10" t="s">
        <v>6361</v>
      </c>
      <c r="G113" s="4" t="s">
        <v>136</v>
      </c>
    </row>
    <row r="114" spans="1:7" ht="14.4" thickBot="1" x14ac:dyDescent="0.35">
      <c r="A114" s="4" t="s">
        <v>140</v>
      </c>
      <c r="B114" s="4" t="s">
        <v>141</v>
      </c>
      <c r="D114" s="4" t="s">
        <v>140</v>
      </c>
      <c r="E114" s="4" t="s">
        <v>141</v>
      </c>
      <c r="F114" s="10" t="s">
        <v>6362</v>
      </c>
      <c r="G114" s="4" t="s">
        <v>140</v>
      </c>
    </row>
    <row r="115" spans="1:7" ht="14.4" thickBot="1" x14ac:dyDescent="0.35">
      <c r="A115" s="4" t="s">
        <v>145</v>
      </c>
      <c r="B115" s="4" t="s">
        <v>146</v>
      </c>
      <c r="D115" s="4" t="s">
        <v>145</v>
      </c>
      <c r="E115" s="4" t="s">
        <v>146</v>
      </c>
      <c r="F115" s="10" t="s">
        <v>6363</v>
      </c>
      <c r="G115" s="4" t="s">
        <v>145</v>
      </c>
    </row>
    <row r="116" spans="1:7" ht="14.4" thickBot="1" x14ac:dyDescent="0.35">
      <c r="A116" s="4" t="s">
        <v>149</v>
      </c>
      <c r="B116" s="4" t="s">
        <v>150</v>
      </c>
      <c r="D116" s="4" t="s">
        <v>149</v>
      </c>
      <c r="E116" s="4" t="s">
        <v>150</v>
      </c>
      <c r="F116" s="10" t="s">
        <v>6364</v>
      </c>
      <c r="G116" s="4" t="s">
        <v>149</v>
      </c>
    </row>
    <row r="117" spans="1:7" ht="14.4" thickBot="1" x14ac:dyDescent="0.35">
      <c r="A117" s="4" t="s">
        <v>1106</v>
      </c>
      <c r="B117" s="4" t="s">
        <v>1107</v>
      </c>
      <c r="D117" s="4" t="s">
        <v>1106</v>
      </c>
      <c r="E117" s="4" t="s">
        <v>1107</v>
      </c>
      <c r="F117" s="10" t="s">
        <v>6365</v>
      </c>
      <c r="G117" s="4" t="s">
        <v>1106</v>
      </c>
    </row>
    <row r="118" spans="1:7" ht="14.4" thickBot="1" x14ac:dyDescent="0.35">
      <c r="A118" s="4" t="s">
        <v>154</v>
      </c>
      <c r="B118" s="4" t="s">
        <v>155</v>
      </c>
      <c r="D118" s="4" t="s">
        <v>154</v>
      </c>
      <c r="E118" s="4" t="s">
        <v>155</v>
      </c>
      <c r="F118" s="10" t="s">
        <v>6366</v>
      </c>
      <c r="G118" s="4" t="s">
        <v>154</v>
      </c>
    </row>
    <row r="119" spans="1:7" ht="14.4" thickBot="1" x14ac:dyDescent="0.35">
      <c r="A119" s="4" t="s">
        <v>4193</v>
      </c>
      <c r="B119" s="4" t="s">
        <v>4194</v>
      </c>
      <c r="D119" s="4" t="s">
        <v>4193</v>
      </c>
      <c r="E119" s="4" t="s">
        <v>4194</v>
      </c>
      <c r="F119" s="10" t="s">
        <v>6367</v>
      </c>
      <c r="G119" s="4" t="s">
        <v>4193</v>
      </c>
    </row>
    <row r="120" spans="1:7" ht="14.4" thickBot="1" x14ac:dyDescent="0.35">
      <c r="A120" s="4" t="s">
        <v>1714</v>
      </c>
      <c r="B120" s="4" t="s">
        <v>1715</v>
      </c>
      <c r="D120" s="4" t="s">
        <v>1714</v>
      </c>
      <c r="E120" s="4" t="s">
        <v>1715</v>
      </c>
      <c r="F120" s="10" t="s">
        <v>6368</v>
      </c>
      <c r="G120" s="4" t="s">
        <v>1714</v>
      </c>
    </row>
    <row r="121" spans="1:7" ht="14.4" thickBot="1" x14ac:dyDescent="0.35">
      <c r="A121" s="4" t="s">
        <v>159</v>
      </c>
      <c r="B121" s="4" t="s">
        <v>160</v>
      </c>
      <c r="D121" s="4" t="s">
        <v>159</v>
      </c>
      <c r="E121" s="4" t="s">
        <v>160</v>
      </c>
      <c r="F121" s="10" t="s">
        <v>6369</v>
      </c>
      <c r="G121" s="4" t="s">
        <v>159</v>
      </c>
    </row>
    <row r="122" spans="1:7" ht="14.4" thickBot="1" x14ac:dyDescent="0.35">
      <c r="A122" s="4" t="s">
        <v>730</v>
      </c>
      <c r="B122" s="4" t="s">
        <v>1114</v>
      </c>
      <c r="D122" s="4" t="s">
        <v>730</v>
      </c>
      <c r="E122" s="4" t="s">
        <v>1114</v>
      </c>
      <c r="F122" s="10" t="s">
        <v>6370</v>
      </c>
      <c r="G122" s="4" t="s">
        <v>730</v>
      </c>
    </row>
    <row r="123" spans="1:7" ht="14.4" thickBot="1" x14ac:dyDescent="0.35">
      <c r="A123" s="4" t="s">
        <v>1923</v>
      </c>
      <c r="B123" s="4" t="s">
        <v>1924</v>
      </c>
      <c r="D123" s="4" t="s">
        <v>1923</v>
      </c>
      <c r="E123" s="4" t="s">
        <v>1924</v>
      </c>
      <c r="F123" s="10" t="s">
        <v>6371</v>
      </c>
      <c r="G123" s="4" t="s">
        <v>1923</v>
      </c>
    </row>
    <row r="124" spans="1:7" ht="14.4" thickBot="1" x14ac:dyDescent="0.35">
      <c r="A124" s="4" t="s">
        <v>107</v>
      </c>
      <c r="B124" s="4" t="s">
        <v>108</v>
      </c>
      <c r="D124" s="4" t="s">
        <v>107</v>
      </c>
      <c r="E124" s="4" t="s">
        <v>108</v>
      </c>
      <c r="F124" s="10" t="s">
        <v>6372</v>
      </c>
      <c r="G124" s="4" t="s">
        <v>107</v>
      </c>
    </row>
    <row r="125" spans="1:7" ht="14.4" thickBot="1" x14ac:dyDescent="0.35">
      <c r="A125" s="4" t="s">
        <v>1088</v>
      </c>
      <c r="B125" s="4" t="s">
        <v>1089</v>
      </c>
      <c r="D125" s="4" t="s">
        <v>1088</v>
      </c>
      <c r="E125" s="4" t="s">
        <v>1089</v>
      </c>
      <c r="F125" s="10" t="s">
        <v>6373</v>
      </c>
      <c r="G125" s="4" t="s">
        <v>1088</v>
      </c>
    </row>
    <row r="126" spans="1:7" ht="14.4" thickBot="1" x14ac:dyDescent="0.35">
      <c r="A126" s="4" t="s">
        <v>5174</v>
      </c>
      <c r="B126" s="4" t="s">
        <v>5378</v>
      </c>
      <c r="D126" s="4" t="s">
        <v>5174</v>
      </c>
      <c r="E126" s="4" t="s">
        <v>5378</v>
      </c>
      <c r="F126" s="10" t="s">
        <v>6374</v>
      </c>
      <c r="G126" s="4" t="s">
        <v>5174</v>
      </c>
    </row>
    <row r="127" spans="1:7" ht="14.4" thickBot="1" x14ac:dyDescent="0.35">
      <c r="A127" s="4" t="s">
        <v>2578</v>
      </c>
      <c r="B127" s="4" t="s">
        <v>2579</v>
      </c>
      <c r="D127" s="4" t="s">
        <v>2578</v>
      </c>
      <c r="E127" s="4" t="s">
        <v>2579</v>
      </c>
      <c r="F127" s="10" t="s">
        <v>6375</v>
      </c>
      <c r="G127" s="4" t="s">
        <v>2578</v>
      </c>
    </row>
    <row r="128" spans="1:7" ht="14.4" thickBot="1" x14ac:dyDescent="0.35">
      <c r="A128" s="4" t="s">
        <v>112</v>
      </c>
      <c r="B128" s="4" t="s">
        <v>113</v>
      </c>
      <c r="D128" s="4" t="s">
        <v>112</v>
      </c>
      <c r="E128" s="4" t="s">
        <v>113</v>
      </c>
      <c r="F128" s="10" t="s">
        <v>6376</v>
      </c>
      <c r="G128" s="4" t="s">
        <v>112</v>
      </c>
    </row>
    <row r="129" spans="1:7" ht="14.4" thickBot="1" x14ac:dyDescent="0.35">
      <c r="A129" s="4" t="s">
        <v>2412</v>
      </c>
      <c r="B129" s="4" t="s">
        <v>2413</v>
      </c>
      <c r="D129" s="4" t="s">
        <v>2412</v>
      </c>
      <c r="E129" s="4" t="s">
        <v>2413</v>
      </c>
      <c r="F129" s="10" t="s">
        <v>6377</v>
      </c>
      <c r="G129" s="4" t="s">
        <v>2412</v>
      </c>
    </row>
    <row r="130" spans="1:7" ht="14.4" thickBot="1" x14ac:dyDescent="0.35">
      <c r="A130" s="4" t="s">
        <v>1929</v>
      </c>
      <c r="B130" s="4" t="s">
        <v>1930</v>
      </c>
      <c r="D130" s="4" t="s">
        <v>1929</v>
      </c>
      <c r="E130" s="4" t="s">
        <v>1930</v>
      </c>
      <c r="F130" s="10" t="s">
        <v>6378</v>
      </c>
      <c r="G130" s="4" t="s">
        <v>1929</v>
      </c>
    </row>
    <row r="131" spans="1:7" ht="14.4" thickBot="1" x14ac:dyDescent="0.35">
      <c r="A131" s="4" t="s">
        <v>118</v>
      </c>
      <c r="B131" s="4" t="s">
        <v>119</v>
      </c>
      <c r="D131" s="4" t="s">
        <v>118</v>
      </c>
      <c r="E131" s="4" t="s">
        <v>119</v>
      </c>
      <c r="F131" s="10" t="s">
        <v>6379</v>
      </c>
      <c r="G131" s="4" t="s">
        <v>118</v>
      </c>
    </row>
    <row r="132" spans="1:7" ht="14.4" thickBot="1" x14ac:dyDescent="0.35">
      <c r="A132" s="4" t="s">
        <v>1933</v>
      </c>
      <c r="B132" s="4" t="s">
        <v>1934</v>
      </c>
      <c r="D132" s="4" t="s">
        <v>1933</v>
      </c>
      <c r="E132" s="4" t="s">
        <v>1934</v>
      </c>
      <c r="F132" s="10" t="s">
        <v>6380</v>
      </c>
      <c r="G132" s="4" t="s">
        <v>1933</v>
      </c>
    </row>
    <row r="133" spans="1:7" ht="14.4" thickBot="1" x14ac:dyDescent="0.35">
      <c r="A133" s="4" t="s">
        <v>832</v>
      </c>
      <c r="B133" s="4" t="s">
        <v>833</v>
      </c>
      <c r="D133" s="4" t="s">
        <v>832</v>
      </c>
      <c r="E133" s="4" t="s">
        <v>833</v>
      </c>
      <c r="F133" s="10" t="s">
        <v>6381</v>
      </c>
      <c r="G133" s="4" t="s">
        <v>832</v>
      </c>
    </row>
    <row r="134" spans="1:7" ht="14.4" thickBot="1" x14ac:dyDescent="0.35">
      <c r="A134" s="4" t="s">
        <v>65</v>
      </c>
      <c r="B134" s="4" t="s">
        <v>66</v>
      </c>
      <c r="D134" s="4" t="s">
        <v>65</v>
      </c>
      <c r="E134" s="4" t="s">
        <v>66</v>
      </c>
      <c r="F134" s="10" t="s">
        <v>6382</v>
      </c>
      <c r="G134" s="4" t="s">
        <v>65</v>
      </c>
    </row>
    <row r="135" spans="1:7" ht="14.4" thickBot="1" x14ac:dyDescent="0.35">
      <c r="A135" s="4" t="s">
        <v>70</v>
      </c>
      <c r="B135" s="4" t="s">
        <v>71</v>
      </c>
      <c r="D135" s="4" t="s">
        <v>70</v>
      </c>
      <c r="E135" s="4" t="s">
        <v>71</v>
      </c>
      <c r="F135" s="10" t="s">
        <v>6383</v>
      </c>
      <c r="G135" s="4" t="s">
        <v>70</v>
      </c>
    </row>
    <row r="136" spans="1:7" ht="14.4" thickBot="1" x14ac:dyDescent="0.35">
      <c r="A136" s="4" t="s">
        <v>76</v>
      </c>
      <c r="B136" s="4" t="s">
        <v>77</v>
      </c>
      <c r="D136" s="4" t="s">
        <v>76</v>
      </c>
      <c r="E136" s="4" t="s">
        <v>77</v>
      </c>
      <c r="F136" s="10" t="s">
        <v>6384</v>
      </c>
      <c r="G136" s="4" t="s">
        <v>76</v>
      </c>
    </row>
    <row r="137" spans="1:7" ht="14.4" thickBot="1" x14ac:dyDescent="0.35">
      <c r="A137" s="4" t="s">
        <v>80</v>
      </c>
      <c r="B137" s="4" t="s">
        <v>81</v>
      </c>
      <c r="D137" s="4" t="s">
        <v>80</v>
      </c>
      <c r="E137" s="4" t="s">
        <v>81</v>
      </c>
      <c r="F137" s="10" t="s">
        <v>6385</v>
      </c>
      <c r="G137" s="4" t="s">
        <v>80</v>
      </c>
    </row>
    <row r="138" spans="1:7" ht="14.4" thickBot="1" x14ac:dyDescent="0.35">
      <c r="A138" s="4" t="s">
        <v>85</v>
      </c>
      <c r="B138" s="4" t="s">
        <v>86</v>
      </c>
      <c r="D138" s="4" t="s">
        <v>85</v>
      </c>
      <c r="E138" s="4" t="s">
        <v>86</v>
      </c>
      <c r="F138" s="10" t="s">
        <v>6386</v>
      </c>
      <c r="G138" s="4" t="s">
        <v>85</v>
      </c>
    </row>
    <row r="139" spans="1:7" ht="14.4" thickBot="1" x14ac:dyDescent="0.35">
      <c r="A139" s="4" t="s">
        <v>838</v>
      </c>
      <c r="B139" s="4" t="s">
        <v>839</v>
      </c>
      <c r="D139" s="4" t="s">
        <v>838</v>
      </c>
      <c r="E139" s="4" t="s">
        <v>839</v>
      </c>
      <c r="F139" s="10" t="s">
        <v>6387</v>
      </c>
      <c r="G139" s="4" t="s">
        <v>838</v>
      </c>
    </row>
    <row r="140" spans="1:7" ht="14.4" thickBot="1" x14ac:dyDescent="0.35">
      <c r="A140" s="4" t="s">
        <v>102</v>
      </c>
      <c r="B140" s="4" t="s">
        <v>103</v>
      </c>
      <c r="D140" s="4" t="s">
        <v>102</v>
      </c>
      <c r="E140" s="4" t="s">
        <v>103</v>
      </c>
      <c r="F140" s="10" t="s">
        <v>6388</v>
      </c>
      <c r="G140" s="4" t="s">
        <v>102</v>
      </c>
    </row>
    <row r="141" spans="1:7" ht="14.4" thickBot="1" x14ac:dyDescent="0.35">
      <c r="A141" s="4" t="s">
        <v>846</v>
      </c>
      <c r="B141" s="4" t="s">
        <v>847</v>
      </c>
      <c r="D141" s="4" t="s">
        <v>846</v>
      </c>
      <c r="E141" s="4" t="s">
        <v>847</v>
      </c>
      <c r="F141" s="10" t="s">
        <v>6389</v>
      </c>
      <c r="G141" s="4" t="s">
        <v>846</v>
      </c>
    </row>
    <row r="142" spans="1:7" ht="14.4" thickBot="1" x14ac:dyDescent="0.35">
      <c r="A142" s="4" t="s">
        <v>1078</v>
      </c>
      <c r="B142" s="4" t="s">
        <v>1079</v>
      </c>
      <c r="D142" s="4" t="s">
        <v>1078</v>
      </c>
      <c r="E142" s="4" t="s">
        <v>1079</v>
      </c>
      <c r="F142" s="10" t="s">
        <v>6390</v>
      </c>
      <c r="G142" s="4" t="s">
        <v>1078</v>
      </c>
    </row>
    <row r="143" spans="1:7" ht="14.4" thickBot="1" x14ac:dyDescent="0.35">
      <c r="A143" s="4" t="s">
        <v>188</v>
      </c>
      <c r="B143" s="4" t="s">
        <v>1916</v>
      </c>
      <c r="D143" s="4" t="s">
        <v>188</v>
      </c>
      <c r="E143" s="4" t="s">
        <v>1916</v>
      </c>
      <c r="F143" s="10" t="s">
        <v>6391</v>
      </c>
      <c r="G143" s="4" t="s">
        <v>188</v>
      </c>
    </row>
    <row r="144" spans="1:7" ht="14.4" thickBot="1" x14ac:dyDescent="0.35">
      <c r="A144" s="4" t="s">
        <v>1082</v>
      </c>
      <c r="B144" s="4" t="s">
        <v>1083</v>
      </c>
      <c r="D144" s="4" t="s">
        <v>1082</v>
      </c>
      <c r="E144" s="4" t="s">
        <v>1083</v>
      </c>
      <c r="F144" s="10" t="s">
        <v>6392</v>
      </c>
      <c r="G144" s="4" t="s">
        <v>1082</v>
      </c>
    </row>
    <row r="145" spans="1:7" ht="14.4" thickBot="1" x14ac:dyDescent="0.35">
      <c r="A145" s="4" t="s">
        <v>1040</v>
      </c>
      <c r="B145" s="4" t="s">
        <v>1041</v>
      </c>
      <c r="D145" s="4" t="s">
        <v>1040</v>
      </c>
      <c r="E145" s="4" t="s">
        <v>1041</v>
      </c>
      <c r="F145" s="10" t="s">
        <v>6393</v>
      </c>
      <c r="G145" s="4" t="s">
        <v>1040</v>
      </c>
    </row>
    <row r="146" spans="1:7" ht="14.4" thickBot="1" x14ac:dyDescent="0.35">
      <c r="A146" s="4" t="s">
        <v>40</v>
      </c>
      <c r="B146" s="4" t="s">
        <v>41</v>
      </c>
      <c r="D146" s="4" t="s">
        <v>40</v>
      </c>
      <c r="E146" s="4" t="s">
        <v>41</v>
      </c>
      <c r="F146" s="10" t="s">
        <v>6394</v>
      </c>
      <c r="G146" s="4" t="s">
        <v>40</v>
      </c>
    </row>
    <row r="147" spans="1:7" ht="14.4" thickBot="1" x14ac:dyDescent="0.35">
      <c r="A147" s="4" t="s">
        <v>3333</v>
      </c>
      <c r="B147" s="4" t="s">
        <v>3334</v>
      </c>
      <c r="D147" s="4" t="s">
        <v>3333</v>
      </c>
      <c r="E147" s="4" t="s">
        <v>3334</v>
      </c>
      <c r="F147" s="10" t="s">
        <v>6395</v>
      </c>
      <c r="G147" s="4" t="s">
        <v>3333</v>
      </c>
    </row>
    <row r="148" spans="1:7" ht="14.4" thickBot="1" x14ac:dyDescent="0.35">
      <c r="A148" s="4" t="s">
        <v>46</v>
      </c>
      <c r="B148" s="4" t="s">
        <v>47</v>
      </c>
      <c r="D148" s="4" t="s">
        <v>46</v>
      </c>
      <c r="E148" s="4" t="s">
        <v>47</v>
      </c>
      <c r="F148" s="10" t="s">
        <v>6396</v>
      </c>
      <c r="G148" s="4" t="s">
        <v>46</v>
      </c>
    </row>
    <row r="149" spans="1:7" ht="14.4" thickBot="1" x14ac:dyDescent="0.35">
      <c r="A149" s="4" t="s">
        <v>1048</v>
      </c>
      <c r="B149" s="4" t="s">
        <v>1049</v>
      </c>
      <c r="D149" s="4" t="s">
        <v>1048</v>
      </c>
      <c r="E149" s="4" t="s">
        <v>1049</v>
      </c>
      <c r="F149" s="10" t="s">
        <v>6397</v>
      </c>
      <c r="G149" s="4" t="s">
        <v>1048</v>
      </c>
    </row>
    <row r="150" spans="1:7" ht="14.4" thickBot="1" x14ac:dyDescent="0.35">
      <c r="A150" s="4" t="s">
        <v>1732</v>
      </c>
      <c r="B150" s="4" t="s">
        <v>1733</v>
      </c>
      <c r="D150" s="4" t="s">
        <v>1732</v>
      </c>
      <c r="E150" s="4" t="s">
        <v>1733</v>
      </c>
      <c r="F150" s="10" t="s">
        <v>6398</v>
      </c>
      <c r="G150" s="4" t="s">
        <v>1732</v>
      </c>
    </row>
    <row r="151" spans="1:7" ht="14.4" thickBot="1" x14ac:dyDescent="0.35">
      <c r="A151" s="4" t="s">
        <v>52</v>
      </c>
      <c r="B151" s="4" t="s">
        <v>53</v>
      </c>
      <c r="D151" s="4" t="s">
        <v>52</v>
      </c>
      <c r="E151" s="4" t="s">
        <v>53</v>
      </c>
      <c r="F151" s="10" t="s">
        <v>6399</v>
      </c>
      <c r="G151" s="4" t="s">
        <v>52</v>
      </c>
    </row>
    <row r="152" spans="1:7" ht="14.4" thickBot="1" x14ac:dyDescent="0.35">
      <c r="A152" s="4" t="s">
        <v>57</v>
      </c>
      <c r="B152" s="4" t="s">
        <v>58</v>
      </c>
      <c r="D152" s="4" t="s">
        <v>57</v>
      </c>
      <c r="E152" s="4" t="s">
        <v>58</v>
      </c>
      <c r="F152" s="10" t="s">
        <v>6400</v>
      </c>
      <c r="G152" s="4" t="s">
        <v>57</v>
      </c>
    </row>
    <row r="153" spans="1:7" ht="14.4" thickBot="1" x14ac:dyDescent="0.35">
      <c r="A153" s="4" t="s">
        <v>850</v>
      </c>
      <c r="B153" s="4" t="s">
        <v>851</v>
      </c>
      <c r="D153" s="4" t="s">
        <v>850</v>
      </c>
      <c r="E153" s="4" t="s">
        <v>851</v>
      </c>
      <c r="F153" s="10" t="s">
        <v>6401</v>
      </c>
      <c r="G153" s="4" t="s">
        <v>850</v>
      </c>
    </row>
    <row r="154" spans="1:7" ht="14.4" thickBot="1" x14ac:dyDescent="0.35">
      <c r="A154" s="4" t="s">
        <v>2558</v>
      </c>
      <c r="B154" s="4" t="s">
        <v>2559</v>
      </c>
      <c r="D154" s="4" t="s">
        <v>2558</v>
      </c>
      <c r="E154" s="4" t="s">
        <v>2559</v>
      </c>
      <c r="F154" s="10" t="s">
        <v>6402</v>
      </c>
      <c r="G154" s="4" t="s">
        <v>2558</v>
      </c>
    </row>
    <row r="155" spans="1:7" ht="14.4" thickBot="1" x14ac:dyDescent="0.35">
      <c r="A155" s="4" t="s">
        <v>1053</v>
      </c>
      <c r="B155" s="4" t="s">
        <v>1054</v>
      </c>
      <c r="D155" s="4" t="s">
        <v>1053</v>
      </c>
      <c r="E155" s="4" t="s">
        <v>1054</v>
      </c>
      <c r="F155" s="10" t="s">
        <v>6403</v>
      </c>
      <c r="G155" s="4" t="s">
        <v>1053</v>
      </c>
    </row>
    <row r="156" spans="1:7" ht="14.4" thickBot="1" x14ac:dyDescent="0.35">
      <c r="A156" s="4" t="s">
        <v>1020</v>
      </c>
      <c r="B156" s="4" t="s">
        <v>1021</v>
      </c>
      <c r="D156" s="4" t="s">
        <v>1020</v>
      </c>
      <c r="E156" s="4" t="s">
        <v>1021</v>
      </c>
      <c r="F156" s="10" t="s">
        <v>6404</v>
      </c>
      <c r="G156" s="4" t="s">
        <v>1020</v>
      </c>
    </row>
    <row r="157" spans="1:7" ht="14.4" thickBot="1" x14ac:dyDescent="0.35">
      <c r="A157" s="4" t="s">
        <v>3315</v>
      </c>
      <c r="B157" s="4" t="s">
        <v>3316</v>
      </c>
      <c r="D157" s="4" t="s">
        <v>3315</v>
      </c>
      <c r="E157" s="4" t="s">
        <v>3316</v>
      </c>
      <c r="F157" s="10" t="s">
        <v>6405</v>
      </c>
      <c r="G157" s="4" t="s">
        <v>3315</v>
      </c>
    </row>
    <row r="158" spans="1:7" ht="14.4" thickBot="1" x14ac:dyDescent="0.35">
      <c r="A158" s="4" t="s">
        <v>973</v>
      </c>
      <c r="B158" s="4" t="s">
        <v>974</v>
      </c>
      <c r="D158" s="4" t="s">
        <v>973</v>
      </c>
      <c r="E158" s="4" t="s">
        <v>974</v>
      </c>
      <c r="F158" s="10" t="s">
        <v>6406</v>
      </c>
      <c r="G158" s="4" t="s">
        <v>973</v>
      </c>
    </row>
    <row r="159" spans="1:7" ht="14.4" thickBot="1" x14ac:dyDescent="0.35">
      <c r="A159" s="4" t="s">
        <v>2538</v>
      </c>
      <c r="B159" s="4" t="s">
        <v>2539</v>
      </c>
      <c r="D159" s="4" t="s">
        <v>2538</v>
      </c>
      <c r="E159" s="4" t="s">
        <v>2539</v>
      </c>
      <c r="F159" s="10" t="s">
        <v>6407</v>
      </c>
      <c r="G159" s="4" t="s">
        <v>2538</v>
      </c>
    </row>
    <row r="160" spans="1:7" ht="14.4" thickBot="1" x14ac:dyDescent="0.35">
      <c r="A160" s="4" t="s">
        <v>3309</v>
      </c>
      <c r="B160" s="4" t="s">
        <v>3310</v>
      </c>
      <c r="D160" s="4" t="s">
        <v>3309</v>
      </c>
      <c r="E160" s="4" t="s">
        <v>3310</v>
      </c>
      <c r="F160" s="10" t="s">
        <v>6408</v>
      </c>
      <c r="G160" s="4" t="s">
        <v>3309</v>
      </c>
    </row>
    <row r="161" spans="1:7" ht="14.4" thickBot="1" x14ac:dyDescent="0.35">
      <c r="A161" s="4" t="s">
        <v>1028</v>
      </c>
      <c r="B161" s="4" t="s">
        <v>1029</v>
      </c>
      <c r="D161" s="4" t="s">
        <v>1028</v>
      </c>
      <c r="E161" s="4" t="s">
        <v>1029</v>
      </c>
      <c r="F161" s="10" t="s">
        <v>6409</v>
      </c>
      <c r="G161" s="4" t="s">
        <v>1028</v>
      </c>
    </row>
    <row r="162" spans="1:7" ht="14.4" thickBot="1" x14ac:dyDescent="0.35">
      <c r="A162" s="4" t="s">
        <v>2542</v>
      </c>
      <c r="B162" s="4" t="s">
        <v>2543</v>
      </c>
      <c r="D162" s="4" t="s">
        <v>2542</v>
      </c>
      <c r="E162" s="4" t="s">
        <v>2543</v>
      </c>
      <c r="F162" s="10" t="s">
        <v>6410</v>
      </c>
      <c r="G162" s="4" t="s">
        <v>2542</v>
      </c>
    </row>
    <row r="163" spans="1:7" ht="14.4" thickBot="1" x14ac:dyDescent="0.35">
      <c r="A163" s="4" t="s">
        <v>855</v>
      </c>
      <c r="B163" s="4" t="s">
        <v>856</v>
      </c>
      <c r="D163" s="4" t="s">
        <v>855</v>
      </c>
      <c r="E163" s="4" t="s">
        <v>856</v>
      </c>
      <c r="F163" s="10" t="s">
        <v>6411</v>
      </c>
      <c r="G163" s="4" t="s">
        <v>855</v>
      </c>
    </row>
    <row r="164" spans="1:7" ht="14.4" thickBot="1" x14ac:dyDescent="0.35">
      <c r="A164" s="4" t="s">
        <v>1032</v>
      </c>
      <c r="B164" s="4" t="s">
        <v>1033</v>
      </c>
      <c r="D164" s="4" t="s">
        <v>1032</v>
      </c>
      <c r="E164" s="4" t="s">
        <v>1033</v>
      </c>
      <c r="F164" s="10" t="s">
        <v>6412</v>
      </c>
      <c r="G164" s="4" t="s">
        <v>1032</v>
      </c>
    </row>
    <row r="165" spans="1:7" ht="14.4" thickBot="1" x14ac:dyDescent="0.35">
      <c r="A165" s="4" t="s">
        <v>21</v>
      </c>
      <c r="B165" s="4" t="s">
        <v>22</v>
      </c>
      <c r="D165" s="4" t="s">
        <v>21</v>
      </c>
      <c r="E165" s="4" t="s">
        <v>22</v>
      </c>
      <c r="F165" s="10" t="s">
        <v>6413</v>
      </c>
      <c r="G165" s="4" t="s">
        <v>21</v>
      </c>
    </row>
    <row r="166" spans="1:7" ht="14.4" thickBot="1" x14ac:dyDescent="0.35">
      <c r="A166" s="4" t="s">
        <v>859</v>
      </c>
      <c r="B166" s="4" t="s">
        <v>860</v>
      </c>
      <c r="D166" s="4" t="s">
        <v>859</v>
      </c>
      <c r="E166" s="4" t="s">
        <v>860</v>
      </c>
      <c r="F166" s="10" t="s">
        <v>6414</v>
      </c>
      <c r="G166" s="4" t="s">
        <v>859</v>
      </c>
    </row>
    <row r="167" spans="1:7" ht="14.4" thickBot="1" x14ac:dyDescent="0.35">
      <c r="A167" s="4" t="s">
        <v>480</v>
      </c>
      <c r="B167" s="4" t="s">
        <v>481</v>
      </c>
      <c r="D167" s="4" t="s">
        <v>480</v>
      </c>
      <c r="E167" s="4" t="s">
        <v>481</v>
      </c>
      <c r="F167" s="10" t="s">
        <v>6415</v>
      </c>
      <c r="G167" s="4" t="s">
        <v>480</v>
      </c>
    </row>
    <row r="168" spans="1:7" ht="14.4" thickBot="1" x14ac:dyDescent="0.35">
      <c r="A168" s="4" t="s">
        <v>1423</v>
      </c>
      <c r="B168" s="4" t="s">
        <v>1424</v>
      </c>
      <c r="D168" s="4" t="s">
        <v>1423</v>
      </c>
      <c r="E168" s="4" t="s">
        <v>1424</v>
      </c>
      <c r="F168" s="10" t="s">
        <v>6416</v>
      </c>
      <c r="G168" s="4" t="s">
        <v>1423</v>
      </c>
    </row>
    <row r="169" spans="1:7" ht="14.4" thickBot="1" x14ac:dyDescent="0.35">
      <c r="A169" s="4" t="s">
        <v>863</v>
      </c>
      <c r="B169" s="4" t="s">
        <v>864</v>
      </c>
      <c r="D169" s="4" t="s">
        <v>863</v>
      </c>
      <c r="E169" s="4" t="s">
        <v>864</v>
      </c>
      <c r="F169" s="10" t="s">
        <v>6417</v>
      </c>
      <c r="G169" s="4" t="s">
        <v>863</v>
      </c>
    </row>
    <row r="170" spans="1:7" ht="14.4" thickBot="1" x14ac:dyDescent="0.35">
      <c r="A170" s="4" t="s">
        <v>1429</v>
      </c>
      <c r="B170" s="4" t="s">
        <v>1430</v>
      </c>
      <c r="D170" s="4" t="s">
        <v>1429</v>
      </c>
      <c r="E170" s="4" t="s">
        <v>1430</v>
      </c>
      <c r="F170" s="10" t="s">
        <v>6418</v>
      </c>
      <c r="G170" s="4" t="s">
        <v>1429</v>
      </c>
    </row>
    <row r="171" spans="1:7" ht="14.4" thickBot="1" x14ac:dyDescent="0.35">
      <c r="A171" s="4" t="s">
        <v>1433</v>
      </c>
      <c r="B171" s="4" t="s">
        <v>1434</v>
      </c>
      <c r="D171" s="4" t="s">
        <v>1433</v>
      </c>
      <c r="E171" s="4" t="s">
        <v>1434</v>
      </c>
      <c r="F171" s="10" t="s">
        <v>6419</v>
      </c>
      <c r="G171" s="4" t="s">
        <v>1433</v>
      </c>
    </row>
    <row r="172" spans="1:7" ht="14.4" thickBot="1" x14ac:dyDescent="0.35">
      <c r="A172" s="4" t="s">
        <v>491</v>
      </c>
      <c r="B172" s="4" t="s">
        <v>492</v>
      </c>
      <c r="D172" s="4" t="s">
        <v>491</v>
      </c>
      <c r="E172" s="4" t="s">
        <v>492</v>
      </c>
      <c r="F172" s="10" t="s">
        <v>6420</v>
      </c>
      <c r="G172" s="4" t="s">
        <v>491</v>
      </c>
    </row>
    <row r="173" spans="1:7" ht="14.4" thickBot="1" x14ac:dyDescent="0.35">
      <c r="A173" s="4" t="s">
        <v>3178</v>
      </c>
      <c r="B173" s="4" t="s">
        <v>3179</v>
      </c>
      <c r="D173" s="4" t="s">
        <v>3178</v>
      </c>
      <c r="E173" s="4" t="s">
        <v>3179</v>
      </c>
      <c r="F173" s="10" t="s">
        <v>6421</v>
      </c>
      <c r="G173" s="4" t="s">
        <v>3178</v>
      </c>
    </row>
    <row r="174" spans="1:7" ht="14.4" thickBot="1" x14ac:dyDescent="0.35">
      <c r="A174" s="4" t="s">
        <v>1437</v>
      </c>
      <c r="B174" s="4" t="s">
        <v>1438</v>
      </c>
      <c r="D174" s="4" t="s">
        <v>1437</v>
      </c>
      <c r="E174" s="4" t="s">
        <v>1438</v>
      </c>
      <c r="F174" s="10" t="s">
        <v>6422</v>
      </c>
      <c r="G174" s="4" t="s">
        <v>1437</v>
      </c>
    </row>
    <row r="175" spans="1:7" ht="14.4" thickBot="1" x14ac:dyDescent="0.35">
      <c r="A175" s="4" t="s">
        <v>1441</v>
      </c>
      <c r="B175" s="4" t="s">
        <v>1442</v>
      </c>
      <c r="D175" s="4" t="s">
        <v>1441</v>
      </c>
      <c r="E175" s="4" t="s">
        <v>1442</v>
      </c>
      <c r="F175" s="10" t="s">
        <v>6423</v>
      </c>
      <c r="G175" s="4" t="s">
        <v>1441</v>
      </c>
    </row>
    <row r="176" spans="1:7" ht="14.4" thickBot="1" x14ac:dyDescent="0.35">
      <c r="A176" s="4" t="s">
        <v>2515</v>
      </c>
      <c r="B176" s="4" t="s">
        <v>2516</v>
      </c>
      <c r="D176" s="4" t="s">
        <v>2515</v>
      </c>
      <c r="E176" s="4" t="s">
        <v>2516</v>
      </c>
      <c r="F176" s="10" t="s">
        <v>6424</v>
      </c>
      <c r="G176" s="4" t="s">
        <v>2515</v>
      </c>
    </row>
    <row r="177" spans="1:7" ht="14.4" thickBot="1" x14ac:dyDescent="0.35">
      <c r="A177" s="4" t="s">
        <v>3272</v>
      </c>
      <c r="B177" s="4" t="s">
        <v>3273</v>
      </c>
      <c r="D177" s="4" t="s">
        <v>3272</v>
      </c>
      <c r="E177" s="4" t="s">
        <v>3273</v>
      </c>
      <c r="F177" s="10" t="s">
        <v>6425</v>
      </c>
      <c r="G177" s="4" t="s">
        <v>3272</v>
      </c>
    </row>
    <row r="178" spans="1:7" ht="14.4" thickBot="1" x14ac:dyDescent="0.35">
      <c r="A178" s="4" t="s">
        <v>886</v>
      </c>
      <c r="B178" s="4" t="s">
        <v>887</v>
      </c>
      <c r="D178" s="4" t="s">
        <v>886</v>
      </c>
      <c r="E178" s="4" t="s">
        <v>887</v>
      </c>
      <c r="F178" s="10" t="s">
        <v>6426</v>
      </c>
      <c r="G178" s="4" t="s">
        <v>886</v>
      </c>
    </row>
    <row r="179" spans="1:7" ht="14.4" thickBot="1" x14ac:dyDescent="0.35">
      <c r="A179" s="4" t="s">
        <v>882</v>
      </c>
      <c r="B179" s="4" t="s">
        <v>883</v>
      </c>
      <c r="D179" s="4" t="s">
        <v>882</v>
      </c>
      <c r="E179" s="4" t="s">
        <v>883</v>
      </c>
      <c r="F179" s="10" t="s">
        <v>6427</v>
      </c>
      <c r="G179" s="4" t="s">
        <v>882</v>
      </c>
    </row>
    <row r="180" spans="1:7" ht="14.4" thickBot="1" x14ac:dyDescent="0.35">
      <c r="A180" s="4" t="s">
        <v>979</v>
      </c>
      <c r="B180" s="4" t="s">
        <v>980</v>
      </c>
      <c r="D180" s="4" t="s">
        <v>979</v>
      </c>
      <c r="E180" s="4" t="s">
        <v>980</v>
      </c>
      <c r="F180" s="10" t="s">
        <v>6428</v>
      </c>
      <c r="G180" s="4" t="s">
        <v>979</v>
      </c>
    </row>
    <row r="181" spans="1:7" ht="14.4" thickBot="1" x14ac:dyDescent="0.35">
      <c r="A181" s="4" t="s">
        <v>1007</v>
      </c>
      <c r="B181" s="4" t="s">
        <v>1008</v>
      </c>
      <c r="D181" s="4" t="s">
        <v>1007</v>
      </c>
      <c r="E181" s="4" t="s">
        <v>1008</v>
      </c>
      <c r="F181" s="10" t="s">
        <v>6429</v>
      </c>
      <c r="G181" s="4" t="s">
        <v>1007</v>
      </c>
    </row>
    <row r="182" spans="1:7" ht="14.4" thickBot="1" x14ac:dyDescent="0.35">
      <c r="A182" s="4" t="s">
        <v>3292</v>
      </c>
      <c r="B182" s="4" t="s">
        <v>3293</v>
      </c>
      <c r="D182" s="4" t="s">
        <v>3292</v>
      </c>
      <c r="E182" s="4" t="s">
        <v>3293</v>
      </c>
      <c r="F182" s="10" t="s">
        <v>6430</v>
      </c>
      <c r="G182" s="4" t="s">
        <v>3292</v>
      </c>
    </row>
    <row r="183" spans="1:7" ht="14.4" thickBot="1" x14ac:dyDescent="0.35">
      <c r="A183" s="4" t="s">
        <v>4098</v>
      </c>
      <c r="B183" s="4" t="s">
        <v>4099</v>
      </c>
      <c r="D183" s="4" t="s">
        <v>4098</v>
      </c>
      <c r="E183" s="4" t="s">
        <v>4099</v>
      </c>
      <c r="F183" s="10" t="s">
        <v>6431</v>
      </c>
      <c r="G183" s="4" t="s">
        <v>4098</v>
      </c>
    </row>
    <row r="184" spans="1:7" ht="14.4" thickBot="1" x14ac:dyDescent="0.35">
      <c r="A184" s="4" t="s">
        <v>4106</v>
      </c>
      <c r="B184" s="4" t="s">
        <v>4107</v>
      </c>
      <c r="D184" s="4" t="s">
        <v>4106</v>
      </c>
      <c r="E184" s="4" t="s">
        <v>4107</v>
      </c>
      <c r="F184" s="10" t="s">
        <v>6432</v>
      </c>
      <c r="G184" s="4" t="s">
        <v>4106</v>
      </c>
    </row>
    <row r="185" spans="1:7" ht="14.4" thickBot="1" x14ac:dyDescent="0.35">
      <c r="A185" s="4" t="s">
        <v>932</v>
      </c>
      <c r="B185" s="4" t="s">
        <v>1002</v>
      </c>
      <c r="D185" s="4" t="s">
        <v>932</v>
      </c>
      <c r="E185" s="4" t="s">
        <v>1002</v>
      </c>
      <c r="F185" s="10" t="s">
        <v>6433</v>
      </c>
      <c r="G185" s="4" t="s">
        <v>932</v>
      </c>
    </row>
    <row r="186" spans="1:7" ht="14.4" thickBot="1" x14ac:dyDescent="0.35">
      <c r="A186" s="4" t="s">
        <v>3297</v>
      </c>
      <c r="B186" s="4" t="s">
        <v>3298</v>
      </c>
      <c r="D186" s="4" t="s">
        <v>3297</v>
      </c>
      <c r="E186" s="4" t="s">
        <v>3298</v>
      </c>
      <c r="F186" s="10" t="s">
        <v>6434</v>
      </c>
      <c r="G186" s="4" t="s">
        <v>3297</v>
      </c>
    </row>
    <row r="187" spans="1:7" ht="14.4" thickBot="1" x14ac:dyDescent="0.35">
      <c r="A187" s="4" t="s">
        <v>1726</v>
      </c>
      <c r="B187" s="4" t="s">
        <v>4102</v>
      </c>
      <c r="D187" s="4" t="s">
        <v>1726</v>
      </c>
      <c r="E187" s="4" t="s">
        <v>4102</v>
      </c>
      <c r="F187" s="10" t="s">
        <v>6435</v>
      </c>
      <c r="G187" s="4" t="s">
        <v>1726</v>
      </c>
    </row>
    <row r="188" spans="1:7" ht="14.4" thickBot="1" x14ac:dyDescent="0.35">
      <c r="A188" s="4" t="s">
        <v>997</v>
      </c>
      <c r="B188" s="4" t="s">
        <v>998</v>
      </c>
      <c r="D188" s="4" t="s">
        <v>997</v>
      </c>
      <c r="E188" s="4" t="s">
        <v>998</v>
      </c>
      <c r="F188" s="10" t="s">
        <v>6436</v>
      </c>
      <c r="G188" s="4" t="s">
        <v>997</v>
      </c>
    </row>
    <row r="189" spans="1:7" ht="14.4" thickBot="1" x14ac:dyDescent="0.35">
      <c r="A189" s="4" t="s">
        <v>1883</v>
      </c>
      <c r="B189" s="4" t="s">
        <v>1884</v>
      </c>
      <c r="D189" s="4" t="s">
        <v>1883</v>
      </c>
      <c r="E189" s="4" t="s">
        <v>1884</v>
      </c>
      <c r="F189" s="10" t="s">
        <v>6437</v>
      </c>
      <c r="G189" s="4" t="s">
        <v>1883</v>
      </c>
    </row>
    <row r="190" spans="1:7" ht="14.4" thickBot="1" x14ac:dyDescent="0.35">
      <c r="A190" s="4" t="s">
        <v>2524</v>
      </c>
      <c r="B190" s="4" t="s">
        <v>2525</v>
      </c>
      <c r="D190" s="4" t="s">
        <v>2524</v>
      </c>
      <c r="E190" s="4" t="s">
        <v>2525</v>
      </c>
      <c r="F190" s="10" t="s">
        <v>6438</v>
      </c>
      <c r="G190" s="4" t="s">
        <v>2524</v>
      </c>
    </row>
  </sheetData>
  <phoneticPr fontId="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F2967"/>
  <sheetViews>
    <sheetView workbookViewId="0">
      <pane ySplit="1" topLeftCell="A2952" activePane="bottomLeft" state="frozen"/>
      <selection pane="bottomLeft" activeCell="D1133" sqref="D779:D1133"/>
    </sheetView>
  </sheetViews>
  <sheetFormatPr defaultColWidth="15.44140625" defaultRowHeight="13.8" x14ac:dyDescent="0.3"/>
  <cols>
    <col min="1" max="1" width="15.109375" style="2" bestFit="1" customWidth="1"/>
    <col min="2" max="2" width="39.88671875" style="2" bestFit="1" customWidth="1"/>
    <col min="3" max="3" width="15.109375" style="2" bestFit="1" customWidth="1"/>
    <col min="4" max="4" width="12.44140625" style="2" bestFit="1" customWidth="1"/>
    <col min="5" max="5" width="49.44140625" style="2" bestFit="1" customWidth="1"/>
    <col min="6" max="6" width="12.44140625" style="2" bestFit="1" customWidth="1"/>
    <col min="7" max="16384" width="15.44140625" style="2"/>
  </cols>
  <sheetData>
    <row r="1" spans="1:6" ht="14.4" thickBot="1" x14ac:dyDescent="0.35">
      <c r="A1" s="1" t="s">
        <v>9</v>
      </c>
      <c r="B1" s="1" t="s">
        <v>1</v>
      </c>
      <c r="C1" s="1" t="s">
        <v>9</v>
      </c>
      <c r="D1" s="1" t="s">
        <v>11</v>
      </c>
      <c r="E1" s="1" t="s">
        <v>3</v>
      </c>
      <c r="F1" s="1" t="s">
        <v>11</v>
      </c>
    </row>
    <row r="2" spans="1:6" ht="14.4" thickBot="1" x14ac:dyDescent="0.35">
      <c r="A2" s="3" t="s">
        <v>461</v>
      </c>
      <c r="B2" s="3" t="s">
        <v>462</v>
      </c>
      <c r="C2" s="3" t="s">
        <v>461</v>
      </c>
      <c r="D2" s="3" t="s">
        <v>2887</v>
      </c>
      <c r="E2" s="3" t="s">
        <v>2888</v>
      </c>
      <c r="F2" s="3" t="s">
        <v>2887</v>
      </c>
    </row>
    <row r="3" spans="1:6" ht="14.4" thickBot="1" x14ac:dyDescent="0.35">
      <c r="A3" s="4" t="s">
        <v>461</v>
      </c>
      <c r="B3" s="4" t="s">
        <v>462</v>
      </c>
      <c r="C3" s="4" t="s">
        <v>461</v>
      </c>
      <c r="D3" s="4" t="s">
        <v>4417</v>
      </c>
      <c r="E3" s="4" t="s">
        <v>4418</v>
      </c>
      <c r="F3" s="4" t="s">
        <v>4417</v>
      </c>
    </row>
    <row r="4" spans="1:6" ht="14.4" thickBot="1" x14ac:dyDescent="0.35">
      <c r="A4" s="4" t="s">
        <v>461</v>
      </c>
      <c r="B4" s="4" t="s">
        <v>462</v>
      </c>
      <c r="C4" s="4" t="s">
        <v>461</v>
      </c>
      <c r="D4" s="4" t="s">
        <v>5787</v>
      </c>
      <c r="E4" s="4" t="s">
        <v>5788</v>
      </c>
      <c r="F4" s="4" t="s">
        <v>5787</v>
      </c>
    </row>
    <row r="5" spans="1:6" ht="14.4" thickBot="1" x14ac:dyDescent="0.35">
      <c r="A5" s="4" t="s">
        <v>461</v>
      </c>
      <c r="B5" s="4" t="s">
        <v>462</v>
      </c>
      <c r="C5" s="4" t="s">
        <v>461</v>
      </c>
      <c r="D5" s="4" t="s">
        <v>3647</v>
      </c>
      <c r="E5" s="4" t="s">
        <v>3648</v>
      </c>
      <c r="F5" s="4" t="s">
        <v>3647</v>
      </c>
    </row>
    <row r="6" spans="1:6" ht="14.4" thickBot="1" x14ac:dyDescent="0.35">
      <c r="A6" s="4" t="s">
        <v>461</v>
      </c>
      <c r="B6" s="4" t="s">
        <v>462</v>
      </c>
      <c r="C6" s="4" t="s">
        <v>461</v>
      </c>
      <c r="D6" s="4" t="s">
        <v>465</v>
      </c>
      <c r="E6" s="4" t="s">
        <v>466</v>
      </c>
      <c r="F6" s="4" t="s">
        <v>465</v>
      </c>
    </row>
    <row r="7" spans="1:6" ht="14.4" thickBot="1" x14ac:dyDescent="0.35">
      <c r="A7" s="4" t="s">
        <v>461</v>
      </c>
      <c r="B7" s="4" t="s">
        <v>462</v>
      </c>
      <c r="C7" s="4" t="s">
        <v>461</v>
      </c>
      <c r="D7" s="4" t="s">
        <v>5110</v>
      </c>
      <c r="E7" s="4" t="s">
        <v>5111</v>
      </c>
      <c r="F7" s="4" t="s">
        <v>5110</v>
      </c>
    </row>
    <row r="8" spans="1:6" ht="14.4" thickBot="1" x14ac:dyDescent="0.35">
      <c r="A8" s="4" t="s">
        <v>461</v>
      </c>
      <c r="B8" s="4" t="s">
        <v>462</v>
      </c>
      <c r="C8" s="4" t="s">
        <v>461</v>
      </c>
      <c r="D8" s="4" t="s">
        <v>5106</v>
      </c>
      <c r="E8" s="4" t="s">
        <v>5107</v>
      </c>
      <c r="F8" s="4" t="s">
        <v>5106</v>
      </c>
    </row>
    <row r="9" spans="1:6" ht="14.4" thickBot="1" x14ac:dyDescent="0.35">
      <c r="A9" s="4" t="s">
        <v>461</v>
      </c>
      <c r="B9" s="4" t="s">
        <v>462</v>
      </c>
      <c r="C9" s="4" t="s">
        <v>461</v>
      </c>
      <c r="D9" s="4" t="s">
        <v>5108</v>
      </c>
      <c r="E9" s="4" t="s">
        <v>5109</v>
      </c>
      <c r="F9" s="4" t="s">
        <v>5108</v>
      </c>
    </row>
    <row r="10" spans="1:6" ht="14.4" thickBot="1" x14ac:dyDescent="0.35">
      <c r="A10" s="4" t="s">
        <v>461</v>
      </c>
      <c r="B10" s="4" t="s">
        <v>462</v>
      </c>
      <c r="C10" s="4" t="s">
        <v>461</v>
      </c>
      <c r="D10" s="4" t="s">
        <v>2889</v>
      </c>
      <c r="E10" s="4" t="s">
        <v>2890</v>
      </c>
      <c r="F10" s="4" t="s">
        <v>2889</v>
      </c>
    </row>
    <row r="11" spans="1:6" ht="14.4" thickBot="1" x14ac:dyDescent="0.35">
      <c r="A11" s="4" t="s">
        <v>461</v>
      </c>
      <c r="B11" s="4" t="s">
        <v>462</v>
      </c>
      <c r="C11" s="4" t="s">
        <v>461</v>
      </c>
      <c r="D11" s="4" t="s">
        <v>5112</v>
      </c>
      <c r="E11" s="4" t="s">
        <v>5113</v>
      </c>
      <c r="F11" s="4" t="s">
        <v>5112</v>
      </c>
    </row>
    <row r="12" spans="1:6" ht="14.4" thickBot="1" x14ac:dyDescent="0.35">
      <c r="A12" s="4" t="s">
        <v>461</v>
      </c>
      <c r="B12" s="4" t="s">
        <v>462</v>
      </c>
      <c r="C12" s="4" t="s">
        <v>461</v>
      </c>
      <c r="D12" s="4" t="s">
        <v>5114</v>
      </c>
      <c r="E12" s="4" t="s">
        <v>5115</v>
      </c>
      <c r="F12" s="4" t="s">
        <v>5114</v>
      </c>
    </row>
    <row r="13" spans="1:6" ht="14.4" thickBot="1" x14ac:dyDescent="0.35">
      <c r="A13" s="4" t="s">
        <v>461</v>
      </c>
      <c r="B13" s="4" t="s">
        <v>462</v>
      </c>
      <c r="C13" s="4" t="s">
        <v>461</v>
      </c>
      <c r="D13" s="4" t="s">
        <v>467</v>
      </c>
      <c r="E13" s="4" t="s">
        <v>468</v>
      </c>
      <c r="F13" s="4" t="s">
        <v>467</v>
      </c>
    </row>
    <row r="14" spans="1:6" ht="14.4" thickBot="1" x14ac:dyDescent="0.35">
      <c r="A14" s="4" t="s">
        <v>461</v>
      </c>
      <c r="B14" s="4" t="s">
        <v>462</v>
      </c>
      <c r="C14" s="4" t="s">
        <v>461</v>
      </c>
      <c r="D14" s="4" t="s">
        <v>5100</v>
      </c>
      <c r="E14" s="4" t="s">
        <v>5101</v>
      </c>
      <c r="F14" s="4" t="s">
        <v>5100</v>
      </c>
    </row>
    <row r="15" spans="1:6" ht="14.4" thickBot="1" x14ac:dyDescent="0.35">
      <c r="A15" s="4" t="s">
        <v>461</v>
      </c>
      <c r="B15" s="4" t="s">
        <v>462</v>
      </c>
      <c r="C15" s="4" t="s">
        <v>461</v>
      </c>
      <c r="D15" s="4" t="s">
        <v>3643</v>
      </c>
      <c r="E15" s="4" t="s">
        <v>3644</v>
      </c>
      <c r="F15" s="4" t="s">
        <v>3643</v>
      </c>
    </row>
    <row r="16" spans="1:6" ht="14.4" thickBot="1" x14ac:dyDescent="0.35">
      <c r="A16" s="4" t="s">
        <v>461</v>
      </c>
      <c r="B16" s="4" t="s">
        <v>462</v>
      </c>
      <c r="C16" s="4" t="s">
        <v>461</v>
      </c>
      <c r="D16" s="4" t="s">
        <v>463</v>
      </c>
      <c r="E16" s="4" t="s">
        <v>464</v>
      </c>
      <c r="F16" s="4" t="s">
        <v>463</v>
      </c>
    </row>
    <row r="17" spans="1:6" ht="14.4" thickBot="1" x14ac:dyDescent="0.35">
      <c r="A17" s="4" t="s">
        <v>461</v>
      </c>
      <c r="B17" s="4" t="s">
        <v>462</v>
      </c>
      <c r="C17" s="4" t="s">
        <v>461</v>
      </c>
      <c r="D17" s="4" t="s">
        <v>5102</v>
      </c>
      <c r="E17" s="4" t="s">
        <v>5103</v>
      </c>
      <c r="F17" s="4" t="s">
        <v>5102</v>
      </c>
    </row>
    <row r="18" spans="1:6" ht="14.4" thickBot="1" x14ac:dyDescent="0.35">
      <c r="A18" s="4" t="s">
        <v>461</v>
      </c>
      <c r="B18" s="4" t="s">
        <v>462</v>
      </c>
      <c r="C18" s="4" t="s">
        <v>461</v>
      </c>
      <c r="D18" s="4" t="s">
        <v>2885</v>
      </c>
      <c r="E18" s="4" t="s">
        <v>2886</v>
      </c>
      <c r="F18" s="4" t="s">
        <v>2885</v>
      </c>
    </row>
    <row r="19" spans="1:6" ht="14.4" thickBot="1" x14ac:dyDescent="0.35">
      <c r="A19" s="4" t="s">
        <v>461</v>
      </c>
      <c r="B19" s="4" t="s">
        <v>462</v>
      </c>
      <c r="C19" s="4" t="s">
        <v>461</v>
      </c>
      <c r="D19" s="4" t="s">
        <v>1511</v>
      </c>
      <c r="E19" s="4" t="s">
        <v>1512</v>
      </c>
      <c r="F19" s="4" t="s">
        <v>1511</v>
      </c>
    </row>
    <row r="20" spans="1:6" ht="14.4" thickBot="1" x14ac:dyDescent="0.35">
      <c r="A20" s="4" t="s">
        <v>461</v>
      </c>
      <c r="B20" s="4" t="s">
        <v>462</v>
      </c>
      <c r="C20" s="4" t="s">
        <v>461</v>
      </c>
      <c r="D20" s="4" t="s">
        <v>1509</v>
      </c>
      <c r="E20" s="4" t="s">
        <v>1510</v>
      </c>
      <c r="F20" s="4" t="s">
        <v>1509</v>
      </c>
    </row>
    <row r="21" spans="1:6" ht="14.4" thickBot="1" x14ac:dyDescent="0.35">
      <c r="A21" s="4" t="s">
        <v>461</v>
      </c>
      <c r="B21" s="4" t="s">
        <v>462</v>
      </c>
      <c r="C21" s="4" t="s">
        <v>461</v>
      </c>
      <c r="D21" s="4" t="s">
        <v>3645</v>
      </c>
      <c r="E21" s="4" t="s">
        <v>3646</v>
      </c>
      <c r="F21" s="4" t="s">
        <v>3645</v>
      </c>
    </row>
    <row r="22" spans="1:6" ht="14.4" thickBot="1" x14ac:dyDescent="0.35">
      <c r="A22" s="4" t="s">
        <v>461</v>
      </c>
      <c r="B22" s="4" t="s">
        <v>462</v>
      </c>
      <c r="C22" s="4" t="s">
        <v>461</v>
      </c>
      <c r="D22" s="4" t="s">
        <v>5188</v>
      </c>
      <c r="E22" s="4" t="s">
        <v>5189</v>
      </c>
      <c r="F22" s="4" t="s">
        <v>5188</v>
      </c>
    </row>
    <row r="23" spans="1:6" ht="14.4" thickBot="1" x14ac:dyDescent="0.35">
      <c r="A23" s="4" t="s">
        <v>461</v>
      </c>
      <c r="B23" s="4" t="s">
        <v>462</v>
      </c>
      <c r="C23" s="4" t="s">
        <v>461</v>
      </c>
      <c r="D23" s="4" t="s">
        <v>5104</v>
      </c>
      <c r="E23" s="4" t="s">
        <v>5105</v>
      </c>
      <c r="F23" s="4" t="s">
        <v>5104</v>
      </c>
    </row>
    <row r="24" spans="1:6" ht="14.4" thickBot="1" x14ac:dyDescent="0.35">
      <c r="A24" s="4" t="s">
        <v>461</v>
      </c>
      <c r="B24" s="4" t="s">
        <v>462</v>
      </c>
      <c r="C24" s="4" t="s">
        <v>461</v>
      </c>
      <c r="D24" s="4" t="s">
        <v>4419</v>
      </c>
      <c r="E24" s="4" t="s">
        <v>4420</v>
      </c>
      <c r="F24" s="4" t="s">
        <v>4419</v>
      </c>
    </row>
    <row r="25" spans="1:6" ht="14.4" thickBot="1" x14ac:dyDescent="0.35">
      <c r="A25" s="4" t="s">
        <v>469</v>
      </c>
      <c r="B25" s="4" t="s">
        <v>470</v>
      </c>
      <c r="C25" s="4" t="s">
        <v>469</v>
      </c>
      <c r="D25" s="4" t="s">
        <v>4423</v>
      </c>
      <c r="E25" s="4" t="s">
        <v>4424</v>
      </c>
      <c r="F25" s="4" t="s">
        <v>4423</v>
      </c>
    </row>
    <row r="26" spans="1:6" ht="14.4" thickBot="1" x14ac:dyDescent="0.35">
      <c r="A26" s="4" t="s">
        <v>469</v>
      </c>
      <c r="B26" s="4" t="s">
        <v>470</v>
      </c>
      <c r="C26" s="4" t="s">
        <v>469</v>
      </c>
      <c r="D26" s="4" t="s">
        <v>4427</v>
      </c>
      <c r="E26" s="4" t="s">
        <v>4428</v>
      </c>
      <c r="F26" s="4" t="s">
        <v>4427</v>
      </c>
    </row>
    <row r="27" spans="1:6" ht="14.4" thickBot="1" x14ac:dyDescent="0.35">
      <c r="A27" s="4" t="s">
        <v>469</v>
      </c>
      <c r="B27" s="4" t="s">
        <v>470</v>
      </c>
      <c r="C27" s="4" t="s">
        <v>469</v>
      </c>
      <c r="D27" s="4" t="s">
        <v>2169</v>
      </c>
      <c r="E27" s="4" t="s">
        <v>2170</v>
      </c>
      <c r="F27" s="4" t="s">
        <v>2169</v>
      </c>
    </row>
    <row r="28" spans="1:6" ht="14.4" thickBot="1" x14ac:dyDescent="0.35">
      <c r="A28" s="4" t="s">
        <v>469</v>
      </c>
      <c r="B28" s="4" t="s">
        <v>470</v>
      </c>
      <c r="C28" s="4" t="s">
        <v>469</v>
      </c>
      <c r="D28" s="4" t="s">
        <v>743</v>
      </c>
      <c r="E28" s="4" t="s">
        <v>2893</v>
      </c>
      <c r="F28" s="4" t="s">
        <v>743</v>
      </c>
    </row>
    <row r="29" spans="1:6" ht="14.4" thickBot="1" x14ac:dyDescent="0.35">
      <c r="A29" s="4" t="s">
        <v>469</v>
      </c>
      <c r="B29" s="4" t="s">
        <v>470</v>
      </c>
      <c r="C29" s="4" t="s">
        <v>469</v>
      </c>
      <c r="D29" s="4" t="s">
        <v>4433</v>
      </c>
      <c r="E29" s="4" t="s">
        <v>4434</v>
      </c>
      <c r="F29" s="4" t="s">
        <v>4433</v>
      </c>
    </row>
    <row r="30" spans="1:6" ht="14.4" thickBot="1" x14ac:dyDescent="0.35">
      <c r="A30" s="4" t="s">
        <v>469</v>
      </c>
      <c r="B30" s="4" t="s">
        <v>470</v>
      </c>
      <c r="C30" s="4" t="s">
        <v>469</v>
      </c>
      <c r="D30" s="4" t="s">
        <v>5116</v>
      </c>
      <c r="E30" s="4" t="s">
        <v>5117</v>
      </c>
      <c r="F30" s="4" t="s">
        <v>5116</v>
      </c>
    </row>
    <row r="31" spans="1:6" ht="14.4" thickBot="1" x14ac:dyDescent="0.35">
      <c r="A31" s="4" t="s">
        <v>469</v>
      </c>
      <c r="B31" s="4" t="s">
        <v>470</v>
      </c>
      <c r="C31" s="4" t="s">
        <v>469</v>
      </c>
      <c r="D31" s="4" t="s">
        <v>1513</v>
      </c>
      <c r="E31" s="4" t="s">
        <v>1514</v>
      </c>
      <c r="F31" s="4" t="s">
        <v>1513</v>
      </c>
    </row>
    <row r="32" spans="1:6" ht="14.4" thickBot="1" x14ac:dyDescent="0.35">
      <c r="A32" s="4" t="s">
        <v>469</v>
      </c>
      <c r="B32" s="4" t="s">
        <v>470</v>
      </c>
      <c r="C32" s="4" t="s">
        <v>469</v>
      </c>
      <c r="D32" s="4" t="s">
        <v>5131</v>
      </c>
      <c r="E32" s="4" t="s">
        <v>4662</v>
      </c>
      <c r="F32" s="4" t="s">
        <v>5131</v>
      </c>
    </row>
    <row r="33" spans="1:6" ht="14.4" thickBot="1" x14ac:dyDescent="0.35">
      <c r="A33" s="4" t="s">
        <v>469</v>
      </c>
      <c r="B33" s="4" t="s">
        <v>470</v>
      </c>
      <c r="C33" s="4" t="s">
        <v>469</v>
      </c>
      <c r="D33" s="4" t="s">
        <v>827</v>
      </c>
      <c r="E33" s="4" t="s">
        <v>5799</v>
      </c>
      <c r="F33" s="4" t="s">
        <v>827</v>
      </c>
    </row>
    <row r="34" spans="1:6" ht="14.4" thickBot="1" x14ac:dyDescent="0.35">
      <c r="A34" s="4" t="s">
        <v>469</v>
      </c>
      <c r="B34" s="4" t="s">
        <v>470</v>
      </c>
      <c r="C34" s="4" t="s">
        <v>469</v>
      </c>
      <c r="D34" s="4" t="s">
        <v>1395</v>
      </c>
      <c r="E34" s="4" t="s">
        <v>1396</v>
      </c>
      <c r="F34" s="4" t="s">
        <v>1395</v>
      </c>
    </row>
    <row r="35" spans="1:6" ht="14.4" thickBot="1" x14ac:dyDescent="0.35">
      <c r="A35" s="4" t="s">
        <v>469</v>
      </c>
      <c r="B35" s="4" t="s">
        <v>470</v>
      </c>
      <c r="C35" s="4" t="s">
        <v>469</v>
      </c>
      <c r="D35" s="4" t="s">
        <v>5129</v>
      </c>
      <c r="E35" s="4" t="s">
        <v>5130</v>
      </c>
      <c r="F35" s="4" t="s">
        <v>5129</v>
      </c>
    </row>
    <row r="36" spans="1:6" ht="14.4" thickBot="1" x14ac:dyDescent="0.35">
      <c r="A36" s="4" t="s">
        <v>469</v>
      </c>
      <c r="B36" s="4" t="s">
        <v>470</v>
      </c>
      <c r="C36" s="4" t="s">
        <v>469</v>
      </c>
      <c r="D36" s="4" t="s">
        <v>3658</v>
      </c>
      <c r="E36" s="4" t="s">
        <v>3659</v>
      </c>
      <c r="F36" s="4" t="s">
        <v>3658</v>
      </c>
    </row>
    <row r="37" spans="1:6" ht="14.4" thickBot="1" x14ac:dyDescent="0.35">
      <c r="A37" s="4" t="s">
        <v>469</v>
      </c>
      <c r="B37" s="4" t="s">
        <v>470</v>
      </c>
      <c r="C37" s="4" t="s">
        <v>469</v>
      </c>
      <c r="D37" s="4" t="s">
        <v>2914</v>
      </c>
      <c r="E37" s="4" t="s">
        <v>2018</v>
      </c>
      <c r="F37" s="4" t="s">
        <v>2914</v>
      </c>
    </row>
    <row r="38" spans="1:6" ht="14.4" thickBot="1" x14ac:dyDescent="0.35">
      <c r="A38" s="4" t="s">
        <v>469</v>
      </c>
      <c r="B38" s="4" t="s">
        <v>470</v>
      </c>
      <c r="C38" s="4" t="s">
        <v>469</v>
      </c>
      <c r="D38" s="4" t="s">
        <v>2242</v>
      </c>
      <c r="E38" s="4" t="s">
        <v>2243</v>
      </c>
      <c r="F38" s="4" t="s">
        <v>2242</v>
      </c>
    </row>
    <row r="39" spans="1:6" ht="14.4" thickBot="1" x14ac:dyDescent="0.35">
      <c r="A39" s="4" t="s">
        <v>469</v>
      </c>
      <c r="B39" s="4" t="s">
        <v>470</v>
      </c>
      <c r="C39" s="4" t="s">
        <v>469</v>
      </c>
      <c r="D39" s="4" t="s">
        <v>471</v>
      </c>
      <c r="E39" s="4" t="s">
        <v>472</v>
      </c>
      <c r="F39" s="4" t="s">
        <v>471</v>
      </c>
    </row>
    <row r="40" spans="1:6" ht="14.4" thickBot="1" x14ac:dyDescent="0.35">
      <c r="A40" s="4" t="s">
        <v>469</v>
      </c>
      <c r="B40" s="4" t="s">
        <v>470</v>
      </c>
      <c r="C40" s="4" t="s">
        <v>469</v>
      </c>
      <c r="D40" s="4" t="s">
        <v>3653</v>
      </c>
      <c r="E40" s="4" t="s">
        <v>3654</v>
      </c>
      <c r="F40" s="4" t="s">
        <v>3653</v>
      </c>
    </row>
    <row r="41" spans="1:6" ht="14.4" thickBot="1" x14ac:dyDescent="0.35">
      <c r="A41" s="4" t="s">
        <v>469</v>
      </c>
      <c r="B41" s="4" t="s">
        <v>470</v>
      </c>
      <c r="C41" s="4" t="s">
        <v>469</v>
      </c>
      <c r="D41" s="4" t="s">
        <v>2912</v>
      </c>
      <c r="E41" s="4" t="s">
        <v>2913</v>
      </c>
      <c r="F41" s="4" t="s">
        <v>2912</v>
      </c>
    </row>
    <row r="42" spans="1:6" ht="14.4" thickBot="1" x14ac:dyDescent="0.35">
      <c r="A42" s="4" t="s">
        <v>469</v>
      </c>
      <c r="B42" s="4" t="s">
        <v>470</v>
      </c>
      <c r="C42" s="4" t="s">
        <v>469</v>
      </c>
      <c r="D42" s="4" t="s">
        <v>5128</v>
      </c>
      <c r="E42" s="4" t="s">
        <v>1420</v>
      </c>
      <c r="F42" s="4" t="s">
        <v>5128</v>
      </c>
    </row>
    <row r="43" spans="1:6" ht="14.4" thickBot="1" x14ac:dyDescent="0.35">
      <c r="A43" s="4" t="s">
        <v>469</v>
      </c>
      <c r="B43" s="4" t="s">
        <v>470</v>
      </c>
      <c r="C43" s="4" t="s">
        <v>469</v>
      </c>
      <c r="D43" s="4" t="s">
        <v>2578</v>
      </c>
      <c r="E43" s="4" t="s">
        <v>3657</v>
      </c>
      <c r="F43" s="4" t="s">
        <v>2578</v>
      </c>
    </row>
    <row r="44" spans="1:6" ht="14.4" thickBot="1" x14ac:dyDescent="0.35">
      <c r="A44" s="4" t="s">
        <v>469</v>
      </c>
      <c r="B44" s="4" t="s">
        <v>470</v>
      </c>
      <c r="C44" s="4" t="s">
        <v>469</v>
      </c>
      <c r="D44" s="4" t="s">
        <v>2904</v>
      </c>
      <c r="E44" s="4" t="s">
        <v>2905</v>
      </c>
      <c r="F44" s="4" t="s">
        <v>2904</v>
      </c>
    </row>
    <row r="45" spans="1:6" ht="14.4" thickBot="1" x14ac:dyDescent="0.35">
      <c r="A45" s="4" t="s">
        <v>469</v>
      </c>
      <c r="B45" s="4" t="s">
        <v>470</v>
      </c>
      <c r="C45" s="4" t="s">
        <v>469</v>
      </c>
      <c r="D45" s="4" t="s">
        <v>4431</v>
      </c>
      <c r="E45" s="4" t="s">
        <v>4432</v>
      </c>
      <c r="F45" s="4" t="s">
        <v>4431</v>
      </c>
    </row>
    <row r="46" spans="1:6" ht="14.4" thickBot="1" x14ac:dyDescent="0.35">
      <c r="A46" s="4" t="s">
        <v>469</v>
      </c>
      <c r="B46" s="4" t="s">
        <v>470</v>
      </c>
      <c r="C46" s="4" t="s">
        <v>469</v>
      </c>
      <c r="D46" s="4" t="s">
        <v>2987</v>
      </c>
      <c r="E46" s="4" t="s">
        <v>2988</v>
      </c>
      <c r="F46" s="4" t="s">
        <v>2987</v>
      </c>
    </row>
    <row r="47" spans="1:6" ht="14.4" thickBot="1" x14ac:dyDescent="0.35">
      <c r="A47" s="4" t="s">
        <v>469</v>
      </c>
      <c r="B47" s="4" t="s">
        <v>470</v>
      </c>
      <c r="C47" s="4" t="s">
        <v>469</v>
      </c>
      <c r="D47" s="4" t="s">
        <v>2902</v>
      </c>
      <c r="E47" s="4" t="s">
        <v>2903</v>
      </c>
      <c r="F47" s="4" t="s">
        <v>2902</v>
      </c>
    </row>
    <row r="48" spans="1:6" ht="14.4" thickBot="1" x14ac:dyDescent="0.35">
      <c r="A48" s="4" t="s">
        <v>469</v>
      </c>
      <c r="B48" s="4" t="s">
        <v>470</v>
      </c>
      <c r="C48" s="4" t="s">
        <v>469</v>
      </c>
      <c r="D48" s="4" t="s">
        <v>2910</v>
      </c>
      <c r="E48" s="4" t="s">
        <v>2911</v>
      </c>
      <c r="F48" s="4" t="s">
        <v>2910</v>
      </c>
    </row>
    <row r="49" spans="1:6" ht="14.4" thickBot="1" x14ac:dyDescent="0.35">
      <c r="A49" s="4" t="s">
        <v>469</v>
      </c>
      <c r="B49" s="4" t="s">
        <v>470</v>
      </c>
      <c r="C49" s="4" t="s">
        <v>469</v>
      </c>
      <c r="D49" s="4" t="s">
        <v>2993</v>
      </c>
      <c r="E49" s="4" t="s">
        <v>2994</v>
      </c>
      <c r="F49" s="4" t="s">
        <v>2993</v>
      </c>
    </row>
    <row r="50" spans="1:6" ht="14.4" thickBot="1" x14ac:dyDescent="0.35">
      <c r="A50" s="4" t="s">
        <v>469</v>
      </c>
      <c r="B50" s="4" t="s">
        <v>470</v>
      </c>
      <c r="C50" s="4" t="s">
        <v>469</v>
      </c>
      <c r="D50" s="4" t="s">
        <v>2991</v>
      </c>
      <c r="E50" s="4" t="s">
        <v>2992</v>
      </c>
      <c r="F50" s="4" t="s">
        <v>2991</v>
      </c>
    </row>
    <row r="51" spans="1:6" ht="14.4" thickBot="1" x14ac:dyDescent="0.35">
      <c r="A51" s="4" t="s">
        <v>469</v>
      </c>
      <c r="B51" s="4" t="s">
        <v>470</v>
      </c>
      <c r="C51" s="4" t="s">
        <v>469</v>
      </c>
      <c r="D51" s="4" t="s">
        <v>5871</v>
      </c>
      <c r="E51" s="4" t="s">
        <v>5872</v>
      </c>
      <c r="F51" s="4" t="s">
        <v>5871</v>
      </c>
    </row>
    <row r="52" spans="1:6" ht="14.4" thickBot="1" x14ac:dyDescent="0.35">
      <c r="A52" s="4" t="s">
        <v>469</v>
      </c>
      <c r="B52" s="4" t="s">
        <v>470</v>
      </c>
      <c r="C52" s="4" t="s">
        <v>469</v>
      </c>
      <c r="D52" s="4" t="s">
        <v>2989</v>
      </c>
      <c r="E52" s="4" t="s">
        <v>2990</v>
      </c>
      <c r="F52" s="4" t="s">
        <v>2989</v>
      </c>
    </row>
    <row r="53" spans="1:6" ht="14.4" thickBot="1" x14ac:dyDescent="0.35">
      <c r="A53" s="4" t="s">
        <v>469</v>
      </c>
      <c r="B53" s="4" t="s">
        <v>470</v>
      </c>
      <c r="C53" s="4" t="s">
        <v>469</v>
      </c>
      <c r="D53" s="4" t="s">
        <v>1390</v>
      </c>
      <c r="E53" s="4" t="s">
        <v>1391</v>
      </c>
      <c r="F53" s="4" t="s">
        <v>1390</v>
      </c>
    </row>
    <row r="54" spans="1:6" ht="14.4" thickBot="1" x14ac:dyDescent="0.35">
      <c r="A54" s="4" t="s">
        <v>469</v>
      </c>
      <c r="B54" s="4" t="s">
        <v>470</v>
      </c>
      <c r="C54" s="4" t="s">
        <v>469</v>
      </c>
      <c r="D54" s="4" t="s">
        <v>2908</v>
      </c>
      <c r="E54" s="4" t="s">
        <v>2909</v>
      </c>
      <c r="F54" s="4" t="s">
        <v>2908</v>
      </c>
    </row>
    <row r="55" spans="1:6" ht="14.4" thickBot="1" x14ac:dyDescent="0.35">
      <c r="A55" s="4" t="s">
        <v>469</v>
      </c>
      <c r="B55" s="4" t="s">
        <v>470</v>
      </c>
      <c r="C55" s="4" t="s">
        <v>469</v>
      </c>
      <c r="D55" s="4" t="s">
        <v>2900</v>
      </c>
      <c r="E55" s="4" t="s">
        <v>2901</v>
      </c>
      <c r="F55" s="4" t="s">
        <v>2900</v>
      </c>
    </row>
    <row r="56" spans="1:6" ht="14.4" thickBot="1" x14ac:dyDescent="0.35">
      <c r="A56" s="4" t="s">
        <v>469</v>
      </c>
      <c r="B56" s="4" t="s">
        <v>470</v>
      </c>
      <c r="C56" s="4" t="s">
        <v>469</v>
      </c>
      <c r="D56" s="4" t="s">
        <v>3727</v>
      </c>
      <c r="E56" s="4" t="s">
        <v>3728</v>
      </c>
      <c r="F56" s="4" t="s">
        <v>3727</v>
      </c>
    </row>
    <row r="57" spans="1:6" ht="14.4" thickBot="1" x14ac:dyDescent="0.35">
      <c r="A57" s="4" t="s">
        <v>469</v>
      </c>
      <c r="B57" s="4" t="s">
        <v>470</v>
      </c>
      <c r="C57" s="4" t="s">
        <v>469</v>
      </c>
      <c r="D57" s="4" t="s">
        <v>3651</v>
      </c>
      <c r="E57" s="4" t="s">
        <v>3652</v>
      </c>
      <c r="F57" s="4" t="s">
        <v>3651</v>
      </c>
    </row>
    <row r="58" spans="1:6" ht="14.4" thickBot="1" x14ac:dyDescent="0.35">
      <c r="A58" s="4" t="s">
        <v>469</v>
      </c>
      <c r="B58" s="4" t="s">
        <v>470</v>
      </c>
      <c r="C58" s="4" t="s">
        <v>469</v>
      </c>
      <c r="D58" s="4" t="s">
        <v>1515</v>
      </c>
      <c r="E58" s="4" t="s">
        <v>1516</v>
      </c>
      <c r="F58" s="4" t="s">
        <v>1515</v>
      </c>
    </row>
    <row r="59" spans="1:6" ht="14.4" thickBot="1" x14ac:dyDescent="0.35">
      <c r="A59" s="4" t="s">
        <v>469</v>
      </c>
      <c r="B59" s="4" t="s">
        <v>470</v>
      </c>
      <c r="C59" s="4" t="s">
        <v>469</v>
      </c>
      <c r="D59" s="4" t="s">
        <v>2246</v>
      </c>
      <c r="E59" s="4" t="s">
        <v>2247</v>
      </c>
      <c r="F59" s="4" t="s">
        <v>2246</v>
      </c>
    </row>
    <row r="60" spans="1:6" ht="14.4" thickBot="1" x14ac:dyDescent="0.35">
      <c r="A60" s="4" t="s">
        <v>469</v>
      </c>
      <c r="B60" s="4" t="s">
        <v>470</v>
      </c>
      <c r="C60" s="4" t="s">
        <v>469</v>
      </c>
      <c r="D60" s="4" t="s">
        <v>5869</v>
      </c>
      <c r="E60" s="4" t="s">
        <v>5870</v>
      </c>
      <c r="F60" s="4" t="s">
        <v>5869</v>
      </c>
    </row>
    <row r="61" spans="1:6" ht="14.4" thickBot="1" x14ac:dyDescent="0.35">
      <c r="A61" s="4" t="s">
        <v>469</v>
      </c>
      <c r="B61" s="4" t="s">
        <v>470</v>
      </c>
      <c r="C61" s="4" t="s">
        <v>469</v>
      </c>
      <c r="D61" s="4" t="s">
        <v>2244</v>
      </c>
      <c r="E61" s="4" t="s">
        <v>2245</v>
      </c>
      <c r="F61" s="4" t="s">
        <v>2244</v>
      </c>
    </row>
    <row r="62" spans="1:6" ht="14.4" thickBot="1" x14ac:dyDescent="0.35">
      <c r="A62" s="4" t="s">
        <v>469</v>
      </c>
      <c r="B62" s="4" t="s">
        <v>470</v>
      </c>
      <c r="C62" s="4" t="s">
        <v>469</v>
      </c>
      <c r="D62" s="4" t="s">
        <v>5122</v>
      </c>
      <c r="E62" s="4" t="s">
        <v>5123</v>
      </c>
      <c r="F62" s="4" t="s">
        <v>5122</v>
      </c>
    </row>
    <row r="63" spans="1:6" ht="14.4" thickBot="1" x14ac:dyDescent="0.35">
      <c r="A63" s="4" t="s">
        <v>469</v>
      </c>
      <c r="B63" s="4" t="s">
        <v>470</v>
      </c>
      <c r="C63" s="4" t="s">
        <v>469</v>
      </c>
      <c r="D63" s="4" t="s">
        <v>4429</v>
      </c>
      <c r="E63" s="4" t="s">
        <v>4430</v>
      </c>
      <c r="F63" s="4" t="s">
        <v>4429</v>
      </c>
    </row>
    <row r="64" spans="1:6" ht="14.4" thickBot="1" x14ac:dyDescent="0.35">
      <c r="A64" s="4" t="s">
        <v>469</v>
      </c>
      <c r="B64" s="4" t="s">
        <v>470</v>
      </c>
      <c r="C64" s="4" t="s">
        <v>469</v>
      </c>
      <c r="D64" s="4" t="s">
        <v>5793</v>
      </c>
      <c r="E64" s="4" t="s">
        <v>5794</v>
      </c>
      <c r="F64" s="4" t="s">
        <v>5793</v>
      </c>
    </row>
    <row r="65" spans="1:6" ht="14.4" thickBot="1" x14ac:dyDescent="0.35">
      <c r="A65" s="4" t="s">
        <v>469</v>
      </c>
      <c r="B65" s="4" t="s">
        <v>470</v>
      </c>
      <c r="C65" s="4" t="s">
        <v>469</v>
      </c>
      <c r="D65" s="4" t="s">
        <v>2173</v>
      </c>
      <c r="E65" s="4" t="s">
        <v>2174</v>
      </c>
      <c r="F65" s="4" t="s">
        <v>2173</v>
      </c>
    </row>
    <row r="66" spans="1:6" ht="14.4" thickBot="1" x14ac:dyDescent="0.35">
      <c r="A66" s="4" t="s">
        <v>469</v>
      </c>
      <c r="B66" s="4" t="s">
        <v>470</v>
      </c>
      <c r="C66" s="4" t="s">
        <v>469</v>
      </c>
      <c r="D66" s="4" t="s">
        <v>2896</v>
      </c>
      <c r="E66" s="4" t="s">
        <v>2897</v>
      </c>
      <c r="F66" s="4" t="s">
        <v>2896</v>
      </c>
    </row>
    <row r="67" spans="1:6" ht="14.4" thickBot="1" x14ac:dyDescent="0.35">
      <c r="A67" s="4" t="s">
        <v>469</v>
      </c>
      <c r="B67" s="4" t="s">
        <v>470</v>
      </c>
      <c r="C67" s="4" t="s">
        <v>469</v>
      </c>
      <c r="D67" s="4" t="s">
        <v>3655</v>
      </c>
      <c r="E67" s="4" t="s">
        <v>3656</v>
      </c>
      <c r="F67" s="4" t="s">
        <v>3655</v>
      </c>
    </row>
    <row r="68" spans="1:6" ht="14.4" thickBot="1" x14ac:dyDescent="0.35">
      <c r="A68" s="4" t="s">
        <v>469</v>
      </c>
      <c r="B68" s="4" t="s">
        <v>470</v>
      </c>
      <c r="C68" s="4" t="s">
        <v>469</v>
      </c>
      <c r="D68" s="4" t="s">
        <v>5190</v>
      </c>
      <c r="E68" s="4" t="s">
        <v>5191</v>
      </c>
      <c r="F68" s="4" t="s">
        <v>5190</v>
      </c>
    </row>
    <row r="69" spans="1:6" ht="14.4" thickBot="1" x14ac:dyDescent="0.35">
      <c r="A69" s="4" t="s">
        <v>469</v>
      </c>
      <c r="B69" s="4" t="s">
        <v>470</v>
      </c>
      <c r="C69" s="4" t="s">
        <v>469</v>
      </c>
      <c r="D69" s="4" t="s">
        <v>2898</v>
      </c>
      <c r="E69" s="4" t="s">
        <v>2899</v>
      </c>
      <c r="F69" s="4" t="s">
        <v>2898</v>
      </c>
    </row>
    <row r="70" spans="1:6" ht="14.4" thickBot="1" x14ac:dyDescent="0.35">
      <c r="A70" s="4" t="s">
        <v>469</v>
      </c>
      <c r="B70" s="4" t="s">
        <v>470</v>
      </c>
      <c r="C70" s="4" t="s">
        <v>469</v>
      </c>
      <c r="D70" s="4" t="s">
        <v>2168</v>
      </c>
      <c r="E70" s="4" t="s">
        <v>1309</v>
      </c>
      <c r="F70" s="4" t="s">
        <v>2168</v>
      </c>
    </row>
    <row r="71" spans="1:6" ht="14.4" thickBot="1" x14ac:dyDescent="0.35">
      <c r="A71" s="4" t="s">
        <v>469</v>
      </c>
      <c r="B71" s="4" t="s">
        <v>470</v>
      </c>
      <c r="C71" s="4" t="s">
        <v>469</v>
      </c>
      <c r="D71" s="4" t="s">
        <v>5797</v>
      </c>
      <c r="E71" s="4" t="s">
        <v>5798</v>
      </c>
      <c r="F71" s="4" t="s">
        <v>5797</v>
      </c>
    </row>
    <row r="72" spans="1:6" ht="14.4" thickBot="1" x14ac:dyDescent="0.35">
      <c r="A72" s="4" t="s">
        <v>469</v>
      </c>
      <c r="B72" s="4" t="s">
        <v>470</v>
      </c>
      <c r="C72" s="4" t="s">
        <v>469</v>
      </c>
      <c r="D72" s="4" t="s">
        <v>5120</v>
      </c>
      <c r="E72" s="4" t="s">
        <v>5121</v>
      </c>
      <c r="F72" s="4" t="s">
        <v>5120</v>
      </c>
    </row>
    <row r="73" spans="1:6" ht="14.4" thickBot="1" x14ac:dyDescent="0.35">
      <c r="A73" s="4" t="s">
        <v>469</v>
      </c>
      <c r="B73" s="4" t="s">
        <v>470</v>
      </c>
      <c r="C73" s="4" t="s">
        <v>469</v>
      </c>
      <c r="D73" s="4" t="s">
        <v>2171</v>
      </c>
      <c r="E73" s="4" t="s">
        <v>2172</v>
      </c>
      <c r="F73" s="4" t="s">
        <v>2171</v>
      </c>
    </row>
    <row r="74" spans="1:6" ht="14.4" thickBot="1" x14ac:dyDescent="0.35">
      <c r="A74" s="4" t="s">
        <v>469</v>
      </c>
      <c r="B74" s="4" t="s">
        <v>470</v>
      </c>
      <c r="C74" s="4" t="s">
        <v>469</v>
      </c>
      <c r="D74" s="4" t="s">
        <v>5118</v>
      </c>
      <c r="E74" s="4" t="s">
        <v>5119</v>
      </c>
      <c r="F74" s="4" t="s">
        <v>5118</v>
      </c>
    </row>
    <row r="75" spans="1:6" ht="14.4" thickBot="1" x14ac:dyDescent="0.35">
      <c r="A75" s="4" t="s">
        <v>469</v>
      </c>
      <c r="B75" s="4" t="s">
        <v>470</v>
      </c>
      <c r="C75" s="4" t="s">
        <v>469</v>
      </c>
      <c r="D75" s="4" t="s">
        <v>1393</v>
      </c>
      <c r="E75" s="4" t="s">
        <v>1394</v>
      </c>
      <c r="F75" s="4" t="s">
        <v>1393</v>
      </c>
    </row>
    <row r="76" spans="1:6" ht="14.4" thickBot="1" x14ac:dyDescent="0.35">
      <c r="A76" s="4" t="s">
        <v>469</v>
      </c>
      <c r="B76" s="4" t="s">
        <v>470</v>
      </c>
      <c r="C76" s="4" t="s">
        <v>469</v>
      </c>
      <c r="D76" s="4" t="s">
        <v>5867</v>
      </c>
      <c r="E76" s="4" t="s">
        <v>5868</v>
      </c>
      <c r="F76" s="4" t="s">
        <v>5867</v>
      </c>
    </row>
    <row r="77" spans="1:6" ht="14.4" thickBot="1" x14ac:dyDescent="0.35">
      <c r="A77" s="4" t="s">
        <v>469</v>
      </c>
      <c r="B77" s="4" t="s">
        <v>470</v>
      </c>
      <c r="C77" s="4" t="s">
        <v>469</v>
      </c>
      <c r="D77" s="4" t="s">
        <v>2891</v>
      </c>
      <c r="E77" s="4" t="s">
        <v>2892</v>
      </c>
      <c r="F77" s="4" t="s">
        <v>2891</v>
      </c>
    </row>
    <row r="78" spans="1:6" ht="14.4" thickBot="1" x14ac:dyDescent="0.35">
      <c r="A78" s="4" t="s">
        <v>469</v>
      </c>
      <c r="B78" s="4" t="s">
        <v>470</v>
      </c>
      <c r="C78" s="4" t="s">
        <v>469</v>
      </c>
      <c r="D78" s="4" t="s">
        <v>5789</v>
      </c>
      <c r="E78" s="4" t="s">
        <v>5790</v>
      </c>
      <c r="F78" s="4" t="s">
        <v>5789</v>
      </c>
    </row>
    <row r="79" spans="1:6" ht="14.4" thickBot="1" x14ac:dyDescent="0.35">
      <c r="A79" s="4" t="s">
        <v>469</v>
      </c>
      <c r="B79" s="4" t="s">
        <v>470</v>
      </c>
      <c r="C79" s="4" t="s">
        <v>469</v>
      </c>
      <c r="D79" s="4" t="s">
        <v>1392</v>
      </c>
      <c r="E79" s="4" t="s">
        <v>517</v>
      </c>
      <c r="F79" s="4" t="s">
        <v>1392</v>
      </c>
    </row>
    <row r="80" spans="1:6" ht="14.4" thickBot="1" x14ac:dyDescent="0.35">
      <c r="A80" s="4" t="s">
        <v>469</v>
      </c>
      <c r="B80" s="4" t="s">
        <v>470</v>
      </c>
      <c r="C80" s="4" t="s">
        <v>469</v>
      </c>
      <c r="D80" s="4" t="s">
        <v>575</v>
      </c>
      <c r="E80" s="4" t="s">
        <v>576</v>
      </c>
      <c r="F80" s="4" t="s">
        <v>575</v>
      </c>
    </row>
    <row r="81" spans="1:6" ht="14.4" thickBot="1" x14ac:dyDescent="0.35">
      <c r="A81" s="4" t="s">
        <v>469</v>
      </c>
      <c r="B81" s="4" t="s">
        <v>470</v>
      </c>
      <c r="C81" s="4" t="s">
        <v>469</v>
      </c>
      <c r="D81" s="4" t="s">
        <v>1388</v>
      </c>
      <c r="E81" s="4" t="s">
        <v>1389</v>
      </c>
      <c r="F81" s="4" t="s">
        <v>1388</v>
      </c>
    </row>
    <row r="82" spans="1:6" ht="14.4" thickBot="1" x14ac:dyDescent="0.35">
      <c r="A82" s="4" t="s">
        <v>469</v>
      </c>
      <c r="B82" s="4" t="s">
        <v>470</v>
      </c>
      <c r="C82" s="4" t="s">
        <v>469</v>
      </c>
      <c r="D82" s="4" t="s">
        <v>2166</v>
      </c>
      <c r="E82" s="4" t="s">
        <v>2167</v>
      </c>
      <c r="F82" s="4" t="s">
        <v>2166</v>
      </c>
    </row>
    <row r="83" spans="1:6" ht="14.4" thickBot="1" x14ac:dyDescent="0.35">
      <c r="A83" s="4" t="s">
        <v>469</v>
      </c>
      <c r="B83" s="4" t="s">
        <v>470</v>
      </c>
      <c r="C83" s="4" t="s">
        <v>469</v>
      </c>
      <c r="D83" s="4" t="s">
        <v>2894</v>
      </c>
      <c r="E83" s="4" t="s">
        <v>2895</v>
      </c>
      <c r="F83" s="4" t="s">
        <v>2894</v>
      </c>
    </row>
    <row r="84" spans="1:6" ht="14.4" thickBot="1" x14ac:dyDescent="0.35">
      <c r="A84" s="4" t="s">
        <v>469</v>
      </c>
      <c r="B84" s="4" t="s">
        <v>470</v>
      </c>
      <c r="C84" s="4" t="s">
        <v>469</v>
      </c>
      <c r="D84" s="4" t="s">
        <v>4421</v>
      </c>
      <c r="E84" s="4" t="s">
        <v>4422</v>
      </c>
      <c r="F84" s="4" t="s">
        <v>4421</v>
      </c>
    </row>
    <row r="85" spans="1:6" ht="14.4" thickBot="1" x14ac:dyDescent="0.35">
      <c r="A85" s="4" t="s">
        <v>469</v>
      </c>
      <c r="B85" s="4" t="s">
        <v>470</v>
      </c>
      <c r="C85" s="4" t="s">
        <v>469</v>
      </c>
      <c r="D85" s="4" t="s">
        <v>1386</v>
      </c>
      <c r="E85" s="4" t="s">
        <v>1387</v>
      </c>
      <c r="F85" s="4" t="s">
        <v>1386</v>
      </c>
    </row>
    <row r="86" spans="1:6" ht="14.4" thickBot="1" x14ac:dyDescent="0.35">
      <c r="A86" s="4" t="s">
        <v>469</v>
      </c>
      <c r="B86" s="4" t="s">
        <v>470</v>
      </c>
      <c r="C86" s="4" t="s">
        <v>469</v>
      </c>
      <c r="D86" s="4" t="s">
        <v>5795</v>
      </c>
      <c r="E86" s="4" t="s">
        <v>5796</v>
      </c>
      <c r="F86" s="4" t="s">
        <v>5795</v>
      </c>
    </row>
    <row r="87" spans="1:6" ht="14.4" thickBot="1" x14ac:dyDescent="0.35">
      <c r="A87" s="4" t="s">
        <v>469</v>
      </c>
      <c r="B87" s="4" t="s">
        <v>470</v>
      </c>
      <c r="C87" s="4" t="s">
        <v>469</v>
      </c>
      <c r="D87" s="4" t="s">
        <v>5192</v>
      </c>
      <c r="E87" s="4" t="s">
        <v>5193</v>
      </c>
      <c r="F87" s="4" t="s">
        <v>5192</v>
      </c>
    </row>
    <row r="88" spans="1:6" ht="14.4" thickBot="1" x14ac:dyDescent="0.35">
      <c r="A88" s="4" t="s">
        <v>469</v>
      </c>
      <c r="B88" s="4" t="s">
        <v>470</v>
      </c>
      <c r="C88" s="4" t="s">
        <v>469</v>
      </c>
      <c r="D88" s="4" t="s">
        <v>577</v>
      </c>
      <c r="E88" s="4" t="s">
        <v>578</v>
      </c>
      <c r="F88" s="4" t="s">
        <v>577</v>
      </c>
    </row>
    <row r="89" spans="1:6" ht="14.4" thickBot="1" x14ac:dyDescent="0.35">
      <c r="A89" s="4" t="s">
        <v>469</v>
      </c>
      <c r="B89" s="4" t="s">
        <v>470</v>
      </c>
      <c r="C89" s="4" t="s">
        <v>469</v>
      </c>
      <c r="D89" s="4" t="s">
        <v>5194</v>
      </c>
      <c r="E89" s="4" t="s">
        <v>5195</v>
      </c>
      <c r="F89" s="4" t="s">
        <v>5194</v>
      </c>
    </row>
    <row r="90" spans="1:6" ht="14.4" thickBot="1" x14ac:dyDescent="0.35">
      <c r="A90" s="4" t="s">
        <v>469</v>
      </c>
      <c r="B90" s="4" t="s">
        <v>470</v>
      </c>
      <c r="C90" s="4" t="s">
        <v>469</v>
      </c>
      <c r="D90" s="4" t="s">
        <v>4511</v>
      </c>
      <c r="E90" s="4" t="s">
        <v>4512</v>
      </c>
      <c r="F90" s="4" t="s">
        <v>4511</v>
      </c>
    </row>
    <row r="91" spans="1:6" ht="14.4" thickBot="1" x14ac:dyDescent="0.35">
      <c r="A91" s="4" t="s">
        <v>469</v>
      </c>
      <c r="B91" s="4" t="s">
        <v>470</v>
      </c>
      <c r="C91" s="4" t="s">
        <v>469</v>
      </c>
      <c r="D91" s="4" t="s">
        <v>5873</v>
      </c>
      <c r="E91" s="4" t="s">
        <v>5874</v>
      </c>
      <c r="F91" s="4" t="s">
        <v>5873</v>
      </c>
    </row>
    <row r="92" spans="1:6" ht="14.4" thickBot="1" x14ac:dyDescent="0.35">
      <c r="A92" s="4" t="s">
        <v>469</v>
      </c>
      <c r="B92" s="4" t="s">
        <v>470</v>
      </c>
      <c r="C92" s="4" t="s">
        <v>469</v>
      </c>
      <c r="D92" s="4" t="s">
        <v>3649</v>
      </c>
      <c r="E92" s="4" t="s">
        <v>3650</v>
      </c>
      <c r="F92" s="4" t="s">
        <v>3649</v>
      </c>
    </row>
    <row r="93" spans="1:6" ht="14.4" thickBot="1" x14ac:dyDescent="0.35">
      <c r="A93" s="4" t="s">
        <v>469</v>
      </c>
      <c r="B93" s="4" t="s">
        <v>470</v>
      </c>
      <c r="C93" s="4" t="s">
        <v>469</v>
      </c>
      <c r="D93" s="4" t="s">
        <v>4425</v>
      </c>
      <c r="E93" s="4" t="s">
        <v>4426</v>
      </c>
      <c r="F93" s="4" t="s">
        <v>4425</v>
      </c>
    </row>
    <row r="94" spans="1:6" ht="14.4" thickBot="1" x14ac:dyDescent="0.35">
      <c r="A94" s="4" t="s">
        <v>469</v>
      </c>
      <c r="B94" s="4" t="s">
        <v>470</v>
      </c>
      <c r="C94" s="4" t="s">
        <v>469</v>
      </c>
      <c r="D94" s="4" t="s">
        <v>3725</v>
      </c>
      <c r="E94" s="4" t="s">
        <v>3726</v>
      </c>
      <c r="F94" s="4" t="s">
        <v>3725</v>
      </c>
    </row>
    <row r="95" spans="1:6" ht="14.4" thickBot="1" x14ac:dyDescent="0.35">
      <c r="A95" s="4" t="s">
        <v>469</v>
      </c>
      <c r="B95" s="4" t="s">
        <v>470</v>
      </c>
      <c r="C95" s="4" t="s">
        <v>469</v>
      </c>
      <c r="D95" s="4" t="s">
        <v>5791</v>
      </c>
      <c r="E95" s="4" t="s">
        <v>5792</v>
      </c>
      <c r="F95" s="4" t="s">
        <v>5791</v>
      </c>
    </row>
    <row r="96" spans="1:6" ht="14.4" thickBot="1" x14ac:dyDescent="0.35">
      <c r="A96" s="4" t="s">
        <v>469</v>
      </c>
      <c r="B96" s="4" t="s">
        <v>470</v>
      </c>
      <c r="C96" s="4" t="s">
        <v>469</v>
      </c>
      <c r="D96" s="4" t="s">
        <v>5126</v>
      </c>
      <c r="E96" s="4" t="s">
        <v>5127</v>
      </c>
      <c r="F96" s="4" t="s">
        <v>5126</v>
      </c>
    </row>
    <row r="97" spans="1:6" ht="14.4" thickBot="1" x14ac:dyDescent="0.35">
      <c r="A97" s="4" t="s">
        <v>469</v>
      </c>
      <c r="B97" s="4" t="s">
        <v>470</v>
      </c>
      <c r="C97" s="4" t="s">
        <v>469</v>
      </c>
      <c r="D97" s="4" t="s">
        <v>5124</v>
      </c>
      <c r="E97" s="4" t="s">
        <v>5125</v>
      </c>
      <c r="F97" s="4" t="s">
        <v>5124</v>
      </c>
    </row>
    <row r="98" spans="1:6" ht="14.4" thickBot="1" x14ac:dyDescent="0.35">
      <c r="A98" s="4" t="s">
        <v>469</v>
      </c>
      <c r="B98" s="4" t="s">
        <v>470</v>
      </c>
      <c r="C98" s="4" t="s">
        <v>469</v>
      </c>
      <c r="D98" s="4" t="s">
        <v>2906</v>
      </c>
      <c r="E98" s="4" t="s">
        <v>2907</v>
      </c>
      <c r="F98" s="4" t="s">
        <v>2906</v>
      </c>
    </row>
    <row r="99" spans="1:6" ht="14.4" thickBot="1" x14ac:dyDescent="0.35">
      <c r="A99" s="4" t="s">
        <v>1646</v>
      </c>
      <c r="B99" s="4" t="s">
        <v>1647</v>
      </c>
      <c r="C99" s="4" t="s">
        <v>1646</v>
      </c>
      <c r="D99" s="4" t="s">
        <v>469</v>
      </c>
      <c r="E99" s="4" t="s">
        <v>2339</v>
      </c>
      <c r="F99" s="4" t="s">
        <v>469</v>
      </c>
    </row>
    <row r="100" spans="1:6" ht="14.4" thickBot="1" x14ac:dyDescent="0.35">
      <c r="A100" s="4" t="s">
        <v>1646</v>
      </c>
      <c r="B100" s="4" t="s">
        <v>1647</v>
      </c>
      <c r="C100" s="4" t="s">
        <v>1646</v>
      </c>
      <c r="D100" s="4" t="s">
        <v>3103</v>
      </c>
      <c r="E100" s="4" t="s">
        <v>3104</v>
      </c>
      <c r="F100" s="4" t="s">
        <v>3103</v>
      </c>
    </row>
    <row r="101" spans="1:6" ht="14.4" thickBot="1" x14ac:dyDescent="0.35">
      <c r="A101" s="4" t="s">
        <v>1646</v>
      </c>
      <c r="B101" s="4" t="s">
        <v>1647</v>
      </c>
      <c r="C101" s="4" t="s">
        <v>1646</v>
      </c>
      <c r="D101" s="4" t="s">
        <v>1652</v>
      </c>
      <c r="E101" s="4" t="s">
        <v>1653</v>
      </c>
      <c r="F101" s="4" t="s">
        <v>1652</v>
      </c>
    </row>
    <row r="102" spans="1:6" ht="14.4" thickBot="1" x14ac:dyDescent="0.35">
      <c r="A102" s="4" t="s">
        <v>1646</v>
      </c>
      <c r="B102" s="4" t="s">
        <v>1647</v>
      </c>
      <c r="C102" s="4" t="s">
        <v>1646</v>
      </c>
      <c r="D102" s="4" t="s">
        <v>6009</v>
      </c>
      <c r="E102" s="4" t="s">
        <v>6010</v>
      </c>
      <c r="F102" s="4" t="s">
        <v>6009</v>
      </c>
    </row>
    <row r="103" spans="1:6" ht="14.4" thickBot="1" x14ac:dyDescent="0.35">
      <c r="A103" s="4" t="s">
        <v>1646</v>
      </c>
      <c r="B103" s="4" t="s">
        <v>1647</v>
      </c>
      <c r="C103" s="4" t="s">
        <v>1646</v>
      </c>
      <c r="D103" s="4" t="s">
        <v>1654</v>
      </c>
      <c r="E103" s="4" t="s">
        <v>1655</v>
      </c>
      <c r="F103" s="4" t="s">
        <v>1654</v>
      </c>
    </row>
    <row r="104" spans="1:6" ht="14.4" thickBot="1" x14ac:dyDescent="0.35">
      <c r="A104" s="4" t="s">
        <v>1646</v>
      </c>
      <c r="B104" s="4" t="s">
        <v>1647</v>
      </c>
      <c r="C104" s="4" t="s">
        <v>1646</v>
      </c>
      <c r="D104" s="4" t="s">
        <v>3102</v>
      </c>
      <c r="E104" s="4" t="s">
        <v>397</v>
      </c>
      <c r="F104" s="4" t="s">
        <v>3102</v>
      </c>
    </row>
    <row r="105" spans="1:6" ht="14.4" thickBot="1" x14ac:dyDescent="0.35">
      <c r="A105" s="4" t="s">
        <v>1646</v>
      </c>
      <c r="B105" s="4" t="s">
        <v>1647</v>
      </c>
      <c r="C105" s="4" t="s">
        <v>1646</v>
      </c>
      <c r="D105" s="4" t="s">
        <v>1648</v>
      </c>
      <c r="E105" s="4" t="s">
        <v>1649</v>
      </c>
      <c r="F105" s="4" t="s">
        <v>1648</v>
      </c>
    </row>
    <row r="106" spans="1:6" ht="14.4" thickBot="1" x14ac:dyDescent="0.35">
      <c r="A106" s="4" t="s">
        <v>1646</v>
      </c>
      <c r="B106" s="4" t="s">
        <v>1647</v>
      </c>
      <c r="C106" s="4" t="s">
        <v>1646</v>
      </c>
      <c r="D106" s="4" t="s">
        <v>6132</v>
      </c>
      <c r="E106" s="4" t="s">
        <v>6133</v>
      </c>
      <c r="F106" s="4" t="s">
        <v>6132</v>
      </c>
    </row>
    <row r="107" spans="1:6" ht="14.4" thickBot="1" x14ac:dyDescent="0.35">
      <c r="A107" s="4" t="s">
        <v>1646</v>
      </c>
      <c r="B107" s="4" t="s">
        <v>1647</v>
      </c>
      <c r="C107" s="4" t="s">
        <v>1646</v>
      </c>
      <c r="D107" s="4" t="s">
        <v>1650</v>
      </c>
      <c r="E107" s="4" t="s">
        <v>1651</v>
      </c>
      <c r="F107" s="4" t="s">
        <v>1650</v>
      </c>
    </row>
    <row r="108" spans="1:6" ht="14.4" thickBot="1" x14ac:dyDescent="0.35">
      <c r="A108" s="4" t="s">
        <v>1646</v>
      </c>
      <c r="B108" s="4" t="s">
        <v>1647</v>
      </c>
      <c r="C108" s="4" t="s">
        <v>1646</v>
      </c>
      <c r="D108" s="4" t="s">
        <v>4621</v>
      </c>
      <c r="E108" s="4" t="s">
        <v>4622</v>
      </c>
      <c r="F108" s="4" t="s">
        <v>4621</v>
      </c>
    </row>
    <row r="109" spans="1:6" ht="14.4" thickBot="1" x14ac:dyDescent="0.35">
      <c r="A109" s="4" t="s">
        <v>1646</v>
      </c>
      <c r="B109" s="4" t="s">
        <v>1647</v>
      </c>
      <c r="C109" s="4" t="s">
        <v>1646</v>
      </c>
      <c r="D109" s="4" t="s">
        <v>3897</v>
      </c>
      <c r="E109" s="4" t="s">
        <v>3898</v>
      </c>
      <c r="F109" s="4" t="s">
        <v>3897</v>
      </c>
    </row>
    <row r="110" spans="1:6" ht="14.4" thickBot="1" x14ac:dyDescent="0.35">
      <c r="A110" s="4" t="s">
        <v>1646</v>
      </c>
      <c r="B110" s="4" t="s">
        <v>1647</v>
      </c>
      <c r="C110" s="4" t="s">
        <v>1646</v>
      </c>
      <c r="D110" s="4" t="s">
        <v>6007</v>
      </c>
      <c r="E110" s="4" t="s">
        <v>6008</v>
      </c>
      <c r="F110" s="4" t="s">
        <v>6007</v>
      </c>
    </row>
    <row r="111" spans="1:6" ht="14.4" thickBot="1" x14ac:dyDescent="0.35">
      <c r="A111" s="4" t="s">
        <v>1646</v>
      </c>
      <c r="B111" s="4" t="s">
        <v>1647</v>
      </c>
      <c r="C111" s="4" t="s">
        <v>1646</v>
      </c>
      <c r="D111" s="4" t="s">
        <v>3232</v>
      </c>
      <c r="E111" s="4" t="s">
        <v>3233</v>
      </c>
      <c r="F111" s="4" t="s">
        <v>3232</v>
      </c>
    </row>
    <row r="112" spans="1:6" ht="14.4" thickBot="1" x14ac:dyDescent="0.35">
      <c r="A112" s="4" t="s">
        <v>1646</v>
      </c>
      <c r="B112" s="4" t="s">
        <v>1647</v>
      </c>
      <c r="C112" s="4" t="s">
        <v>1646</v>
      </c>
      <c r="D112" s="4" t="s">
        <v>4625</v>
      </c>
      <c r="E112" s="4" t="s">
        <v>4626</v>
      </c>
      <c r="F112" s="4" t="s">
        <v>4625</v>
      </c>
    </row>
    <row r="113" spans="1:6" ht="14.4" thickBot="1" x14ac:dyDescent="0.35">
      <c r="A113" s="4" t="s">
        <v>1646</v>
      </c>
      <c r="B113" s="4" t="s">
        <v>1647</v>
      </c>
      <c r="C113" s="4" t="s">
        <v>1646</v>
      </c>
      <c r="D113" s="4" t="s">
        <v>4623</v>
      </c>
      <c r="E113" s="4" t="s">
        <v>4624</v>
      </c>
      <c r="F113" s="4" t="s">
        <v>4623</v>
      </c>
    </row>
    <row r="114" spans="1:6" ht="14.4" thickBot="1" x14ac:dyDescent="0.35">
      <c r="A114" s="4" t="s">
        <v>473</v>
      </c>
      <c r="B114" s="4" t="s">
        <v>474</v>
      </c>
      <c r="C114" s="4" t="s">
        <v>473</v>
      </c>
      <c r="D114" s="4" t="s">
        <v>5134</v>
      </c>
      <c r="E114" s="4" t="s">
        <v>5135</v>
      </c>
      <c r="F114" s="4" t="s">
        <v>5134</v>
      </c>
    </row>
    <row r="115" spans="1:6" ht="14.4" thickBot="1" x14ac:dyDescent="0.35">
      <c r="A115" s="4" t="s">
        <v>473</v>
      </c>
      <c r="B115" s="4" t="s">
        <v>474</v>
      </c>
      <c r="C115" s="4" t="s">
        <v>473</v>
      </c>
      <c r="D115" s="4" t="s">
        <v>3662</v>
      </c>
      <c r="E115" s="4" t="s">
        <v>3663</v>
      </c>
      <c r="F115" s="4" t="s">
        <v>3662</v>
      </c>
    </row>
    <row r="116" spans="1:6" ht="14.4" thickBot="1" x14ac:dyDescent="0.35">
      <c r="A116" s="4" t="s">
        <v>473</v>
      </c>
      <c r="B116" s="4" t="s">
        <v>474</v>
      </c>
      <c r="C116" s="4" t="s">
        <v>473</v>
      </c>
      <c r="D116" s="4" t="s">
        <v>2923</v>
      </c>
      <c r="E116" s="4" t="s">
        <v>2924</v>
      </c>
      <c r="F116" s="4" t="s">
        <v>2923</v>
      </c>
    </row>
    <row r="117" spans="1:6" ht="14.4" thickBot="1" x14ac:dyDescent="0.35">
      <c r="A117" s="4" t="s">
        <v>473</v>
      </c>
      <c r="B117" s="4" t="s">
        <v>474</v>
      </c>
      <c r="C117" s="4" t="s">
        <v>473</v>
      </c>
      <c r="D117" s="4" t="s">
        <v>1401</v>
      </c>
      <c r="E117" s="4" t="s">
        <v>1402</v>
      </c>
      <c r="F117" s="4" t="s">
        <v>1401</v>
      </c>
    </row>
    <row r="118" spans="1:6" ht="14.4" thickBot="1" x14ac:dyDescent="0.35">
      <c r="A118" s="4" t="s">
        <v>473</v>
      </c>
      <c r="B118" s="4" t="s">
        <v>474</v>
      </c>
      <c r="C118" s="4" t="s">
        <v>473</v>
      </c>
      <c r="D118" s="4" t="s">
        <v>2179</v>
      </c>
      <c r="E118" s="4" t="s">
        <v>2180</v>
      </c>
      <c r="F118" s="4" t="s">
        <v>2179</v>
      </c>
    </row>
    <row r="119" spans="1:6" ht="14.4" thickBot="1" x14ac:dyDescent="0.35">
      <c r="A119" s="4" t="s">
        <v>473</v>
      </c>
      <c r="B119" s="4" t="s">
        <v>474</v>
      </c>
      <c r="C119" s="4" t="s">
        <v>473</v>
      </c>
      <c r="D119" s="4" t="s">
        <v>5804</v>
      </c>
      <c r="E119" s="4" t="s">
        <v>5805</v>
      </c>
      <c r="F119" s="4" t="s">
        <v>5804</v>
      </c>
    </row>
    <row r="120" spans="1:6" ht="14.4" thickBot="1" x14ac:dyDescent="0.35">
      <c r="A120" s="4" t="s">
        <v>473</v>
      </c>
      <c r="B120" s="4" t="s">
        <v>474</v>
      </c>
      <c r="C120" s="4" t="s">
        <v>473</v>
      </c>
      <c r="D120" s="4" t="s">
        <v>3729</v>
      </c>
      <c r="E120" s="4" t="s">
        <v>3730</v>
      </c>
      <c r="F120" s="4" t="s">
        <v>3729</v>
      </c>
    </row>
    <row r="121" spans="1:6" ht="14.4" thickBot="1" x14ac:dyDescent="0.35">
      <c r="A121" s="4" t="s">
        <v>473</v>
      </c>
      <c r="B121" s="4" t="s">
        <v>474</v>
      </c>
      <c r="C121" s="4" t="s">
        <v>473</v>
      </c>
      <c r="D121" s="4" t="s">
        <v>1397</v>
      </c>
      <c r="E121" s="4" t="s">
        <v>1398</v>
      </c>
      <c r="F121" s="4" t="s">
        <v>1397</v>
      </c>
    </row>
    <row r="122" spans="1:6" ht="14.4" thickBot="1" x14ac:dyDescent="0.35">
      <c r="A122" s="4" t="s">
        <v>473</v>
      </c>
      <c r="B122" s="4" t="s">
        <v>474</v>
      </c>
      <c r="C122" s="4" t="s">
        <v>473</v>
      </c>
      <c r="D122" s="4" t="s">
        <v>475</v>
      </c>
      <c r="E122" s="4" t="s">
        <v>476</v>
      </c>
      <c r="F122" s="4" t="s">
        <v>475</v>
      </c>
    </row>
    <row r="123" spans="1:6" ht="14.4" thickBot="1" x14ac:dyDescent="0.35">
      <c r="A123" s="4" t="s">
        <v>473</v>
      </c>
      <c r="B123" s="4" t="s">
        <v>474</v>
      </c>
      <c r="C123" s="4" t="s">
        <v>473</v>
      </c>
      <c r="D123" s="4" t="s">
        <v>579</v>
      </c>
      <c r="E123" s="4" t="s">
        <v>580</v>
      </c>
      <c r="F123" s="4" t="s">
        <v>579</v>
      </c>
    </row>
    <row r="124" spans="1:6" ht="14.4" thickBot="1" x14ac:dyDescent="0.35">
      <c r="A124" s="4" t="s">
        <v>473</v>
      </c>
      <c r="B124" s="4" t="s">
        <v>474</v>
      </c>
      <c r="C124" s="4" t="s">
        <v>473</v>
      </c>
      <c r="D124" s="4" t="s">
        <v>1519</v>
      </c>
      <c r="E124" s="4" t="s">
        <v>1520</v>
      </c>
      <c r="F124" s="4" t="s">
        <v>1519</v>
      </c>
    </row>
    <row r="125" spans="1:6" ht="14.4" thickBot="1" x14ac:dyDescent="0.35">
      <c r="A125" s="4" t="s">
        <v>473</v>
      </c>
      <c r="B125" s="4" t="s">
        <v>474</v>
      </c>
      <c r="C125" s="4" t="s">
        <v>473</v>
      </c>
      <c r="D125" s="4" t="s">
        <v>5877</v>
      </c>
      <c r="E125" s="4" t="s">
        <v>5878</v>
      </c>
      <c r="F125" s="4" t="s">
        <v>5877</v>
      </c>
    </row>
    <row r="126" spans="1:6" ht="14.4" thickBot="1" x14ac:dyDescent="0.35">
      <c r="A126" s="4" t="s">
        <v>473</v>
      </c>
      <c r="B126" s="4" t="s">
        <v>474</v>
      </c>
      <c r="C126" s="4" t="s">
        <v>473</v>
      </c>
      <c r="D126" s="4" t="s">
        <v>5875</v>
      </c>
      <c r="E126" s="4" t="s">
        <v>5876</v>
      </c>
      <c r="F126" s="4" t="s">
        <v>5875</v>
      </c>
    </row>
    <row r="127" spans="1:6" ht="14.4" thickBot="1" x14ac:dyDescent="0.35">
      <c r="A127" s="4" t="s">
        <v>473</v>
      </c>
      <c r="B127" s="4" t="s">
        <v>474</v>
      </c>
      <c r="C127" s="4" t="s">
        <v>473</v>
      </c>
      <c r="D127" s="4" t="s">
        <v>4435</v>
      </c>
      <c r="E127" s="4" t="s">
        <v>4436</v>
      </c>
      <c r="F127" s="4" t="s">
        <v>4435</v>
      </c>
    </row>
    <row r="128" spans="1:6" ht="14.4" thickBot="1" x14ac:dyDescent="0.35">
      <c r="A128" s="4" t="s">
        <v>473</v>
      </c>
      <c r="B128" s="4" t="s">
        <v>474</v>
      </c>
      <c r="C128" s="4" t="s">
        <v>473</v>
      </c>
      <c r="D128" s="4" t="s">
        <v>5800</v>
      </c>
      <c r="E128" s="4" t="s">
        <v>5801</v>
      </c>
      <c r="F128" s="4" t="s">
        <v>5800</v>
      </c>
    </row>
    <row r="129" spans="1:6" ht="14.4" thickBot="1" x14ac:dyDescent="0.35">
      <c r="A129" s="4" t="s">
        <v>473</v>
      </c>
      <c r="B129" s="4" t="s">
        <v>474</v>
      </c>
      <c r="C129" s="4" t="s">
        <v>473</v>
      </c>
      <c r="D129" s="4" t="s">
        <v>2921</v>
      </c>
      <c r="E129" s="4" t="s">
        <v>2922</v>
      </c>
      <c r="F129" s="4" t="s">
        <v>2921</v>
      </c>
    </row>
    <row r="130" spans="1:6" ht="14.4" thickBot="1" x14ac:dyDescent="0.35">
      <c r="A130" s="4" t="s">
        <v>473</v>
      </c>
      <c r="B130" s="4" t="s">
        <v>474</v>
      </c>
      <c r="C130" s="4" t="s">
        <v>473</v>
      </c>
      <c r="D130" s="4" t="s">
        <v>5812</v>
      </c>
      <c r="E130" s="4" t="s">
        <v>3951</v>
      </c>
      <c r="F130" s="4" t="s">
        <v>5812</v>
      </c>
    </row>
    <row r="131" spans="1:6" ht="14.4" thickBot="1" x14ac:dyDescent="0.35">
      <c r="A131" s="4" t="s">
        <v>473</v>
      </c>
      <c r="B131" s="4" t="s">
        <v>474</v>
      </c>
      <c r="C131" s="4" t="s">
        <v>473</v>
      </c>
      <c r="D131" s="4" t="s">
        <v>3664</v>
      </c>
      <c r="E131" s="4" t="s">
        <v>3665</v>
      </c>
      <c r="F131" s="4" t="s">
        <v>3664</v>
      </c>
    </row>
    <row r="132" spans="1:6" ht="14.4" thickBot="1" x14ac:dyDescent="0.35">
      <c r="A132" s="4" t="s">
        <v>473</v>
      </c>
      <c r="B132" s="4" t="s">
        <v>474</v>
      </c>
      <c r="C132" s="4" t="s">
        <v>473</v>
      </c>
      <c r="D132" s="4" t="s">
        <v>5132</v>
      </c>
      <c r="E132" s="4" t="s">
        <v>5133</v>
      </c>
      <c r="F132" s="4" t="s">
        <v>5132</v>
      </c>
    </row>
    <row r="133" spans="1:6" ht="14.4" thickBot="1" x14ac:dyDescent="0.35">
      <c r="A133" s="4" t="s">
        <v>473</v>
      </c>
      <c r="B133" s="4" t="s">
        <v>474</v>
      </c>
      <c r="C133" s="4" t="s">
        <v>473</v>
      </c>
      <c r="D133" s="4" t="s">
        <v>2917</v>
      </c>
      <c r="E133" s="4" t="s">
        <v>2918</v>
      </c>
      <c r="F133" s="4" t="s">
        <v>2917</v>
      </c>
    </row>
    <row r="134" spans="1:6" ht="14.4" thickBot="1" x14ac:dyDescent="0.35">
      <c r="A134" s="4" t="s">
        <v>473</v>
      </c>
      <c r="B134" s="4" t="s">
        <v>474</v>
      </c>
      <c r="C134" s="4" t="s">
        <v>473</v>
      </c>
      <c r="D134" s="4" t="s">
        <v>1517</v>
      </c>
      <c r="E134" s="4" t="s">
        <v>1518</v>
      </c>
      <c r="F134" s="4" t="s">
        <v>1517</v>
      </c>
    </row>
    <row r="135" spans="1:6" ht="14.4" thickBot="1" x14ac:dyDescent="0.35">
      <c r="A135" s="4" t="s">
        <v>473</v>
      </c>
      <c r="B135" s="4" t="s">
        <v>474</v>
      </c>
      <c r="C135" s="4" t="s">
        <v>473</v>
      </c>
      <c r="D135" s="4" t="s">
        <v>5806</v>
      </c>
      <c r="E135" s="4" t="s">
        <v>5807</v>
      </c>
      <c r="F135" s="4" t="s">
        <v>5806</v>
      </c>
    </row>
    <row r="136" spans="1:6" ht="14.4" thickBot="1" x14ac:dyDescent="0.35">
      <c r="A136" s="4" t="s">
        <v>473</v>
      </c>
      <c r="B136" s="4" t="s">
        <v>474</v>
      </c>
      <c r="C136" s="4" t="s">
        <v>473</v>
      </c>
      <c r="D136" s="4" t="s">
        <v>4513</v>
      </c>
      <c r="E136" s="4" t="s">
        <v>4514</v>
      </c>
      <c r="F136" s="4" t="s">
        <v>4513</v>
      </c>
    </row>
    <row r="137" spans="1:6" ht="14.4" thickBot="1" x14ac:dyDescent="0.35">
      <c r="A137" s="4" t="s">
        <v>473</v>
      </c>
      <c r="B137" s="4" t="s">
        <v>474</v>
      </c>
      <c r="C137" s="4" t="s">
        <v>473</v>
      </c>
      <c r="D137" s="4" t="s">
        <v>2915</v>
      </c>
      <c r="E137" s="4" t="s">
        <v>2916</v>
      </c>
      <c r="F137" s="4" t="s">
        <v>2915</v>
      </c>
    </row>
    <row r="138" spans="1:6" ht="14.4" thickBot="1" x14ac:dyDescent="0.35">
      <c r="A138" s="4" t="s">
        <v>473</v>
      </c>
      <c r="B138" s="4" t="s">
        <v>474</v>
      </c>
      <c r="C138" s="4" t="s">
        <v>473</v>
      </c>
      <c r="D138" s="4" t="s">
        <v>3660</v>
      </c>
      <c r="E138" s="4" t="s">
        <v>3661</v>
      </c>
      <c r="F138" s="4" t="s">
        <v>3660</v>
      </c>
    </row>
    <row r="139" spans="1:6" ht="14.4" thickBot="1" x14ac:dyDescent="0.35">
      <c r="A139" s="4" t="s">
        <v>473</v>
      </c>
      <c r="B139" s="4" t="s">
        <v>474</v>
      </c>
      <c r="C139" s="4" t="s">
        <v>473</v>
      </c>
      <c r="D139" s="4" t="s">
        <v>5802</v>
      </c>
      <c r="E139" s="4" t="s">
        <v>5803</v>
      </c>
      <c r="F139" s="4" t="s">
        <v>5802</v>
      </c>
    </row>
    <row r="140" spans="1:6" ht="14.4" thickBot="1" x14ac:dyDescent="0.35">
      <c r="A140" s="4" t="s">
        <v>473</v>
      </c>
      <c r="B140" s="4" t="s">
        <v>474</v>
      </c>
      <c r="C140" s="4" t="s">
        <v>473</v>
      </c>
      <c r="D140" s="4" t="s">
        <v>5808</v>
      </c>
      <c r="E140" s="4" t="s">
        <v>5809</v>
      </c>
      <c r="F140" s="4" t="s">
        <v>5808</v>
      </c>
    </row>
    <row r="141" spans="1:6" ht="14.4" thickBot="1" x14ac:dyDescent="0.35">
      <c r="A141" s="4" t="s">
        <v>473</v>
      </c>
      <c r="B141" s="4" t="s">
        <v>474</v>
      </c>
      <c r="C141" s="4" t="s">
        <v>473</v>
      </c>
      <c r="D141" s="4" t="s">
        <v>1399</v>
      </c>
      <c r="E141" s="4" t="s">
        <v>1400</v>
      </c>
      <c r="F141" s="4" t="s">
        <v>1399</v>
      </c>
    </row>
    <row r="142" spans="1:6" ht="14.4" thickBot="1" x14ac:dyDescent="0.35">
      <c r="A142" s="4" t="s">
        <v>473</v>
      </c>
      <c r="B142" s="4" t="s">
        <v>474</v>
      </c>
      <c r="C142" s="4" t="s">
        <v>473</v>
      </c>
      <c r="D142" s="4" t="s">
        <v>5810</v>
      </c>
      <c r="E142" s="4" t="s">
        <v>5811</v>
      </c>
      <c r="F142" s="4" t="s">
        <v>5810</v>
      </c>
    </row>
    <row r="143" spans="1:6" ht="14.4" thickBot="1" x14ac:dyDescent="0.35">
      <c r="A143" s="4" t="s">
        <v>473</v>
      </c>
      <c r="B143" s="4" t="s">
        <v>474</v>
      </c>
      <c r="C143" s="4" t="s">
        <v>473</v>
      </c>
      <c r="D143" s="4" t="s">
        <v>2177</v>
      </c>
      <c r="E143" s="4" t="s">
        <v>2178</v>
      </c>
      <c r="F143" s="4" t="s">
        <v>2177</v>
      </c>
    </row>
    <row r="144" spans="1:6" ht="14.4" thickBot="1" x14ac:dyDescent="0.35">
      <c r="A144" s="4" t="s">
        <v>473</v>
      </c>
      <c r="B144" s="4" t="s">
        <v>474</v>
      </c>
      <c r="C144" s="4" t="s">
        <v>473</v>
      </c>
      <c r="D144" s="4" t="s">
        <v>3666</v>
      </c>
      <c r="E144" s="4" t="s">
        <v>3667</v>
      </c>
      <c r="F144" s="4" t="s">
        <v>3666</v>
      </c>
    </row>
    <row r="145" spans="1:6" ht="14.4" thickBot="1" x14ac:dyDescent="0.35">
      <c r="A145" s="4" t="s">
        <v>473</v>
      </c>
      <c r="B145" s="4" t="s">
        <v>474</v>
      </c>
      <c r="C145" s="4" t="s">
        <v>473</v>
      </c>
      <c r="D145" s="4" t="s">
        <v>2175</v>
      </c>
      <c r="E145" s="4" t="s">
        <v>2176</v>
      </c>
      <c r="F145" s="4" t="s">
        <v>2175</v>
      </c>
    </row>
    <row r="146" spans="1:6" ht="14.4" thickBot="1" x14ac:dyDescent="0.35">
      <c r="A146" s="4" t="s">
        <v>473</v>
      </c>
      <c r="B146" s="4" t="s">
        <v>474</v>
      </c>
      <c r="C146" s="4" t="s">
        <v>473</v>
      </c>
      <c r="D146" s="4" t="s">
        <v>2919</v>
      </c>
      <c r="E146" s="4" t="s">
        <v>2920</v>
      </c>
      <c r="F146" s="4" t="s">
        <v>2919</v>
      </c>
    </row>
    <row r="147" spans="1:6" ht="14.4" thickBot="1" x14ac:dyDescent="0.35">
      <c r="A147" s="4" t="s">
        <v>473</v>
      </c>
      <c r="B147" s="4" t="s">
        <v>474</v>
      </c>
      <c r="C147" s="4" t="s">
        <v>473</v>
      </c>
      <c r="D147" s="4" t="s">
        <v>5136</v>
      </c>
      <c r="E147" s="4" t="s">
        <v>5137</v>
      </c>
      <c r="F147" s="4" t="s">
        <v>5136</v>
      </c>
    </row>
    <row r="148" spans="1:6" ht="14.4" thickBot="1" x14ac:dyDescent="0.35">
      <c r="A148" s="4" t="s">
        <v>473</v>
      </c>
      <c r="B148" s="4" t="s">
        <v>474</v>
      </c>
      <c r="C148" s="4" t="s">
        <v>473</v>
      </c>
      <c r="D148" s="4" t="s">
        <v>5879</v>
      </c>
      <c r="E148" s="4" t="s">
        <v>5880</v>
      </c>
      <c r="F148" s="4" t="s">
        <v>5879</v>
      </c>
    </row>
    <row r="149" spans="1:6" ht="14.4" thickBot="1" x14ac:dyDescent="0.35">
      <c r="A149" s="4" t="s">
        <v>477</v>
      </c>
      <c r="B149" s="4" t="s">
        <v>478</v>
      </c>
      <c r="C149" s="4" t="s">
        <v>477</v>
      </c>
      <c r="D149" s="4" t="s">
        <v>1403</v>
      </c>
      <c r="E149" s="4" t="s">
        <v>1404</v>
      </c>
      <c r="F149" s="4" t="s">
        <v>1403</v>
      </c>
    </row>
    <row r="150" spans="1:6" ht="14.4" thickBot="1" x14ac:dyDescent="0.35">
      <c r="A150" s="4" t="s">
        <v>477</v>
      </c>
      <c r="B150" s="4" t="s">
        <v>478</v>
      </c>
      <c r="C150" s="4" t="s">
        <v>477</v>
      </c>
      <c r="D150" s="4" t="s">
        <v>4437</v>
      </c>
      <c r="E150" s="4" t="s">
        <v>4438</v>
      </c>
      <c r="F150" s="4" t="s">
        <v>4437</v>
      </c>
    </row>
    <row r="151" spans="1:6" ht="14.4" thickBot="1" x14ac:dyDescent="0.35">
      <c r="A151" s="4" t="s">
        <v>477</v>
      </c>
      <c r="B151" s="4" t="s">
        <v>478</v>
      </c>
      <c r="C151" s="4" t="s">
        <v>477</v>
      </c>
      <c r="D151" s="4" t="s">
        <v>479</v>
      </c>
      <c r="E151" s="4" t="s">
        <v>232</v>
      </c>
      <c r="F151" s="4" t="s">
        <v>479</v>
      </c>
    </row>
    <row r="152" spans="1:6" ht="14.4" thickBot="1" x14ac:dyDescent="0.35">
      <c r="A152" s="4" t="s">
        <v>477</v>
      </c>
      <c r="B152" s="4" t="s">
        <v>478</v>
      </c>
      <c r="C152" s="4" t="s">
        <v>477</v>
      </c>
      <c r="D152" s="4" t="s">
        <v>5813</v>
      </c>
      <c r="E152" s="4" t="s">
        <v>5814</v>
      </c>
      <c r="F152" s="4" t="s">
        <v>5813</v>
      </c>
    </row>
    <row r="153" spans="1:6" ht="14.4" thickBot="1" x14ac:dyDescent="0.35">
      <c r="A153" s="4" t="s">
        <v>477</v>
      </c>
      <c r="B153" s="4" t="s">
        <v>478</v>
      </c>
      <c r="C153" s="4" t="s">
        <v>477</v>
      </c>
      <c r="D153" s="4" t="s">
        <v>2181</v>
      </c>
      <c r="E153" s="4" t="s">
        <v>2182</v>
      </c>
      <c r="F153" s="4" t="s">
        <v>2181</v>
      </c>
    </row>
    <row r="154" spans="1:6" ht="14.4" thickBot="1" x14ac:dyDescent="0.35">
      <c r="A154" s="4" t="s">
        <v>477</v>
      </c>
      <c r="B154" s="4" t="s">
        <v>478</v>
      </c>
      <c r="C154" s="4" t="s">
        <v>477</v>
      </c>
      <c r="D154" s="4" t="s">
        <v>5881</v>
      </c>
      <c r="E154" s="4" t="s">
        <v>5882</v>
      </c>
      <c r="F154" s="4" t="s">
        <v>5881</v>
      </c>
    </row>
    <row r="155" spans="1:6" ht="14.4" thickBot="1" x14ac:dyDescent="0.35">
      <c r="A155" s="4" t="s">
        <v>477</v>
      </c>
      <c r="B155" s="4" t="s">
        <v>478</v>
      </c>
      <c r="C155" s="4" t="s">
        <v>477</v>
      </c>
      <c r="D155" s="4" t="s">
        <v>581</v>
      </c>
      <c r="E155" s="4" t="s">
        <v>582</v>
      </c>
      <c r="F155" s="4" t="s">
        <v>581</v>
      </c>
    </row>
    <row r="156" spans="1:6" ht="14.4" thickBot="1" x14ac:dyDescent="0.35">
      <c r="A156" s="4" t="s">
        <v>1405</v>
      </c>
      <c r="B156" s="4" t="s">
        <v>1406</v>
      </c>
      <c r="C156" s="4" t="s">
        <v>1405</v>
      </c>
      <c r="D156" s="4" t="s">
        <v>3668</v>
      </c>
      <c r="E156" s="4" t="s">
        <v>3669</v>
      </c>
      <c r="F156" s="4" t="s">
        <v>3668</v>
      </c>
    </row>
    <row r="157" spans="1:6" ht="14.4" thickBot="1" x14ac:dyDescent="0.35">
      <c r="A157" s="4" t="s">
        <v>1405</v>
      </c>
      <c r="B157" s="4" t="s">
        <v>1406</v>
      </c>
      <c r="C157" s="4" t="s">
        <v>1405</v>
      </c>
      <c r="D157" s="4" t="s">
        <v>2995</v>
      </c>
      <c r="E157" s="4" t="s">
        <v>2996</v>
      </c>
      <c r="F157" s="4" t="s">
        <v>2995</v>
      </c>
    </row>
    <row r="158" spans="1:6" ht="14.4" thickBot="1" x14ac:dyDescent="0.35">
      <c r="A158" s="4" t="s">
        <v>1405</v>
      </c>
      <c r="B158" s="4" t="s">
        <v>1406</v>
      </c>
      <c r="C158" s="4" t="s">
        <v>1405</v>
      </c>
      <c r="D158" s="4" t="s">
        <v>2183</v>
      </c>
      <c r="E158" s="4" t="s">
        <v>2184</v>
      </c>
      <c r="F158" s="4" t="s">
        <v>2183</v>
      </c>
    </row>
    <row r="159" spans="1:6" ht="14.4" thickBot="1" x14ac:dyDescent="0.35">
      <c r="A159" s="4" t="s">
        <v>1405</v>
      </c>
      <c r="B159" s="4" t="s">
        <v>1406</v>
      </c>
      <c r="C159" s="4" t="s">
        <v>1405</v>
      </c>
      <c r="D159" s="4" t="s">
        <v>1407</v>
      </c>
      <c r="E159" s="4" t="s">
        <v>1408</v>
      </c>
      <c r="F159" s="4" t="s">
        <v>1407</v>
      </c>
    </row>
    <row r="160" spans="1:6" ht="14.4" thickBot="1" x14ac:dyDescent="0.35">
      <c r="A160" s="4" t="s">
        <v>1405</v>
      </c>
      <c r="B160" s="4" t="s">
        <v>1406</v>
      </c>
      <c r="C160" s="4" t="s">
        <v>1405</v>
      </c>
      <c r="D160" s="4" t="s">
        <v>2925</v>
      </c>
      <c r="E160" s="4" t="s">
        <v>2926</v>
      </c>
      <c r="F160" s="4" t="s">
        <v>2925</v>
      </c>
    </row>
    <row r="161" spans="1:6" ht="14.4" thickBot="1" x14ac:dyDescent="0.35">
      <c r="A161" s="4" t="s">
        <v>743</v>
      </c>
      <c r="B161" s="4" t="s">
        <v>744</v>
      </c>
      <c r="C161" s="4" t="s">
        <v>743</v>
      </c>
      <c r="D161" s="4" t="s">
        <v>745</v>
      </c>
      <c r="E161" s="4" t="s">
        <v>746</v>
      </c>
      <c r="F161" s="4" t="s">
        <v>745</v>
      </c>
    </row>
    <row r="162" spans="1:6" ht="14.4" thickBot="1" x14ac:dyDescent="0.35">
      <c r="A162" s="4" t="s">
        <v>743</v>
      </c>
      <c r="B162" s="4" t="s">
        <v>744</v>
      </c>
      <c r="C162" s="4" t="s">
        <v>743</v>
      </c>
      <c r="D162" s="4" t="s">
        <v>4629</v>
      </c>
      <c r="E162" s="4" t="s">
        <v>4630</v>
      </c>
      <c r="F162" s="4" t="s">
        <v>4629</v>
      </c>
    </row>
    <row r="163" spans="1:6" ht="14.4" thickBot="1" x14ac:dyDescent="0.35">
      <c r="A163" s="4" t="s">
        <v>743</v>
      </c>
      <c r="B163" s="4" t="s">
        <v>744</v>
      </c>
      <c r="C163" s="4" t="s">
        <v>743</v>
      </c>
      <c r="D163" s="4" t="s">
        <v>6013</v>
      </c>
      <c r="E163" s="4" t="s">
        <v>714</v>
      </c>
      <c r="F163" s="4" t="s">
        <v>6013</v>
      </c>
    </row>
    <row r="164" spans="1:6" ht="14.4" thickBot="1" x14ac:dyDescent="0.35">
      <c r="A164" s="4" t="s">
        <v>743</v>
      </c>
      <c r="B164" s="4" t="s">
        <v>744</v>
      </c>
      <c r="C164" s="4" t="s">
        <v>743</v>
      </c>
      <c r="D164" s="4" t="s">
        <v>6016</v>
      </c>
      <c r="E164" s="4" t="s">
        <v>6017</v>
      </c>
      <c r="F164" s="4" t="s">
        <v>6016</v>
      </c>
    </row>
    <row r="165" spans="1:6" ht="14.4" thickBot="1" x14ac:dyDescent="0.35">
      <c r="A165" s="4" t="s">
        <v>743</v>
      </c>
      <c r="B165" s="4" t="s">
        <v>744</v>
      </c>
      <c r="C165" s="4" t="s">
        <v>743</v>
      </c>
      <c r="D165" s="4" t="s">
        <v>5301</v>
      </c>
      <c r="E165" s="4" t="s">
        <v>5302</v>
      </c>
      <c r="F165" s="4" t="s">
        <v>5301</v>
      </c>
    </row>
    <row r="166" spans="1:6" ht="14.4" thickBot="1" x14ac:dyDescent="0.35">
      <c r="A166" s="4" t="s">
        <v>743</v>
      </c>
      <c r="B166" s="4" t="s">
        <v>744</v>
      </c>
      <c r="C166" s="4" t="s">
        <v>743</v>
      </c>
      <c r="D166" s="4" t="s">
        <v>4627</v>
      </c>
      <c r="E166" s="4" t="s">
        <v>4628</v>
      </c>
      <c r="F166" s="4" t="s">
        <v>4627</v>
      </c>
    </row>
    <row r="167" spans="1:6" ht="14.4" thickBot="1" x14ac:dyDescent="0.35">
      <c r="A167" s="4" t="s">
        <v>743</v>
      </c>
      <c r="B167" s="4" t="s">
        <v>744</v>
      </c>
      <c r="C167" s="4" t="s">
        <v>743</v>
      </c>
      <c r="D167" s="4" t="s">
        <v>6134</v>
      </c>
      <c r="E167" s="4" t="s">
        <v>6135</v>
      </c>
      <c r="F167" s="4" t="s">
        <v>6134</v>
      </c>
    </row>
    <row r="168" spans="1:6" ht="14.4" thickBot="1" x14ac:dyDescent="0.35">
      <c r="A168" s="4" t="s">
        <v>743</v>
      </c>
      <c r="B168" s="4" t="s">
        <v>744</v>
      </c>
      <c r="C168" s="4" t="s">
        <v>743</v>
      </c>
      <c r="D168" s="4" t="s">
        <v>1804</v>
      </c>
      <c r="E168" s="4" t="s">
        <v>1805</v>
      </c>
      <c r="F168" s="4" t="s">
        <v>1804</v>
      </c>
    </row>
    <row r="169" spans="1:6" ht="14.4" thickBot="1" x14ac:dyDescent="0.35">
      <c r="A169" s="4" t="s">
        <v>743</v>
      </c>
      <c r="B169" s="4" t="s">
        <v>744</v>
      </c>
      <c r="C169" s="4" t="s">
        <v>743</v>
      </c>
      <c r="D169" s="4" t="s">
        <v>1656</v>
      </c>
      <c r="E169" s="4" t="s">
        <v>1657</v>
      </c>
      <c r="F169" s="4" t="s">
        <v>1656</v>
      </c>
    </row>
    <row r="170" spans="1:6" ht="14.4" thickBot="1" x14ac:dyDescent="0.35">
      <c r="A170" s="4" t="s">
        <v>743</v>
      </c>
      <c r="B170" s="4" t="s">
        <v>744</v>
      </c>
      <c r="C170" s="4" t="s">
        <v>743</v>
      </c>
      <c r="D170" s="4" t="s">
        <v>934</v>
      </c>
      <c r="E170" s="4" t="s">
        <v>935</v>
      </c>
      <c r="F170" s="4" t="s">
        <v>934</v>
      </c>
    </row>
    <row r="171" spans="1:6" ht="14.4" thickBot="1" x14ac:dyDescent="0.35">
      <c r="A171" s="4" t="s">
        <v>743</v>
      </c>
      <c r="B171" s="4" t="s">
        <v>744</v>
      </c>
      <c r="C171" s="4" t="s">
        <v>743</v>
      </c>
      <c r="D171" s="4" t="s">
        <v>4740</v>
      </c>
      <c r="E171" s="4" t="s">
        <v>4741</v>
      </c>
      <c r="F171" s="4" t="s">
        <v>4740</v>
      </c>
    </row>
    <row r="172" spans="1:6" ht="14.4" thickBot="1" x14ac:dyDescent="0.35">
      <c r="A172" s="4" t="s">
        <v>743</v>
      </c>
      <c r="B172" s="4" t="s">
        <v>744</v>
      </c>
      <c r="C172" s="4" t="s">
        <v>743</v>
      </c>
      <c r="D172" s="4" t="s">
        <v>747</v>
      </c>
      <c r="E172" s="4" t="s">
        <v>748</v>
      </c>
      <c r="F172" s="4" t="s">
        <v>747</v>
      </c>
    </row>
    <row r="173" spans="1:6" ht="14.4" thickBot="1" x14ac:dyDescent="0.35">
      <c r="A173" s="4" t="s">
        <v>743</v>
      </c>
      <c r="B173" s="4" t="s">
        <v>744</v>
      </c>
      <c r="C173" s="4" t="s">
        <v>743</v>
      </c>
      <c r="D173" s="4" t="s">
        <v>1802</v>
      </c>
      <c r="E173" s="4" t="s">
        <v>1803</v>
      </c>
      <c r="F173" s="4" t="s">
        <v>1802</v>
      </c>
    </row>
    <row r="174" spans="1:6" ht="14.4" thickBot="1" x14ac:dyDescent="0.35">
      <c r="A174" s="4" t="s">
        <v>743</v>
      </c>
      <c r="B174" s="4" t="s">
        <v>744</v>
      </c>
      <c r="C174" s="4" t="s">
        <v>743</v>
      </c>
      <c r="D174" s="4" t="s">
        <v>2466</v>
      </c>
      <c r="E174" s="4" t="s">
        <v>2467</v>
      </c>
      <c r="F174" s="4" t="s">
        <v>2466</v>
      </c>
    </row>
    <row r="175" spans="1:6" ht="14.4" thickBot="1" x14ac:dyDescent="0.35">
      <c r="A175" s="4" t="s">
        <v>743</v>
      </c>
      <c r="B175" s="4" t="s">
        <v>744</v>
      </c>
      <c r="C175" s="4" t="s">
        <v>743</v>
      </c>
      <c r="D175" s="4" t="s">
        <v>5297</v>
      </c>
      <c r="E175" s="4" t="s">
        <v>5298</v>
      </c>
      <c r="F175" s="4" t="s">
        <v>5297</v>
      </c>
    </row>
    <row r="176" spans="1:6" ht="14.4" thickBot="1" x14ac:dyDescent="0.35">
      <c r="A176" s="4" t="s">
        <v>743</v>
      </c>
      <c r="B176" s="4" t="s">
        <v>744</v>
      </c>
      <c r="C176" s="4" t="s">
        <v>743</v>
      </c>
      <c r="D176" s="4" t="s">
        <v>4631</v>
      </c>
      <c r="E176" s="4" t="s">
        <v>762</v>
      </c>
      <c r="F176" s="4" t="s">
        <v>4631</v>
      </c>
    </row>
    <row r="177" spans="1:6" ht="14.4" thickBot="1" x14ac:dyDescent="0.35">
      <c r="A177" s="4" t="s">
        <v>743</v>
      </c>
      <c r="B177" s="4" t="s">
        <v>744</v>
      </c>
      <c r="C177" s="4" t="s">
        <v>743</v>
      </c>
      <c r="D177" s="4" t="s">
        <v>1800</v>
      </c>
      <c r="E177" s="4" t="s">
        <v>1801</v>
      </c>
      <c r="F177" s="4" t="s">
        <v>1800</v>
      </c>
    </row>
    <row r="178" spans="1:6" ht="14.4" thickBot="1" x14ac:dyDescent="0.35">
      <c r="A178" s="4" t="s">
        <v>743</v>
      </c>
      <c r="B178" s="4" t="s">
        <v>744</v>
      </c>
      <c r="C178" s="4" t="s">
        <v>743</v>
      </c>
      <c r="D178" s="4" t="s">
        <v>6011</v>
      </c>
      <c r="E178" s="4" t="s">
        <v>6012</v>
      </c>
      <c r="F178" s="4" t="s">
        <v>6011</v>
      </c>
    </row>
    <row r="179" spans="1:6" ht="14.4" thickBot="1" x14ac:dyDescent="0.35">
      <c r="A179" s="4" t="s">
        <v>743</v>
      </c>
      <c r="B179" s="4" t="s">
        <v>744</v>
      </c>
      <c r="C179" s="4" t="s">
        <v>743</v>
      </c>
      <c r="D179" s="4" t="s">
        <v>3105</v>
      </c>
      <c r="E179" s="4" t="s">
        <v>3106</v>
      </c>
      <c r="F179" s="4" t="s">
        <v>3105</v>
      </c>
    </row>
    <row r="180" spans="1:6" ht="14.4" thickBot="1" x14ac:dyDescent="0.35">
      <c r="A180" s="4" t="s">
        <v>743</v>
      </c>
      <c r="B180" s="4" t="s">
        <v>744</v>
      </c>
      <c r="C180" s="4" t="s">
        <v>743</v>
      </c>
      <c r="D180" s="4" t="s">
        <v>1660</v>
      </c>
      <c r="E180" s="4" t="s">
        <v>1661</v>
      </c>
      <c r="F180" s="4" t="s">
        <v>1660</v>
      </c>
    </row>
    <row r="181" spans="1:6" ht="14.4" thickBot="1" x14ac:dyDescent="0.35">
      <c r="A181" s="4" t="s">
        <v>743</v>
      </c>
      <c r="B181" s="4" t="s">
        <v>744</v>
      </c>
      <c r="C181" s="4" t="s">
        <v>743</v>
      </c>
      <c r="D181" s="4" t="s">
        <v>1658</v>
      </c>
      <c r="E181" s="4" t="s">
        <v>1659</v>
      </c>
      <c r="F181" s="4" t="s">
        <v>1658</v>
      </c>
    </row>
    <row r="182" spans="1:6" ht="14.4" thickBot="1" x14ac:dyDescent="0.35">
      <c r="A182" s="4" t="s">
        <v>743</v>
      </c>
      <c r="B182" s="4" t="s">
        <v>744</v>
      </c>
      <c r="C182" s="4" t="s">
        <v>743</v>
      </c>
      <c r="D182" s="4" t="s">
        <v>3901</v>
      </c>
      <c r="E182" s="4" t="s">
        <v>3902</v>
      </c>
      <c r="F182" s="4" t="s">
        <v>3901</v>
      </c>
    </row>
    <row r="183" spans="1:6" ht="14.4" thickBot="1" x14ac:dyDescent="0.35">
      <c r="A183" s="4" t="s">
        <v>743</v>
      </c>
      <c r="B183" s="4" t="s">
        <v>744</v>
      </c>
      <c r="C183" s="4" t="s">
        <v>743</v>
      </c>
      <c r="D183" s="4" t="s">
        <v>5299</v>
      </c>
      <c r="E183" s="4" t="s">
        <v>5300</v>
      </c>
      <c r="F183" s="4" t="s">
        <v>5299</v>
      </c>
    </row>
    <row r="184" spans="1:6" ht="14.4" thickBot="1" x14ac:dyDescent="0.35">
      <c r="A184" s="4" t="s">
        <v>743</v>
      </c>
      <c r="B184" s="4" t="s">
        <v>744</v>
      </c>
      <c r="C184" s="4" t="s">
        <v>743</v>
      </c>
      <c r="D184" s="4" t="s">
        <v>4039</v>
      </c>
      <c r="E184" s="4" t="s">
        <v>4040</v>
      </c>
      <c r="F184" s="4" t="s">
        <v>4039</v>
      </c>
    </row>
    <row r="185" spans="1:6" ht="14.4" thickBot="1" x14ac:dyDescent="0.35">
      <c r="A185" s="4" t="s">
        <v>743</v>
      </c>
      <c r="B185" s="4" t="s">
        <v>744</v>
      </c>
      <c r="C185" s="4" t="s">
        <v>743</v>
      </c>
      <c r="D185" s="4" t="s">
        <v>3903</v>
      </c>
      <c r="E185" s="4" t="s">
        <v>3904</v>
      </c>
      <c r="F185" s="4" t="s">
        <v>3903</v>
      </c>
    </row>
    <row r="186" spans="1:6" ht="14.4" thickBot="1" x14ac:dyDescent="0.35">
      <c r="A186" s="4" t="s">
        <v>743</v>
      </c>
      <c r="B186" s="4" t="s">
        <v>744</v>
      </c>
      <c r="C186" s="4" t="s">
        <v>743</v>
      </c>
      <c r="D186" s="4" t="s">
        <v>3899</v>
      </c>
      <c r="E186" s="4" t="s">
        <v>3900</v>
      </c>
      <c r="F186" s="4" t="s">
        <v>3899</v>
      </c>
    </row>
    <row r="187" spans="1:6" ht="14.4" thickBot="1" x14ac:dyDescent="0.35">
      <c r="A187" s="4" t="s">
        <v>743</v>
      </c>
      <c r="B187" s="4" t="s">
        <v>744</v>
      </c>
      <c r="C187" s="4" t="s">
        <v>743</v>
      </c>
      <c r="D187" s="4" t="s">
        <v>6014</v>
      </c>
      <c r="E187" s="4" t="s">
        <v>6015</v>
      </c>
      <c r="F187" s="4" t="s">
        <v>6014</v>
      </c>
    </row>
    <row r="188" spans="1:6" ht="14.4" thickBot="1" x14ac:dyDescent="0.35">
      <c r="A188" s="4" t="s">
        <v>743</v>
      </c>
      <c r="B188" s="4" t="s">
        <v>744</v>
      </c>
      <c r="C188" s="4" t="s">
        <v>743</v>
      </c>
      <c r="D188" s="4" t="s">
        <v>2340</v>
      </c>
      <c r="E188" s="4" t="s">
        <v>2341</v>
      </c>
      <c r="F188" s="4" t="s">
        <v>2340</v>
      </c>
    </row>
    <row r="189" spans="1:6" ht="14.4" thickBot="1" x14ac:dyDescent="0.35">
      <c r="A189" s="4" t="s">
        <v>1522</v>
      </c>
      <c r="B189" s="4" t="s">
        <v>1523</v>
      </c>
      <c r="C189" s="4" t="s">
        <v>1522</v>
      </c>
      <c r="D189" s="4" t="s">
        <v>4441</v>
      </c>
      <c r="E189" s="4" t="s">
        <v>4442</v>
      </c>
      <c r="F189" s="4" t="s">
        <v>4441</v>
      </c>
    </row>
    <row r="190" spans="1:6" ht="14.4" thickBot="1" x14ac:dyDescent="0.35">
      <c r="A190" s="4" t="s">
        <v>1522</v>
      </c>
      <c r="B190" s="4" t="s">
        <v>1523</v>
      </c>
      <c r="C190" s="4" t="s">
        <v>1522</v>
      </c>
      <c r="D190" s="4" t="s">
        <v>4439</v>
      </c>
      <c r="E190" s="4" t="s">
        <v>4440</v>
      </c>
      <c r="F190" s="4" t="s">
        <v>4439</v>
      </c>
    </row>
    <row r="191" spans="1:6" ht="14.4" thickBot="1" x14ac:dyDescent="0.35">
      <c r="A191" s="4" t="s">
        <v>1522</v>
      </c>
      <c r="B191" s="4" t="s">
        <v>1523</v>
      </c>
      <c r="C191" s="4" t="s">
        <v>1522</v>
      </c>
      <c r="D191" s="4" t="s">
        <v>5141</v>
      </c>
      <c r="E191" s="4" t="s">
        <v>5142</v>
      </c>
      <c r="F191" s="4" t="s">
        <v>5141</v>
      </c>
    </row>
    <row r="192" spans="1:6" ht="14.4" thickBot="1" x14ac:dyDescent="0.35">
      <c r="A192" s="4" t="s">
        <v>1522</v>
      </c>
      <c r="B192" s="4" t="s">
        <v>1523</v>
      </c>
      <c r="C192" s="4" t="s">
        <v>1522</v>
      </c>
      <c r="D192" s="4" t="s">
        <v>3639</v>
      </c>
      <c r="E192" s="4" t="s">
        <v>5138</v>
      </c>
      <c r="F192" s="4" t="s">
        <v>3639</v>
      </c>
    </row>
    <row r="193" spans="1:6" ht="14.4" thickBot="1" x14ac:dyDescent="0.35">
      <c r="A193" s="4" t="s">
        <v>1522</v>
      </c>
      <c r="B193" s="4" t="s">
        <v>1523</v>
      </c>
      <c r="C193" s="4" t="s">
        <v>1522</v>
      </c>
      <c r="D193" s="4" t="s">
        <v>5139</v>
      </c>
      <c r="E193" s="4" t="s">
        <v>5140</v>
      </c>
      <c r="F193" s="4" t="s">
        <v>5139</v>
      </c>
    </row>
    <row r="194" spans="1:6" ht="14.4" thickBot="1" x14ac:dyDescent="0.35">
      <c r="A194" s="4" t="s">
        <v>1522</v>
      </c>
      <c r="B194" s="4" t="s">
        <v>1523</v>
      </c>
      <c r="C194" s="4" t="s">
        <v>1522</v>
      </c>
      <c r="D194" s="4" t="s">
        <v>2248</v>
      </c>
      <c r="E194" s="4" t="s">
        <v>2249</v>
      </c>
      <c r="F194" s="4" t="s">
        <v>2248</v>
      </c>
    </row>
    <row r="195" spans="1:6" ht="14.4" thickBot="1" x14ac:dyDescent="0.35">
      <c r="A195" s="4" t="s">
        <v>1522</v>
      </c>
      <c r="B195" s="4" t="s">
        <v>1523</v>
      </c>
      <c r="C195" s="4" t="s">
        <v>1522</v>
      </c>
      <c r="D195" s="4" t="s">
        <v>1526</v>
      </c>
      <c r="E195" s="4" t="s">
        <v>1527</v>
      </c>
      <c r="F195" s="4" t="s">
        <v>1526</v>
      </c>
    </row>
    <row r="196" spans="1:6" ht="14.4" thickBot="1" x14ac:dyDescent="0.35">
      <c r="A196" s="4" t="s">
        <v>1522</v>
      </c>
      <c r="B196" s="4" t="s">
        <v>1523</v>
      </c>
      <c r="C196" s="4" t="s">
        <v>1522</v>
      </c>
      <c r="D196" s="4" t="s">
        <v>2250</v>
      </c>
      <c r="E196" s="4" t="s">
        <v>2251</v>
      </c>
      <c r="F196" s="4" t="s">
        <v>2250</v>
      </c>
    </row>
    <row r="197" spans="1:6" ht="14.4" thickBot="1" x14ac:dyDescent="0.35">
      <c r="A197" s="4" t="s">
        <v>1522</v>
      </c>
      <c r="B197" s="4" t="s">
        <v>1523</v>
      </c>
      <c r="C197" s="4" t="s">
        <v>1522</v>
      </c>
      <c r="D197" s="4" t="s">
        <v>1524</v>
      </c>
      <c r="E197" s="4" t="s">
        <v>1525</v>
      </c>
      <c r="F197" s="4" t="s">
        <v>1524</v>
      </c>
    </row>
    <row r="198" spans="1:6" ht="14.4" thickBot="1" x14ac:dyDescent="0.35">
      <c r="A198" s="4" t="s">
        <v>1522</v>
      </c>
      <c r="B198" s="4" t="s">
        <v>1523</v>
      </c>
      <c r="C198" s="4" t="s">
        <v>1522</v>
      </c>
      <c r="D198" s="4" t="s">
        <v>5883</v>
      </c>
      <c r="E198" s="4" t="s">
        <v>5884</v>
      </c>
      <c r="F198" s="4" t="s">
        <v>5883</v>
      </c>
    </row>
    <row r="199" spans="1:6" ht="14.4" thickBot="1" x14ac:dyDescent="0.35">
      <c r="A199" s="4" t="s">
        <v>1522</v>
      </c>
      <c r="B199" s="4" t="s">
        <v>1523</v>
      </c>
      <c r="C199" s="4" t="s">
        <v>1522</v>
      </c>
      <c r="D199" s="4" t="s">
        <v>5198</v>
      </c>
      <c r="E199" s="4" t="s">
        <v>5199</v>
      </c>
      <c r="F199" s="4" t="s">
        <v>5198</v>
      </c>
    </row>
    <row r="200" spans="1:6" ht="14.4" thickBot="1" x14ac:dyDescent="0.35">
      <c r="A200" s="4" t="s">
        <v>1522</v>
      </c>
      <c r="B200" s="4" t="s">
        <v>1523</v>
      </c>
      <c r="C200" s="4" t="s">
        <v>1522</v>
      </c>
      <c r="D200" s="4" t="s">
        <v>5196</v>
      </c>
      <c r="E200" s="4" t="s">
        <v>5197</v>
      </c>
      <c r="F200" s="4" t="s">
        <v>5196</v>
      </c>
    </row>
    <row r="201" spans="1:6" ht="14.4" thickBot="1" x14ac:dyDescent="0.35">
      <c r="A201" s="4" t="s">
        <v>1522</v>
      </c>
      <c r="B201" s="4" t="s">
        <v>1523</v>
      </c>
      <c r="C201" s="4" t="s">
        <v>1522</v>
      </c>
      <c r="D201" s="4" t="s">
        <v>3731</v>
      </c>
      <c r="E201" s="4" t="s">
        <v>3732</v>
      </c>
      <c r="F201" s="4" t="s">
        <v>3731</v>
      </c>
    </row>
    <row r="202" spans="1:6" ht="14.4" thickBot="1" x14ac:dyDescent="0.35">
      <c r="A202" s="4" t="s">
        <v>1522</v>
      </c>
      <c r="B202" s="4" t="s">
        <v>1523</v>
      </c>
      <c r="C202" s="4" t="s">
        <v>1522</v>
      </c>
      <c r="D202" s="4" t="s">
        <v>2997</v>
      </c>
      <c r="E202" s="4" t="s">
        <v>2998</v>
      </c>
      <c r="F202" s="4" t="s">
        <v>2997</v>
      </c>
    </row>
    <row r="203" spans="1:6" ht="14.4" thickBot="1" x14ac:dyDescent="0.35">
      <c r="A203" s="4" t="s">
        <v>2185</v>
      </c>
      <c r="B203" s="4" t="s">
        <v>2186</v>
      </c>
      <c r="C203" s="4" t="s">
        <v>2185</v>
      </c>
      <c r="D203" s="4" t="s">
        <v>2187</v>
      </c>
      <c r="E203" s="4" t="s">
        <v>2188</v>
      </c>
      <c r="F203" s="4" t="s">
        <v>2187</v>
      </c>
    </row>
    <row r="204" spans="1:6" ht="14.4" thickBot="1" x14ac:dyDescent="0.35">
      <c r="A204" s="4" t="s">
        <v>2185</v>
      </c>
      <c r="B204" s="4" t="s">
        <v>2186</v>
      </c>
      <c r="C204" s="4" t="s">
        <v>2185</v>
      </c>
      <c r="D204" s="4" t="s">
        <v>5143</v>
      </c>
      <c r="E204" s="4" t="s">
        <v>5144</v>
      </c>
      <c r="F204" s="4" t="s">
        <v>5143</v>
      </c>
    </row>
    <row r="205" spans="1:6" ht="14.4" thickBot="1" x14ac:dyDescent="0.35">
      <c r="A205" s="4" t="s">
        <v>1409</v>
      </c>
      <c r="B205" s="4" t="s">
        <v>1410</v>
      </c>
      <c r="C205" s="4" t="s">
        <v>1409</v>
      </c>
      <c r="D205" s="4" t="s">
        <v>4443</v>
      </c>
      <c r="E205" s="4" t="s">
        <v>4444</v>
      </c>
      <c r="F205" s="4" t="s">
        <v>4443</v>
      </c>
    </row>
    <row r="206" spans="1:6" ht="14.4" thickBot="1" x14ac:dyDescent="0.35">
      <c r="A206" s="4" t="s">
        <v>1409</v>
      </c>
      <c r="B206" s="4" t="s">
        <v>1410</v>
      </c>
      <c r="C206" s="4" t="s">
        <v>1409</v>
      </c>
      <c r="D206" s="4" t="s">
        <v>1528</v>
      </c>
      <c r="E206" s="4" t="s">
        <v>1529</v>
      </c>
      <c r="F206" s="4" t="s">
        <v>1528</v>
      </c>
    </row>
    <row r="207" spans="1:6" ht="14.4" thickBot="1" x14ac:dyDescent="0.35">
      <c r="A207" s="4" t="s">
        <v>1409</v>
      </c>
      <c r="B207" s="4" t="s">
        <v>1410</v>
      </c>
      <c r="C207" s="4" t="s">
        <v>1409</v>
      </c>
      <c r="D207" s="4" t="s">
        <v>4446</v>
      </c>
      <c r="E207" s="4" t="s">
        <v>4447</v>
      </c>
      <c r="F207" s="4" t="s">
        <v>4446</v>
      </c>
    </row>
    <row r="208" spans="1:6" ht="14.4" thickBot="1" x14ac:dyDescent="0.35">
      <c r="A208" s="4" t="s">
        <v>1409</v>
      </c>
      <c r="B208" s="4" t="s">
        <v>1410</v>
      </c>
      <c r="C208" s="4" t="s">
        <v>1409</v>
      </c>
      <c r="D208" s="4" t="s">
        <v>3670</v>
      </c>
      <c r="E208" s="4" t="s">
        <v>3671</v>
      </c>
      <c r="F208" s="4" t="s">
        <v>3670</v>
      </c>
    </row>
    <row r="209" spans="1:6" ht="14.4" thickBot="1" x14ac:dyDescent="0.35">
      <c r="A209" s="4" t="s">
        <v>1409</v>
      </c>
      <c r="B209" s="4" t="s">
        <v>1410</v>
      </c>
      <c r="C209" s="4" t="s">
        <v>1409</v>
      </c>
      <c r="D209" s="4" t="s">
        <v>5817</v>
      </c>
      <c r="E209" s="4" t="s">
        <v>5818</v>
      </c>
      <c r="F209" s="4" t="s">
        <v>5817</v>
      </c>
    </row>
    <row r="210" spans="1:6" ht="14.4" thickBot="1" x14ac:dyDescent="0.35">
      <c r="A210" s="4" t="s">
        <v>1409</v>
      </c>
      <c r="B210" s="4" t="s">
        <v>1410</v>
      </c>
      <c r="C210" s="4" t="s">
        <v>1409</v>
      </c>
      <c r="D210" s="4" t="s">
        <v>1411</v>
      </c>
      <c r="E210" s="4" t="s">
        <v>1412</v>
      </c>
      <c r="F210" s="4" t="s">
        <v>1411</v>
      </c>
    </row>
    <row r="211" spans="1:6" ht="14.4" thickBot="1" x14ac:dyDescent="0.35">
      <c r="A211" s="4" t="s">
        <v>1409</v>
      </c>
      <c r="B211" s="4" t="s">
        <v>1410</v>
      </c>
      <c r="C211" s="4" t="s">
        <v>1409</v>
      </c>
      <c r="D211" s="4" t="s">
        <v>1082</v>
      </c>
      <c r="E211" s="4" t="s">
        <v>4445</v>
      </c>
      <c r="F211" s="4" t="s">
        <v>1082</v>
      </c>
    </row>
    <row r="212" spans="1:6" ht="14.4" thickBot="1" x14ac:dyDescent="0.35">
      <c r="A212" s="4" t="s">
        <v>1409</v>
      </c>
      <c r="B212" s="4" t="s">
        <v>1410</v>
      </c>
      <c r="C212" s="4" t="s">
        <v>1409</v>
      </c>
      <c r="D212" s="4" t="s">
        <v>2189</v>
      </c>
      <c r="E212" s="4" t="s">
        <v>2190</v>
      </c>
      <c r="F212" s="4" t="s">
        <v>2189</v>
      </c>
    </row>
    <row r="213" spans="1:6" ht="14.4" thickBot="1" x14ac:dyDescent="0.35">
      <c r="A213" s="4" t="s">
        <v>1409</v>
      </c>
      <c r="B213" s="4" t="s">
        <v>1410</v>
      </c>
      <c r="C213" s="4" t="s">
        <v>1409</v>
      </c>
      <c r="D213" s="4" t="s">
        <v>2999</v>
      </c>
      <c r="E213" s="4" t="s">
        <v>3000</v>
      </c>
      <c r="F213" s="4" t="s">
        <v>2999</v>
      </c>
    </row>
    <row r="214" spans="1:6" ht="14.4" thickBot="1" x14ac:dyDescent="0.35">
      <c r="A214" s="4" t="s">
        <v>1409</v>
      </c>
      <c r="B214" s="4" t="s">
        <v>1410</v>
      </c>
      <c r="C214" s="4" t="s">
        <v>1409</v>
      </c>
      <c r="D214" s="4" t="s">
        <v>1530</v>
      </c>
      <c r="E214" s="4" t="s">
        <v>1531</v>
      </c>
      <c r="F214" s="4" t="s">
        <v>1530</v>
      </c>
    </row>
    <row r="215" spans="1:6" ht="14.4" thickBot="1" x14ac:dyDescent="0.35">
      <c r="A215" s="4" t="s">
        <v>1409</v>
      </c>
      <c r="B215" s="4" t="s">
        <v>1410</v>
      </c>
      <c r="C215" s="4" t="s">
        <v>1409</v>
      </c>
      <c r="D215" s="4" t="s">
        <v>4448</v>
      </c>
      <c r="E215" s="4" t="s">
        <v>4449</v>
      </c>
      <c r="F215" s="4" t="s">
        <v>4448</v>
      </c>
    </row>
    <row r="216" spans="1:6" ht="14.4" thickBot="1" x14ac:dyDescent="0.35">
      <c r="A216" s="4" t="s">
        <v>1409</v>
      </c>
      <c r="B216" s="4" t="s">
        <v>1410</v>
      </c>
      <c r="C216" s="4" t="s">
        <v>1409</v>
      </c>
      <c r="D216" s="4" t="s">
        <v>4515</v>
      </c>
      <c r="E216" s="4" t="s">
        <v>4516</v>
      </c>
      <c r="F216" s="4" t="s">
        <v>4515</v>
      </c>
    </row>
    <row r="217" spans="1:6" ht="14.4" thickBot="1" x14ac:dyDescent="0.35">
      <c r="A217" s="4" t="s">
        <v>1409</v>
      </c>
      <c r="B217" s="4" t="s">
        <v>1410</v>
      </c>
      <c r="C217" s="4" t="s">
        <v>1409</v>
      </c>
      <c r="D217" s="4" t="s">
        <v>5815</v>
      </c>
      <c r="E217" s="4" t="s">
        <v>5816</v>
      </c>
      <c r="F217" s="4" t="s">
        <v>5815</v>
      </c>
    </row>
    <row r="218" spans="1:6" ht="14.4" thickBot="1" x14ac:dyDescent="0.35">
      <c r="A218" s="4" t="s">
        <v>1413</v>
      </c>
      <c r="B218" s="4" t="s">
        <v>1414</v>
      </c>
      <c r="C218" s="4" t="s">
        <v>1413</v>
      </c>
      <c r="D218" s="4" t="s">
        <v>2191</v>
      </c>
      <c r="E218" s="4" t="s">
        <v>2192</v>
      </c>
      <c r="F218" s="4" t="s">
        <v>2191</v>
      </c>
    </row>
    <row r="219" spans="1:6" ht="14.4" thickBot="1" x14ac:dyDescent="0.35">
      <c r="A219" s="4" t="s">
        <v>1413</v>
      </c>
      <c r="B219" s="4" t="s">
        <v>1414</v>
      </c>
      <c r="C219" s="4" t="s">
        <v>1413</v>
      </c>
      <c r="D219" s="4" t="s">
        <v>5200</v>
      </c>
      <c r="E219" s="4" t="s">
        <v>5201</v>
      </c>
      <c r="F219" s="4" t="s">
        <v>5200</v>
      </c>
    </row>
    <row r="220" spans="1:6" ht="14.4" thickBot="1" x14ac:dyDescent="0.35">
      <c r="A220" s="4" t="s">
        <v>1413</v>
      </c>
      <c r="B220" s="4" t="s">
        <v>1414</v>
      </c>
      <c r="C220" s="4" t="s">
        <v>1413</v>
      </c>
      <c r="D220" s="4" t="s">
        <v>3001</v>
      </c>
      <c r="E220" s="4" t="s">
        <v>3002</v>
      </c>
      <c r="F220" s="4" t="s">
        <v>3001</v>
      </c>
    </row>
    <row r="221" spans="1:6" ht="14.4" thickBot="1" x14ac:dyDescent="0.35">
      <c r="A221" s="4" t="s">
        <v>1413</v>
      </c>
      <c r="B221" s="4" t="s">
        <v>1414</v>
      </c>
      <c r="C221" s="4" t="s">
        <v>1413</v>
      </c>
      <c r="D221" s="4" t="s">
        <v>5147</v>
      </c>
      <c r="E221" s="4" t="s">
        <v>5148</v>
      </c>
      <c r="F221" s="4" t="s">
        <v>5147</v>
      </c>
    </row>
    <row r="222" spans="1:6" ht="14.4" thickBot="1" x14ac:dyDescent="0.35">
      <c r="A222" s="4" t="s">
        <v>1413</v>
      </c>
      <c r="B222" s="4" t="s">
        <v>1414</v>
      </c>
      <c r="C222" s="4" t="s">
        <v>1413</v>
      </c>
      <c r="D222" s="4" t="s">
        <v>1415</v>
      </c>
      <c r="E222" s="4" t="s">
        <v>1416</v>
      </c>
      <c r="F222" s="4" t="s">
        <v>1415</v>
      </c>
    </row>
    <row r="223" spans="1:6" ht="14.4" thickBot="1" x14ac:dyDescent="0.35">
      <c r="A223" s="4" t="s">
        <v>1413</v>
      </c>
      <c r="B223" s="4" t="s">
        <v>1414</v>
      </c>
      <c r="C223" s="4" t="s">
        <v>1413</v>
      </c>
      <c r="D223" s="4" t="s">
        <v>5819</v>
      </c>
      <c r="E223" s="4" t="s">
        <v>5820</v>
      </c>
      <c r="F223" s="4" t="s">
        <v>5819</v>
      </c>
    </row>
    <row r="224" spans="1:6" ht="14.4" thickBot="1" x14ac:dyDescent="0.35">
      <c r="A224" s="4" t="s">
        <v>1413</v>
      </c>
      <c r="B224" s="4" t="s">
        <v>1414</v>
      </c>
      <c r="C224" s="4" t="s">
        <v>1413</v>
      </c>
      <c r="D224" s="4" t="s">
        <v>5145</v>
      </c>
      <c r="E224" s="4" t="s">
        <v>5146</v>
      </c>
      <c r="F224" s="4" t="s">
        <v>5145</v>
      </c>
    </row>
    <row r="225" spans="1:6" ht="14.4" thickBot="1" x14ac:dyDescent="0.35">
      <c r="A225" s="4" t="s">
        <v>409</v>
      </c>
      <c r="B225" s="4" t="s">
        <v>410</v>
      </c>
      <c r="C225" s="4" t="s">
        <v>409</v>
      </c>
      <c r="D225" s="4" t="s">
        <v>2844</v>
      </c>
      <c r="E225" s="4" t="s">
        <v>2845</v>
      </c>
      <c r="F225" s="4" t="s">
        <v>2844</v>
      </c>
    </row>
    <row r="226" spans="1:6" ht="14.4" thickBot="1" x14ac:dyDescent="0.35">
      <c r="A226" s="4" t="s">
        <v>409</v>
      </c>
      <c r="B226" s="4" t="s">
        <v>410</v>
      </c>
      <c r="C226" s="4" t="s">
        <v>409</v>
      </c>
      <c r="D226" s="4" t="s">
        <v>5753</v>
      </c>
      <c r="E226" s="4" t="s">
        <v>5754</v>
      </c>
      <c r="F226" s="4" t="s">
        <v>5753</v>
      </c>
    </row>
    <row r="227" spans="1:6" ht="14.4" thickBot="1" x14ac:dyDescent="0.35">
      <c r="A227" s="4" t="s">
        <v>409</v>
      </c>
      <c r="B227" s="4" t="s">
        <v>410</v>
      </c>
      <c r="C227" s="4" t="s">
        <v>409</v>
      </c>
      <c r="D227" s="4" t="s">
        <v>2840</v>
      </c>
      <c r="E227" s="4" t="s">
        <v>2841</v>
      </c>
      <c r="F227" s="4" t="s">
        <v>2840</v>
      </c>
    </row>
    <row r="228" spans="1:6" ht="14.4" thickBot="1" x14ac:dyDescent="0.35">
      <c r="A228" s="4" t="s">
        <v>409</v>
      </c>
      <c r="B228" s="4" t="s">
        <v>410</v>
      </c>
      <c r="C228" s="4" t="s">
        <v>409</v>
      </c>
      <c r="D228" s="4" t="s">
        <v>415</v>
      </c>
      <c r="E228" s="4" t="s">
        <v>416</v>
      </c>
      <c r="F228" s="4" t="s">
        <v>415</v>
      </c>
    </row>
    <row r="229" spans="1:6" ht="14.4" thickBot="1" x14ac:dyDescent="0.35">
      <c r="A229" s="4" t="s">
        <v>409</v>
      </c>
      <c r="B229" s="4" t="s">
        <v>410</v>
      </c>
      <c r="C229" s="4" t="s">
        <v>409</v>
      </c>
      <c r="D229" s="4" t="s">
        <v>5745</v>
      </c>
      <c r="E229" s="4" t="s">
        <v>5746</v>
      </c>
      <c r="F229" s="4" t="s">
        <v>5745</v>
      </c>
    </row>
    <row r="230" spans="1:6" ht="14.4" thickBot="1" x14ac:dyDescent="0.35">
      <c r="A230" s="4" t="s">
        <v>409</v>
      </c>
      <c r="B230" s="4" t="s">
        <v>410</v>
      </c>
      <c r="C230" s="4" t="s">
        <v>409</v>
      </c>
      <c r="D230" s="4" t="s">
        <v>5070</v>
      </c>
      <c r="E230" s="4" t="s">
        <v>5071</v>
      </c>
      <c r="F230" s="4" t="s">
        <v>5070</v>
      </c>
    </row>
    <row r="231" spans="1:6" ht="14.4" thickBot="1" x14ac:dyDescent="0.35">
      <c r="A231" s="4" t="s">
        <v>409</v>
      </c>
      <c r="B231" s="4" t="s">
        <v>410</v>
      </c>
      <c r="C231" s="4" t="s">
        <v>409</v>
      </c>
      <c r="D231" s="4" t="s">
        <v>2838</v>
      </c>
      <c r="E231" s="4" t="s">
        <v>2839</v>
      </c>
      <c r="F231" s="4" t="s">
        <v>2838</v>
      </c>
    </row>
    <row r="232" spans="1:6" ht="14.4" thickBot="1" x14ac:dyDescent="0.35">
      <c r="A232" s="4" t="s">
        <v>409</v>
      </c>
      <c r="B232" s="4" t="s">
        <v>410</v>
      </c>
      <c r="C232" s="4" t="s">
        <v>409</v>
      </c>
      <c r="D232" s="4" t="s">
        <v>423</v>
      </c>
      <c r="E232" s="4" t="s">
        <v>424</v>
      </c>
      <c r="F232" s="4" t="s">
        <v>423</v>
      </c>
    </row>
    <row r="233" spans="1:6" ht="14.4" thickBot="1" x14ac:dyDescent="0.35">
      <c r="A233" s="4" t="s">
        <v>409</v>
      </c>
      <c r="B233" s="4" t="s">
        <v>410</v>
      </c>
      <c r="C233" s="4" t="s">
        <v>409</v>
      </c>
      <c r="D233" s="4" t="s">
        <v>1337</v>
      </c>
      <c r="E233" s="4" t="s">
        <v>1338</v>
      </c>
      <c r="F233" s="4" t="s">
        <v>1337</v>
      </c>
    </row>
    <row r="234" spans="1:6" ht="14.4" thickBot="1" x14ac:dyDescent="0.35">
      <c r="A234" s="4" t="s">
        <v>409</v>
      </c>
      <c r="B234" s="4" t="s">
        <v>410</v>
      </c>
      <c r="C234" s="4" t="s">
        <v>409</v>
      </c>
      <c r="D234" s="4" t="s">
        <v>2133</v>
      </c>
      <c r="E234" s="4" t="s">
        <v>2134</v>
      </c>
      <c r="F234" s="4" t="s">
        <v>2133</v>
      </c>
    </row>
    <row r="235" spans="1:6" ht="14.4" thickBot="1" x14ac:dyDescent="0.35">
      <c r="A235" s="4" t="s">
        <v>409</v>
      </c>
      <c r="B235" s="4" t="s">
        <v>410</v>
      </c>
      <c r="C235" s="4" t="s">
        <v>409</v>
      </c>
      <c r="D235" s="4" t="s">
        <v>2846</v>
      </c>
      <c r="E235" s="4" t="s">
        <v>2847</v>
      </c>
      <c r="F235" s="4" t="s">
        <v>2846</v>
      </c>
    </row>
    <row r="236" spans="1:6" ht="14.4" thickBot="1" x14ac:dyDescent="0.35">
      <c r="A236" s="4" t="s">
        <v>409</v>
      </c>
      <c r="B236" s="4" t="s">
        <v>410</v>
      </c>
      <c r="C236" s="4" t="s">
        <v>409</v>
      </c>
      <c r="D236" s="4" t="s">
        <v>5055</v>
      </c>
      <c r="E236" s="4" t="s">
        <v>5056</v>
      </c>
      <c r="F236" s="4" t="s">
        <v>5055</v>
      </c>
    </row>
    <row r="237" spans="1:6" ht="14.4" thickBot="1" x14ac:dyDescent="0.35">
      <c r="A237" s="4" t="s">
        <v>409</v>
      </c>
      <c r="B237" s="4" t="s">
        <v>410</v>
      </c>
      <c r="C237" s="4" t="s">
        <v>409</v>
      </c>
      <c r="D237" s="4" t="s">
        <v>411</v>
      </c>
      <c r="E237" s="4" t="s">
        <v>412</v>
      </c>
      <c r="F237" s="4" t="s">
        <v>411</v>
      </c>
    </row>
    <row r="238" spans="1:6" ht="14.4" thickBot="1" x14ac:dyDescent="0.35">
      <c r="A238" s="4" t="s">
        <v>409</v>
      </c>
      <c r="B238" s="4" t="s">
        <v>410</v>
      </c>
      <c r="C238" s="4" t="s">
        <v>409</v>
      </c>
      <c r="D238" s="4" t="s">
        <v>335</v>
      </c>
      <c r="E238" s="4" t="s">
        <v>1341</v>
      </c>
      <c r="F238" s="4" t="s">
        <v>335</v>
      </c>
    </row>
    <row r="239" spans="1:6" ht="14.4" thickBot="1" x14ac:dyDescent="0.35">
      <c r="A239" s="4" t="s">
        <v>409</v>
      </c>
      <c r="B239" s="4" t="s">
        <v>410</v>
      </c>
      <c r="C239" s="4" t="s">
        <v>409</v>
      </c>
      <c r="D239" s="4" t="s">
        <v>4385</v>
      </c>
      <c r="E239" s="4" t="s">
        <v>4386</v>
      </c>
      <c r="F239" s="4" t="s">
        <v>4385</v>
      </c>
    </row>
    <row r="240" spans="1:6" ht="14.4" thickBot="1" x14ac:dyDescent="0.35">
      <c r="A240" s="4" t="s">
        <v>409</v>
      </c>
      <c r="B240" s="4" t="s">
        <v>410</v>
      </c>
      <c r="C240" s="4" t="s">
        <v>409</v>
      </c>
      <c r="D240" s="4" t="s">
        <v>1346</v>
      </c>
      <c r="E240" s="4" t="s">
        <v>1347</v>
      </c>
      <c r="F240" s="4" t="s">
        <v>1346</v>
      </c>
    </row>
    <row r="241" spans="1:6" ht="14.4" thickBot="1" x14ac:dyDescent="0.35">
      <c r="A241" s="4" t="s">
        <v>409</v>
      </c>
      <c r="B241" s="4" t="s">
        <v>410</v>
      </c>
      <c r="C241" s="4" t="s">
        <v>409</v>
      </c>
      <c r="D241" s="4" t="s">
        <v>1344</v>
      </c>
      <c r="E241" s="4" t="s">
        <v>1345</v>
      </c>
      <c r="F241" s="4" t="s">
        <v>1344</v>
      </c>
    </row>
    <row r="242" spans="1:6" ht="14.4" thickBot="1" x14ac:dyDescent="0.35">
      <c r="A242" s="4" t="s">
        <v>409</v>
      </c>
      <c r="B242" s="4" t="s">
        <v>410</v>
      </c>
      <c r="C242" s="4" t="s">
        <v>409</v>
      </c>
      <c r="D242" s="4" t="s">
        <v>243</v>
      </c>
      <c r="E242" s="4" t="s">
        <v>3604</v>
      </c>
      <c r="F242" s="4" t="s">
        <v>243</v>
      </c>
    </row>
    <row r="243" spans="1:6" ht="14.4" thickBot="1" x14ac:dyDescent="0.35">
      <c r="A243" s="4" t="s">
        <v>409</v>
      </c>
      <c r="B243" s="4" t="s">
        <v>410</v>
      </c>
      <c r="C243" s="4" t="s">
        <v>409</v>
      </c>
      <c r="D243" s="4" t="s">
        <v>417</v>
      </c>
      <c r="E243" s="4" t="s">
        <v>418</v>
      </c>
      <c r="F243" s="4" t="s">
        <v>417</v>
      </c>
    </row>
    <row r="244" spans="1:6" ht="14.4" thickBot="1" x14ac:dyDescent="0.35">
      <c r="A244" s="4" t="s">
        <v>409</v>
      </c>
      <c r="B244" s="4" t="s">
        <v>410</v>
      </c>
      <c r="C244" s="4" t="s">
        <v>409</v>
      </c>
      <c r="D244" s="4" t="s">
        <v>5755</v>
      </c>
      <c r="E244" s="4" t="s">
        <v>5756</v>
      </c>
      <c r="F244" s="4" t="s">
        <v>5755</v>
      </c>
    </row>
    <row r="245" spans="1:6" ht="14.4" thickBot="1" x14ac:dyDescent="0.35">
      <c r="A245" s="4" t="s">
        <v>409</v>
      </c>
      <c r="B245" s="4" t="s">
        <v>410</v>
      </c>
      <c r="C245" s="4" t="s">
        <v>409</v>
      </c>
      <c r="D245" s="4" t="s">
        <v>3596</v>
      </c>
      <c r="E245" s="4" t="s">
        <v>3597</v>
      </c>
      <c r="F245" s="4" t="s">
        <v>3596</v>
      </c>
    </row>
    <row r="246" spans="1:6" ht="14.4" thickBot="1" x14ac:dyDescent="0.35">
      <c r="A246" s="4" t="s">
        <v>409</v>
      </c>
      <c r="B246" s="4" t="s">
        <v>410</v>
      </c>
      <c r="C246" s="4" t="s">
        <v>409</v>
      </c>
      <c r="D246" s="4" t="s">
        <v>2967</v>
      </c>
      <c r="E246" s="4" t="s">
        <v>2968</v>
      </c>
      <c r="F246" s="4" t="s">
        <v>2967</v>
      </c>
    </row>
    <row r="247" spans="1:6" ht="14.4" thickBot="1" x14ac:dyDescent="0.35">
      <c r="A247" s="4" t="s">
        <v>409</v>
      </c>
      <c r="B247" s="4" t="s">
        <v>410</v>
      </c>
      <c r="C247" s="4" t="s">
        <v>409</v>
      </c>
      <c r="D247" s="4" t="s">
        <v>5759</v>
      </c>
      <c r="E247" s="4" t="s">
        <v>5760</v>
      </c>
      <c r="F247" s="4" t="s">
        <v>5759</v>
      </c>
    </row>
    <row r="248" spans="1:6" ht="14.4" thickBot="1" x14ac:dyDescent="0.35">
      <c r="A248" s="4" t="s">
        <v>409</v>
      </c>
      <c r="B248" s="4" t="s">
        <v>410</v>
      </c>
      <c r="C248" s="4" t="s">
        <v>409</v>
      </c>
      <c r="D248" s="4" t="s">
        <v>3594</v>
      </c>
      <c r="E248" s="4" t="s">
        <v>3595</v>
      </c>
      <c r="F248" s="4" t="s">
        <v>3594</v>
      </c>
    </row>
    <row r="249" spans="1:6" ht="14.4" thickBot="1" x14ac:dyDescent="0.35">
      <c r="A249" s="4" t="s">
        <v>409</v>
      </c>
      <c r="B249" s="4" t="s">
        <v>410</v>
      </c>
      <c r="C249" s="4" t="s">
        <v>409</v>
      </c>
      <c r="D249" s="4" t="s">
        <v>3602</v>
      </c>
      <c r="E249" s="4" t="s">
        <v>3603</v>
      </c>
      <c r="F249" s="4" t="s">
        <v>3602</v>
      </c>
    </row>
    <row r="250" spans="1:6" ht="14.4" thickBot="1" x14ac:dyDescent="0.35">
      <c r="A250" s="4" t="s">
        <v>409</v>
      </c>
      <c r="B250" s="4" t="s">
        <v>410</v>
      </c>
      <c r="C250" s="4" t="s">
        <v>409</v>
      </c>
      <c r="D250" s="4" t="s">
        <v>2131</v>
      </c>
      <c r="E250" s="4" t="s">
        <v>2132</v>
      </c>
      <c r="F250" s="4" t="s">
        <v>2131</v>
      </c>
    </row>
    <row r="251" spans="1:6" ht="14.4" thickBot="1" x14ac:dyDescent="0.35">
      <c r="A251" s="4" t="s">
        <v>409</v>
      </c>
      <c r="B251" s="4" t="s">
        <v>410</v>
      </c>
      <c r="C251" s="4" t="s">
        <v>409</v>
      </c>
      <c r="D251" s="4" t="s">
        <v>2129</v>
      </c>
      <c r="E251" s="4" t="s">
        <v>2130</v>
      </c>
      <c r="F251" s="4" t="s">
        <v>2129</v>
      </c>
    </row>
    <row r="252" spans="1:6" ht="14.4" thickBot="1" x14ac:dyDescent="0.35">
      <c r="A252" s="4" t="s">
        <v>409</v>
      </c>
      <c r="B252" s="4" t="s">
        <v>410</v>
      </c>
      <c r="C252" s="4" t="s">
        <v>409</v>
      </c>
      <c r="D252" s="4" t="s">
        <v>3600</v>
      </c>
      <c r="E252" s="4" t="s">
        <v>3601</v>
      </c>
      <c r="F252" s="4" t="s">
        <v>3600</v>
      </c>
    </row>
    <row r="253" spans="1:6" ht="14.4" thickBot="1" x14ac:dyDescent="0.35">
      <c r="A253" s="4" t="s">
        <v>409</v>
      </c>
      <c r="B253" s="4" t="s">
        <v>410</v>
      </c>
      <c r="C253" s="4" t="s">
        <v>409</v>
      </c>
      <c r="D253" s="4" t="s">
        <v>2127</v>
      </c>
      <c r="E253" s="4" t="s">
        <v>2128</v>
      </c>
      <c r="F253" s="4" t="s">
        <v>2127</v>
      </c>
    </row>
    <row r="254" spans="1:6" ht="14.4" thickBot="1" x14ac:dyDescent="0.35">
      <c r="A254" s="4" t="s">
        <v>409</v>
      </c>
      <c r="B254" s="4" t="s">
        <v>410</v>
      </c>
      <c r="C254" s="4" t="s">
        <v>409</v>
      </c>
      <c r="D254" s="4" t="s">
        <v>2230</v>
      </c>
      <c r="E254" s="4" t="s">
        <v>2231</v>
      </c>
      <c r="F254" s="4" t="s">
        <v>2230</v>
      </c>
    </row>
    <row r="255" spans="1:6" ht="14.4" thickBot="1" x14ac:dyDescent="0.35">
      <c r="A255" s="4" t="s">
        <v>409</v>
      </c>
      <c r="B255" s="4" t="s">
        <v>410</v>
      </c>
      <c r="C255" s="4" t="s">
        <v>409</v>
      </c>
      <c r="D255" s="4" t="s">
        <v>5052</v>
      </c>
      <c r="E255" s="4" t="s">
        <v>5053</v>
      </c>
      <c r="F255" s="4" t="s">
        <v>5052</v>
      </c>
    </row>
    <row r="256" spans="1:6" ht="14.4" thickBot="1" x14ac:dyDescent="0.35">
      <c r="A256" s="4" t="s">
        <v>409</v>
      </c>
      <c r="B256" s="4" t="s">
        <v>410</v>
      </c>
      <c r="C256" s="4" t="s">
        <v>409</v>
      </c>
      <c r="D256" s="4" t="s">
        <v>5059</v>
      </c>
      <c r="E256" s="4" t="s">
        <v>5060</v>
      </c>
      <c r="F256" s="4" t="s">
        <v>5059</v>
      </c>
    </row>
    <row r="257" spans="1:6" ht="14.4" thickBot="1" x14ac:dyDescent="0.35">
      <c r="A257" s="4" t="s">
        <v>409</v>
      </c>
      <c r="B257" s="4" t="s">
        <v>410</v>
      </c>
      <c r="C257" s="4" t="s">
        <v>409</v>
      </c>
      <c r="D257" s="4" t="s">
        <v>2538</v>
      </c>
      <c r="E257" s="4" t="s">
        <v>5054</v>
      </c>
      <c r="F257" s="4" t="s">
        <v>2538</v>
      </c>
    </row>
    <row r="258" spans="1:6" ht="14.4" thickBot="1" x14ac:dyDescent="0.35">
      <c r="A258" s="4" t="s">
        <v>409</v>
      </c>
      <c r="B258" s="4" t="s">
        <v>410</v>
      </c>
      <c r="C258" s="4" t="s">
        <v>409</v>
      </c>
      <c r="D258" s="4" t="s">
        <v>5761</v>
      </c>
      <c r="E258" s="4" t="s">
        <v>5762</v>
      </c>
      <c r="F258" s="4" t="s">
        <v>5761</v>
      </c>
    </row>
    <row r="259" spans="1:6" ht="14.4" thickBot="1" x14ac:dyDescent="0.35">
      <c r="A259" s="4" t="s">
        <v>409</v>
      </c>
      <c r="B259" s="4" t="s">
        <v>410</v>
      </c>
      <c r="C259" s="4" t="s">
        <v>409</v>
      </c>
      <c r="D259" s="4" t="s">
        <v>4392</v>
      </c>
      <c r="E259" s="4" t="s">
        <v>4393</v>
      </c>
      <c r="F259" s="4" t="s">
        <v>4392</v>
      </c>
    </row>
    <row r="260" spans="1:6" ht="14.4" thickBot="1" x14ac:dyDescent="0.35">
      <c r="A260" s="4" t="s">
        <v>409</v>
      </c>
      <c r="B260" s="4" t="s">
        <v>410</v>
      </c>
      <c r="C260" s="4" t="s">
        <v>409</v>
      </c>
      <c r="D260" s="4" t="s">
        <v>5069</v>
      </c>
      <c r="E260" s="4" t="s">
        <v>4155</v>
      </c>
      <c r="F260" s="4" t="s">
        <v>5069</v>
      </c>
    </row>
    <row r="261" spans="1:6" ht="14.4" thickBot="1" x14ac:dyDescent="0.35">
      <c r="A261" s="4" t="s">
        <v>409</v>
      </c>
      <c r="B261" s="4" t="s">
        <v>410</v>
      </c>
      <c r="C261" s="4" t="s">
        <v>409</v>
      </c>
      <c r="D261" s="4" t="s">
        <v>3710</v>
      </c>
      <c r="E261" s="4" t="s">
        <v>3711</v>
      </c>
      <c r="F261" s="4" t="s">
        <v>3710</v>
      </c>
    </row>
    <row r="262" spans="1:6" ht="14.4" thickBot="1" x14ac:dyDescent="0.35">
      <c r="A262" s="4" t="s">
        <v>409</v>
      </c>
      <c r="B262" s="4" t="s">
        <v>410</v>
      </c>
      <c r="C262" s="4" t="s">
        <v>409</v>
      </c>
      <c r="D262" s="4" t="s">
        <v>2852</v>
      </c>
      <c r="E262" s="4" t="s">
        <v>2853</v>
      </c>
      <c r="F262" s="4" t="s">
        <v>2852</v>
      </c>
    </row>
    <row r="263" spans="1:6" ht="14.4" thickBot="1" x14ac:dyDescent="0.35">
      <c r="A263" s="4" t="s">
        <v>409</v>
      </c>
      <c r="B263" s="4" t="s">
        <v>410</v>
      </c>
      <c r="C263" s="4" t="s">
        <v>409</v>
      </c>
      <c r="D263" s="4" t="s">
        <v>4493</v>
      </c>
      <c r="E263" s="4" t="s">
        <v>4494</v>
      </c>
      <c r="F263" s="4" t="s">
        <v>4493</v>
      </c>
    </row>
    <row r="264" spans="1:6" ht="14.4" thickBot="1" x14ac:dyDescent="0.35">
      <c r="A264" s="4" t="s">
        <v>409</v>
      </c>
      <c r="B264" s="4" t="s">
        <v>410</v>
      </c>
      <c r="C264" s="4" t="s">
        <v>409</v>
      </c>
      <c r="D264" s="4" t="s">
        <v>1348</v>
      </c>
      <c r="E264" s="4" t="s">
        <v>1349</v>
      </c>
      <c r="F264" s="4" t="s">
        <v>1348</v>
      </c>
    </row>
    <row r="265" spans="1:6" ht="14.4" thickBot="1" x14ac:dyDescent="0.35">
      <c r="A265" s="4" t="s">
        <v>409</v>
      </c>
      <c r="B265" s="4" t="s">
        <v>410</v>
      </c>
      <c r="C265" s="4" t="s">
        <v>409</v>
      </c>
      <c r="D265" s="4" t="s">
        <v>1339</v>
      </c>
      <c r="E265" s="4" t="s">
        <v>1340</v>
      </c>
      <c r="F265" s="4" t="s">
        <v>1339</v>
      </c>
    </row>
    <row r="266" spans="1:6" ht="14.4" thickBot="1" x14ac:dyDescent="0.35">
      <c r="A266" s="4" t="s">
        <v>409</v>
      </c>
      <c r="B266" s="4" t="s">
        <v>410</v>
      </c>
      <c r="C266" s="4" t="s">
        <v>409</v>
      </c>
      <c r="D266" s="4" t="s">
        <v>421</v>
      </c>
      <c r="E266" s="4" t="s">
        <v>422</v>
      </c>
      <c r="F266" s="4" t="s">
        <v>421</v>
      </c>
    </row>
    <row r="267" spans="1:6" ht="14.4" thickBot="1" x14ac:dyDescent="0.35">
      <c r="A267" s="4" t="s">
        <v>409</v>
      </c>
      <c r="B267" s="4" t="s">
        <v>410</v>
      </c>
      <c r="C267" s="4" t="s">
        <v>409</v>
      </c>
      <c r="D267" s="4" t="s">
        <v>1329</v>
      </c>
      <c r="E267" s="4" t="s">
        <v>1330</v>
      </c>
      <c r="F267" s="4" t="s">
        <v>1329</v>
      </c>
    </row>
    <row r="268" spans="1:6" ht="14.4" thickBot="1" x14ac:dyDescent="0.35">
      <c r="A268" s="4" t="s">
        <v>409</v>
      </c>
      <c r="B268" s="4" t="s">
        <v>410</v>
      </c>
      <c r="C268" s="4" t="s">
        <v>409</v>
      </c>
      <c r="D268" s="4" t="s">
        <v>3592</v>
      </c>
      <c r="E268" s="4" t="s">
        <v>3593</v>
      </c>
      <c r="F268" s="4" t="s">
        <v>3592</v>
      </c>
    </row>
    <row r="269" spans="1:6" ht="14.4" thickBot="1" x14ac:dyDescent="0.35">
      <c r="A269" s="4" t="s">
        <v>409</v>
      </c>
      <c r="B269" s="4" t="s">
        <v>410</v>
      </c>
      <c r="C269" s="4" t="s">
        <v>409</v>
      </c>
      <c r="D269" s="4" t="s">
        <v>1342</v>
      </c>
      <c r="E269" s="4" t="s">
        <v>1343</v>
      </c>
      <c r="F269" s="4" t="s">
        <v>1342</v>
      </c>
    </row>
    <row r="270" spans="1:6" ht="14.4" thickBot="1" x14ac:dyDescent="0.35">
      <c r="A270" s="4" t="s">
        <v>409</v>
      </c>
      <c r="B270" s="4" t="s">
        <v>410</v>
      </c>
      <c r="C270" s="4" t="s">
        <v>409</v>
      </c>
      <c r="D270" s="4" t="s">
        <v>561</v>
      </c>
      <c r="E270" s="4" t="s">
        <v>562</v>
      </c>
      <c r="F270" s="4" t="s">
        <v>561</v>
      </c>
    </row>
    <row r="271" spans="1:6" ht="14.4" thickBot="1" x14ac:dyDescent="0.35">
      <c r="A271" s="4" t="s">
        <v>409</v>
      </c>
      <c r="B271" s="4" t="s">
        <v>410</v>
      </c>
      <c r="C271" s="4" t="s">
        <v>409</v>
      </c>
      <c r="D271" s="4" t="s">
        <v>4383</v>
      </c>
      <c r="E271" s="4" t="s">
        <v>4384</v>
      </c>
      <c r="F271" s="4" t="s">
        <v>4383</v>
      </c>
    </row>
    <row r="272" spans="1:6" ht="14.4" thickBot="1" x14ac:dyDescent="0.35">
      <c r="A272" s="4" t="s">
        <v>409</v>
      </c>
      <c r="B272" s="4" t="s">
        <v>410</v>
      </c>
      <c r="C272" s="4" t="s">
        <v>409</v>
      </c>
      <c r="D272" s="4" t="s">
        <v>3586</v>
      </c>
      <c r="E272" s="4" t="s">
        <v>3587</v>
      </c>
      <c r="F272" s="4" t="s">
        <v>3586</v>
      </c>
    </row>
    <row r="273" spans="1:6" ht="14.4" thickBot="1" x14ac:dyDescent="0.35">
      <c r="A273" s="4" t="s">
        <v>409</v>
      </c>
      <c r="B273" s="4" t="s">
        <v>410</v>
      </c>
      <c r="C273" s="4" t="s">
        <v>409</v>
      </c>
      <c r="D273" s="4" t="s">
        <v>2975</v>
      </c>
      <c r="E273" s="4" t="s">
        <v>2976</v>
      </c>
      <c r="F273" s="4" t="s">
        <v>2975</v>
      </c>
    </row>
    <row r="274" spans="1:6" ht="14.4" thickBot="1" x14ac:dyDescent="0.35">
      <c r="A274" s="4" t="s">
        <v>409</v>
      </c>
      <c r="B274" s="4" t="s">
        <v>410</v>
      </c>
      <c r="C274" s="4" t="s">
        <v>409</v>
      </c>
      <c r="D274" s="4" t="s">
        <v>2973</v>
      </c>
      <c r="E274" s="4" t="s">
        <v>2974</v>
      </c>
      <c r="F274" s="4" t="s">
        <v>2973</v>
      </c>
    </row>
    <row r="275" spans="1:6" ht="14.4" thickBot="1" x14ac:dyDescent="0.35">
      <c r="A275" s="4" t="s">
        <v>409</v>
      </c>
      <c r="B275" s="4" t="s">
        <v>410</v>
      </c>
      <c r="C275" s="4" t="s">
        <v>409</v>
      </c>
      <c r="D275" s="4" t="s">
        <v>2232</v>
      </c>
      <c r="E275" s="4" t="s">
        <v>2233</v>
      </c>
      <c r="F275" s="4" t="s">
        <v>2232</v>
      </c>
    </row>
    <row r="276" spans="1:6" ht="14.4" thickBot="1" x14ac:dyDescent="0.35">
      <c r="A276" s="4" t="s">
        <v>409</v>
      </c>
      <c r="B276" s="4" t="s">
        <v>410</v>
      </c>
      <c r="C276" s="4" t="s">
        <v>409</v>
      </c>
      <c r="D276" s="4" t="s">
        <v>5855</v>
      </c>
      <c r="E276" s="4" t="s">
        <v>5856</v>
      </c>
      <c r="F276" s="4" t="s">
        <v>5855</v>
      </c>
    </row>
    <row r="277" spans="1:6" ht="14.4" thickBot="1" x14ac:dyDescent="0.35">
      <c r="A277" s="4" t="s">
        <v>409</v>
      </c>
      <c r="B277" s="4" t="s">
        <v>410</v>
      </c>
      <c r="C277" s="4" t="s">
        <v>409</v>
      </c>
      <c r="D277" s="4" t="s">
        <v>5176</v>
      </c>
      <c r="E277" s="4" t="s">
        <v>5177</v>
      </c>
      <c r="F277" s="4" t="s">
        <v>5176</v>
      </c>
    </row>
    <row r="278" spans="1:6" ht="14.4" thickBot="1" x14ac:dyDescent="0.35">
      <c r="A278" s="4" t="s">
        <v>409</v>
      </c>
      <c r="B278" s="4" t="s">
        <v>410</v>
      </c>
      <c r="C278" s="4" t="s">
        <v>409</v>
      </c>
      <c r="D278" s="4" t="s">
        <v>4491</v>
      </c>
      <c r="E278" s="4" t="s">
        <v>4492</v>
      </c>
      <c r="F278" s="4" t="s">
        <v>4491</v>
      </c>
    </row>
    <row r="279" spans="1:6" ht="14.4" thickBot="1" x14ac:dyDescent="0.35">
      <c r="A279" s="4" t="s">
        <v>409</v>
      </c>
      <c r="B279" s="4" t="s">
        <v>410</v>
      </c>
      <c r="C279" s="4" t="s">
        <v>409</v>
      </c>
      <c r="D279" s="4" t="s">
        <v>2971</v>
      </c>
      <c r="E279" s="4" t="s">
        <v>2972</v>
      </c>
      <c r="F279" s="4" t="s">
        <v>2971</v>
      </c>
    </row>
    <row r="280" spans="1:6" ht="14.4" thickBot="1" x14ac:dyDescent="0.35">
      <c r="A280" s="4" t="s">
        <v>409</v>
      </c>
      <c r="B280" s="4" t="s">
        <v>410</v>
      </c>
      <c r="C280" s="4" t="s">
        <v>409</v>
      </c>
      <c r="D280" s="4" t="s">
        <v>1491</v>
      </c>
      <c r="E280" s="4" t="s">
        <v>1492</v>
      </c>
      <c r="F280" s="4" t="s">
        <v>1491</v>
      </c>
    </row>
    <row r="281" spans="1:6" ht="14.4" thickBot="1" x14ac:dyDescent="0.35">
      <c r="A281" s="4" t="s">
        <v>409</v>
      </c>
      <c r="B281" s="4" t="s">
        <v>410</v>
      </c>
      <c r="C281" s="4" t="s">
        <v>409</v>
      </c>
      <c r="D281" s="4" t="s">
        <v>2228</v>
      </c>
      <c r="E281" s="4" t="s">
        <v>2229</v>
      </c>
      <c r="F281" s="4" t="s">
        <v>2228</v>
      </c>
    </row>
    <row r="282" spans="1:6" ht="14.4" thickBot="1" x14ac:dyDescent="0.35">
      <c r="A282" s="4" t="s">
        <v>409</v>
      </c>
      <c r="B282" s="4" t="s">
        <v>410</v>
      </c>
      <c r="C282" s="4" t="s">
        <v>409</v>
      </c>
      <c r="D282" s="4" t="s">
        <v>5751</v>
      </c>
      <c r="E282" s="4" t="s">
        <v>5752</v>
      </c>
      <c r="F282" s="4" t="s">
        <v>5751</v>
      </c>
    </row>
    <row r="283" spans="1:6" ht="14.4" thickBot="1" x14ac:dyDescent="0.35">
      <c r="A283" s="4" t="s">
        <v>409</v>
      </c>
      <c r="B283" s="4" t="s">
        <v>410</v>
      </c>
      <c r="C283" s="4" t="s">
        <v>409</v>
      </c>
      <c r="D283" s="4" t="s">
        <v>1333</v>
      </c>
      <c r="E283" s="4" t="s">
        <v>1334</v>
      </c>
      <c r="F283" s="4" t="s">
        <v>1333</v>
      </c>
    </row>
    <row r="284" spans="1:6" ht="14.4" thickBot="1" x14ac:dyDescent="0.35">
      <c r="A284" s="4" t="s">
        <v>409</v>
      </c>
      <c r="B284" s="4" t="s">
        <v>410</v>
      </c>
      <c r="C284" s="4" t="s">
        <v>409</v>
      </c>
      <c r="D284" s="4" t="s">
        <v>559</v>
      </c>
      <c r="E284" s="4" t="s">
        <v>560</v>
      </c>
      <c r="F284" s="4" t="s">
        <v>559</v>
      </c>
    </row>
    <row r="285" spans="1:6" ht="14.4" thickBot="1" x14ac:dyDescent="0.35">
      <c r="A285" s="4" t="s">
        <v>409</v>
      </c>
      <c r="B285" s="4" t="s">
        <v>410</v>
      </c>
      <c r="C285" s="4" t="s">
        <v>409</v>
      </c>
      <c r="D285" s="4" t="s">
        <v>5057</v>
      </c>
      <c r="E285" s="4" t="s">
        <v>5058</v>
      </c>
      <c r="F285" s="4" t="s">
        <v>5057</v>
      </c>
    </row>
    <row r="286" spans="1:6" ht="14.4" thickBot="1" x14ac:dyDescent="0.35">
      <c r="A286" s="4" t="s">
        <v>409</v>
      </c>
      <c r="B286" s="4" t="s">
        <v>410</v>
      </c>
      <c r="C286" s="4" t="s">
        <v>409</v>
      </c>
      <c r="D286" s="4" t="s">
        <v>419</v>
      </c>
      <c r="E286" s="4" t="s">
        <v>420</v>
      </c>
      <c r="F286" s="4" t="s">
        <v>419</v>
      </c>
    </row>
    <row r="287" spans="1:6" ht="14.4" thickBot="1" x14ac:dyDescent="0.35">
      <c r="A287" s="4" t="s">
        <v>409</v>
      </c>
      <c r="B287" s="4" t="s">
        <v>410</v>
      </c>
      <c r="C287" s="4" t="s">
        <v>409</v>
      </c>
      <c r="D287" s="4" t="s">
        <v>5749</v>
      </c>
      <c r="E287" s="4" t="s">
        <v>5750</v>
      </c>
      <c r="F287" s="4" t="s">
        <v>5749</v>
      </c>
    </row>
    <row r="288" spans="1:6" ht="14.4" thickBot="1" x14ac:dyDescent="0.35">
      <c r="A288" s="4" t="s">
        <v>409</v>
      </c>
      <c r="B288" s="4" t="s">
        <v>410</v>
      </c>
      <c r="C288" s="4" t="s">
        <v>409</v>
      </c>
      <c r="D288" s="4" t="s">
        <v>2842</v>
      </c>
      <c r="E288" s="4" t="s">
        <v>2843</v>
      </c>
      <c r="F288" s="4" t="s">
        <v>2842</v>
      </c>
    </row>
    <row r="289" spans="1:6" ht="14.4" thickBot="1" x14ac:dyDescent="0.35">
      <c r="A289" s="4" t="s">
        <v>409</v>
      </c>
      <c r="B289" s="4" t="s">
        <v>410</v>
      </c>
      <c r="C289" s="4" t="s">
        <v>409</v>
      </c>
      <c r="D289" s="4" t="s">
        <v>5747</v>
      </c>
      <c r="E289" s="4" t="s">
        <v>5748</v>
      </c>
      <c r="F289" s="4" t="s">
        <v>5747</v>
      </c>
    </row>
    <row r="290" spans="1:6" ht="14.4" thickBot="1" x14ac:dyDescent="0.35">
      <c r="A290" s="4" t="s">
        <v>409</v>
      </c>
      <c r="B290" s="4" t="s">
        <v>410</v>
      </c>
      <c r="C290" s="4" t="s">
        <v>409</v>
      </c>
      <c r="D290" s="4" t="s">
        <v>1489</v>
      </c>
      <c r="E290" s="4" t="s">
        <v>1490</v>
      </c>
      <c r="F290" s="4" t="s">
        <v>1489</v>
      </c>
    </row>
    <row r="291" spans="1:6" ht="14.4" thickBot="1" x14ac:dyDescent="0.35">
      <c r="A291" s="4" t="s">
        <v>409</v>
      </c>
      <c r="B291" s="4" t="s">
        <v>410</v>
      </c>
      <c r="C291" s="4" t="s">
        <v>409</v>
      </c>
      <c r="D291" s="4" t="s">
        <v>4387</v>
      </c>
      <c r="E291" s="4" t="s">
        <v>4388</v>
      </c>
      <c r="F291" s="4" t="s">
        <v>4387</v>
      </c>
    </row>
    <row r="292" spans="1:6" ht="14.4" thickBot="1" x14ac:dyDescent="0.35">
      <c r="A292" s="4" t="s">
        <v>409</v>
      </c>
      <c r="B292" s="4" t="s">
        <v>410</v>
      </c>
      <c r="C292" s="4" t="s">
        <v>409</v>
      </c>
      <c r="D292" s="4" t="s">
        <v>2850</v>
      </c>
      <c r="E292" s="4" t="s">
        <v>2851</v>
      </c>
      <c r="F292" s="4" t="s">
        <v>2850</v>
      </c>
    </row>
    <row r="293" spans="1:6" ht="14.4" thickBot="1" x14ac:dyDescent="0.35">
      <c r="A293" s="4" t="s">
        <v>409</v>
      </c>
      <c r="B293" s="4" t="s">
        <v>410</v>
      </c>
      <c r="C293" s="4" t="s">
        <v>409</v>
      </c>
      <c r="D293" s="4" t="s">
        <v>413</v>
      </c>
      <c r="E293" s="4" t="s">
        <v>414</v>
      </c>
      <c r="F293" s="4" t="s">
        <v>413</v>
      </c>
    </row>
    <row r="294" spans="1:6" ht="14.4" thickBot="1" x14ac:dyDescent="0.35">
      <c r="A294" s="4" t="s">
        <v>409</v>
      </c>
      <c r="B294" s="4" t="s">
        <v>410</v>
      </c>
      <c r="C294" s="4" t="s">
        <v>409</v>
      </c>
      <c r="D294" s="4" t="s">
        <v>3590</v>
      </c>
      <c r="E294" s="4" t="s">
        <v>3591</v>
      </c>
      <c r="F294" s="4" t="s">
        <v>3590</v>
      </c>
    </row>
    <row r="295" spans="1:6" ht="14.4" thickBot="1" x14ac:dyDescent="0.35">
      <c r="A295" s="4" t="s">
        <v>409</v>
      </c>
      <c r="B295" s="4" t="s">
        <v>410</v>
      </c>
      <c r="C295" s="4" t="s">
        <v>409</v>
      </c>
      <c r="D295" s="4" t="s">
        <v>5067</v>
      </c>
      <c r="E295" s="4" t="s">
        <v>5068</v>
      </c>
      <c r="F295" s="4" t="s">
        <v>5067</v>
      </c>
    </row>
    <row r="296" spans="1:6" ht="14.4" thickBot="1" x14ac:dyDescent="0.35">
      <c r="A296" s="4" t="s">
        <v>409</v>
      </c>
      <c r="B296" s="4" t="s">
        <v>410</v>
      </c>
      <c r="C296" s="4" t="s">
        <v>409</v>
      </c>
      <c r="D296" s="4" t="s">
        <v>1331</v>
      </c>
      <c r="E296" s="4" t="s">
        <v>1332</v>
      </c>
      <c r="F296" s="4" t="s">
        <v>1331</v>
      </c>
    </row>
    <row r="297" spans="1:6" ht="14.4" thickBot="1" x14ac:dyDescent="0.35">
      <c r="A297" s="4" t="s">
        <v>409</v>
      </c>
      <c r="B297" s="4" t="s">
        <v>410</v>
      </c>
      <c r="C297" s="4" t="s">
        <v>409</v>
      </c>
      <c r="D297" s="4" t="s">
        <v>2125</v>
      </c>
      <c r="E297" s="4" t="s">
        <v>2126</v>
      </c>
      <c r="F297" s="4" t="s">
        <v>2125</v>
      </c>
    </row>
    <row r="298" spans="1:6" ht="14.4" thickBot="1" x14ac:dyDescent="0.35">
      <c r="A298" s="4" t="s">
        <v>409</v>
      </c>
      <c r="B298" s="4" t="s">
        <v>410</v>
      </c>
      <c r="C298" s="4" t="s">
        <v>409</v>
      </c>
      <c r="D298" s="4" t="s">
        <v>5065</v>
      </c>
      <c r="E298" s="4" t="s">
        <v>5066</v>
      </c>
      <c r="F298" s="4" t="s">
        <v>5065</v>
      </c>
    </row>
    <row r="299" spans="1:6" ht="14.4" thickBot="1" x14ac:dyDescent="0.35">
      <c r="A299" s="4" t="s">
        <v>409</v>
      </c>
      <c r="B299" s="4" t="s">
        <v>410</v>
      </c>
      <c r="C299" s="4" t="s">
        <v>409</v>
      </c>
      <c r="D299" s="4" t="s">
        <v>2122</v>
      </c>
      <c r="E299" s="4" t="s">
        <v>2123</v>
      </c>
      <c r="F299" s="4" t="s">
        <v>2122</v>
      </c>
    </row>
    <row r="300" spans="1:6" ht="14.4" thickBot="1" x14ac:dyDescent="0.35">
      <c r="A300" s="4" t="s">
        <v>409</v>
      </c>
      <c r="B300" s="4" t="s">
        <v>410</v>
      </c>
      <c r="C300" s="4" t="s">
        <v>409</v>
      </c>
      <c r="D300" s="4" t="s">
        <v>3588</v>
      </c>
      <c r="E300" s="4" t="s">
        <v>3589</v>
      </c>
      <c r="F300" s="4" t="s">
        <v>3588</v>
      </c>
    </row>
    <row r="301" spans="1:6" ht="14.4" thickBot="1" x14ac:dyDescent="0.35">
      <c r="A301" s="4" t="s">
        <v>409</v>
      </c>
      <c r="B301" s="4" t="s">
        <v>410</v>
      </c>
      <c r="C301" s="4" t="s">
        <v>409</v>
      </c>
      <c r="D301" s="4" t="s">
        <v>5063</v>
      </c>
      <c r="E301" s="4" t="s">
        <v>5064</v>
      </c>
      <c r="F301" s="4" t="s">
        <v>5063</v>
      </c>
    </row>
    <row r="302" spans="1:6" ht="14.4" thickBot="1" x14ac:dyDescent="0.35">
      <c r="A302" s="4" t="s">
        <v>409</v>
      </c>
      <c r="B302" s="4" t="s">
        <v>410</v>
      </c>
      <c r="C302" s="4" t="s">
        <v>409</v>
      </c>
      <c r="D302" s="4" t="s">
        <v>4391</v>
      </c>
      <c r="E302" s="4" t="s">
        <v>2425</v>
      </c>
      <c r="F302" s="4" t="s">
        <v>4391</v>
      </c>
    </row>
    <row r="303" spans="1:6" ht="14.4" thickBot="1" x14ac:dyDescent="0.35">
      <c r="A303" s="4" t="s">
        <v>409</v>
      </c>
      <c r="B303" s="4" t="s">
        <v>410</v>
      </c>
      <c r="C303" s="4" t="s">
        <v>409</v>
      </c>
      <c r="D303" s="4" t="s">
        <v>2124</v>
      </c>
      <c r="E303" s="4" t="s">
        <v>613</v>
      </c>
      <c r="F303" s="4" t="s">
        <v>2124</v>
      </c>
    </row>
    <row r="304" spans="1:6" ht="14.4" thickBot="1" x14ac:dyDescent="0.35">
      <c r="A304" s="4" t="s">
        <v>409</v>
      </c>
      <c r="B304" s="4" t="s">
        <v>410</v>
      </c>
      <c r="C304" s="4" t="s">
        <v>409</v>
      </c>
      <c r="D304" s="4" t="s">
        <v>2969</v>
      </c>
      <c r="E304" s="4" t="s">
        <v>2970</v>
      </c>
      <c r="F304" s="4" t="s">
        <v>2969</v>
      </c>
    </row>
    <row r="305" spans="1:6" ht="14.4" thickBot="1" x14ac:dyDescent="0.35">
      <c r="A305" s="4" t="s">
        <v>409</v>
      </c>
      <c r="B305" s="4" t="s">
        <v>410</v>
      </c>
      <c r="C305" s="4" t="s">
        <v>409</v>
      </c>
      <c r="D305" s="4" t="s">
        <v>5178</v>
      </c>
      <c r="E305" s="4" t="s">
        <v>5179</v>
      </c>
      <c r="F305" s="4" t="s">
        <v>5178</v>
      </c>
    </row>
    <row r="306" spans="1:6" ht="14.4" thickBot="1" x14ac:dyDescent="0.35">
      <c r="A306" s="4" t="s">
        <v>409</v>
      </c>
      <c r="B306" s="4" t="s">
        <v>410</v>
      </c>
      <c r="C306" s="4" t="s">
        <v>409</v>
      </c>
      <c r="D306" s="4" t="s">
        <v>2977</v>
      </c>
      <c r="E306" s="4" t="s">
        <v>2978</v>
      </c>
      <c r="F306" s="4" t="s">
        <v>2977</v>
      </c>
    </row>
    <row r="307" spans="1:6" ht="14.4" thickBot="1" x14ac:dyDescent="0.35">
      <c r="A307" s="4" t="s">
        <v>409</v>
      </c>
      <c r="B307" s="4" t="s">
        <v>410</v>
      </c>
      <c r="C307" s="4" t="s">
        <v>409</v>
      </c>
      <c r="D307" s="4" t="s">
        <v>4389</v>
      </c>
      <c r="E307" s="4" t="s">
        <v>4390</v>
      </c>
      <c r="F307" s="4" t="s">
        <v>4389</v>
      </c>
    </row>
    <row r="308" spans="1:6" ht="14.4" thickBot="1" x14ac:dyDescent="0.35">
      <c r="A308" s="4" t="s">
        <v>409</v>
      </c>
      <c r="B308" s="4" t="s">
        <v>410</v>
      </c>
      <c r="C308" s="4" t="s">
        <v>409</v>
      </c>
      <c r="D308" s="4" t="s">
        <v>5757</v>
      </c>
      <c r="E308" s="4" t="s">
        <v>5758</v>
      </c>
      <c r="F308" s="4" t="s">
        <v>5757</v>
      </c>
    </row>
    <row r="309" spans="1:6" ht="14.4" thickBot="1" x14ac:dyDescent="0.35">
      <c r="A309" s="4" t="s">
        <v>409</v>
      </c>
      <c r="B309" s="4" t="s">
        <v>410</v>
      </c>
      <c r="C309" s="4" t="s">
        <v>409</v>
      </c>
      <c r="D309" s="4" t="s">
        <v>3598</v>
      </c>
      <c r="E309" s="4" t="s">
        <v>3599</v>
      </c>
      <c r="F309" s="4" t="s">
        <v>3598</v>
      </c>
    </row>
    <row r="310" spans="1:6" ht="14.4" thickBot="1" x14ac:dyDescent="0.35">
      <c r="A310" s="4" t="s">
        <v>409</v>
      </c>
      <c r="B310" s="4" t="s">
        <v>410</v>
      </c>
      <c r="C310" s="4" t="s">
        <v>409</v>
      </c>
      <c r="D310" s="4" t="s">
        <v>2848</v>
      </c>
      <c r="E310" s="4" t="s">
        <v>2849</v>
      </c>
      <c r="F310" s="4" t="s">
        <v>2848</v>
      </c>
    </row>
    <row r="311" spans="1:6" ht="14.4" thickBot="1" x14ac:dyDescent="0.35">
      <c r="A311" s="4" t="s">
        <v>409</v>
      </c>
      <c r="B311" s="4" t="s">
        <v>410</v>
      </c>
      <c r="C311" s="4" t="s">
        <v>409</v>
      </c>
      <c r="D311" s="4" t="s">
        <v>5061</v>
      </c>
      <c r="E311" s="4" t="s">
        <v>5062</v>
      </c>
      <c r="F311" s="4" t="s">
        <v>5061</v>
      </c>
    </row>
    <row r="312" spans="1:6" ht="14.4" thickBot="1" x14ac:dyDescent="0.35">
      <c r="A312" s="4" t="s">
        <v>409</v>
      </c>
      <c r="B312" s="4" t="s">
        <v>410</v>
      </c>
      <c r="C312" s="4" t="s">
        <v>409</v>
      </c>
      <c r="D312" s="4" t="s">
        <v>1335</v>
      </c>
      <c r="E312" s="4" t="s">
        <v>1336</v>
      </c>
      <c r="F312" s="4" t="s">
        <v>1335</v>
      </c>
    </row>
    <row r="313" spans="1:6" ht="14.4" thickBot="1" x14ac:dyDescent="0.35">
      <c r="A313" s="4" t="s">
        <v>409</v>
      </c>
      <c r="B313" s="4" t="s">
        <v>410</v>
      </c>
      <c r="C313" s="4" t="s">
        <v>409</v>
      </c>
      <c r="D313" s="4" t="s">
        <v>4495</v>
      </c>
      <c r="E313" s="4" t="s">
        <v>4496</v>
      </c>
      <c r="F313" s="4" t="s">
        <v>4495</v>
      </c>
    </row>
    <row r="314" spans="1:6" ht="14.4" thickBot="1" x14ac:dyDescent="0.35">
      <c r="A314" s="4" t="s">
        <v>425</v>
      </c>
      <c r="B314" s="4" t="s">
        <v>426</v>
      </c>
      <c r="C314" s="4" t="s">
        <v>425</v>
      </c>
      <c r="D314" s="4" t="s">
        <v>1493</v>
      </c>
      <c r="E314" s="4" t="s">
        <v>1494</v>
      </c>
      <c r="F314" s="4" t="s">
        <v>1493</v>
      </c>
    </row>
    <row r="315" spans="1:6" ht="14.4" thickBot="1" x14ac:dyDescent="0.35">
      <c r="A315" s="4" t="s">
        <v>425</v>
      </c>
      <c r="B315" s="4" t="s">
        <v>426</v>
      </c>
      <c r="C315" s="4" t="s">
        <v>425</v>
      </c>
      <c r="D315" s="4" t="s">
        <v>2234</v>
      </c>
      <c r="E315" s="4" t="s">
        <v>2235</v>
      </c>
      <c r="F315" s="4" t="s">
        <v>2234</v>
      </c>
    </row>
    <row r="316" spans="1:6" ht="14.4" thickBot="1" x14ac:dyDescent="0.35">
      <c r="A316" s="4" t="s">
        <v>425</v>
      </c>
      <c r="B316" s="4" t="s">
        <v>426</v>
      </c>
      <c r="C316" s="4" t="s">
        <v>425</v>
      </c>
      <c r="D316" s="4" t="s">
        <v>5767</v>
      </c>
      <c r="E316" s="4" t="s">
        <v>5768</v>
      </c>
      <c r="F316" s="4" t="s">
        <v>5767</v>
      </c>
    </row>
    <row r="317" spans="1:6" ht="14.4" thickBot="1" x14ac:dyDescent="0.35">
      <c r="A317" s="4" t="s">
        <v>425</v>
      </c>
      <c r="B317" s="4" t="s">
        <v>426</v>
      </c>
      <c r="C317" s="4" t="s">
        <v>425</v>
      </c>
      <c r="D317" s="4" t="s">
        <v>1356</v>
      </c>
      <c r="E317" s="4" t="s">
        <v>1357</v>
      </c>
      <c r="F317" s="4" t="s">
        <v>1356</v>
      </c>
    </row>
    <row r="318" spans="1:6" ht="14.4" thickBot="1" x14ac:dyDescent="0.35">
      <c r="A318" s="4" t="s">
        <v>425</v>
      </c>
      <c r="B318" s="4" t="s">
        <v>426</v>
      </c>
      <c r="C318" s="4" t="s">
        <v>425</v>
      </c>
      <c r="D318" s="4" t="s">
        <v>3605</v>
      </c>
      <c r="E318" s="4" t="s">
        <v>3606</v>
      </c>
      <c r="F318" s="4" t="s">
        <v>3605</v>
      </c>
    </row>
    <row r="319" spans="1:6" ht="14.4" thickBot="1" x14ac:dyDescent="0.35">
      <c r="A319" s="4" t="s">
        <v>425</v>
      </c>
      <c r="B319" s="4" t="s">
        <v>426</v>
      </c>
      <c r="C319" s="4" t="s">
        <v>425</v>
      </c>
      <c r="D319" s="4" t="s">
        <v>1354</v>
      </c>
      <c r="E319" s="4" t="s">
        <v>1355</v>
      </c>
      <c r="F319" s="4" t="s">
        <v>1354</v>
      </c>
    </row>
    <row r="320" spans="1:6" ht="14.4" thickBot="1" x14ac:dyDescent="0.35">
      <c r="A320" s="4" t="s">
        <v>425</v>
      </c>
      <c r="B320" s="4" t="s">
        <v>426</v>
      </c>
      <c r="C320" s="4" t="s">
        <v>425</v>
      </c>
      <c r="D320" s="4" t="s">
        <v>4497</v>
      </c>
      <c r="E320" s="4" t="s">
        <v>4498</v>
      </c>
      <c r="F320" s="4" t="s">
        <v>4497</v>
      </c>
    </row>
    <row r="321" spans="1:6" ht="14.4" thickBot="1" x14ac:dyDescent="0.35">
      <c r="A321" s="4" t="s">
        <v>425</v>
      </c>
      <c r="B321" s="4" t="s">
        <v>426</v>
      </c>
      <c r="C321" s="4" t="s">
        <v>425</v>
      </c>
      <c r="D321" s="4" t="s">
        <v>5074</v>
      </c>
      <c r="E321" s="4" t="s">
        <v>5075</v>
      </c>
      <c r="F321" s="4" t="s">
        <v>5074</v>
      </c>
    </row>
    <row r="322" spans="1:6" ht="14.4" thickBot="1" x14ac:dyDescent="0.35">
      <c r="A322" s="4" t="s">
        <v>425</v>
      </c>
      <c r="B322" s="4" t="s">
        <v>426</v>
      </c>
      <c r="C322" s="4" t="s">
        <v>425</v>
      </c>
      <c r="D322" s="4" t="s">
        <v>5078</v>
      </c>
      <c r="E322" s="4" t="s">
        <v>5079</v>
      </c>
      <c r="F322" s="4" t="s">
        <v>5078</v>
      </c>
    </row>
    <row r="323" spans="1:6" ht="14.4" thickBot="1" x14ac:dyDescent="0.35">
      <c r="A323" s="4" t="s">
        <v>425</v>
      </c>
      <c r="B323" s="4" t="s">
        <v>426</v>
      </c>
      <c r="C323" s="4" t="s">
        <v>425</v>
      </c>
      <c r="D323" s="4" t="s">
        <v>4396</v>
      </c>
      <c r="E323" s="4" t="s">
        <v>4397</v>
      </c>
      <c r="F323" s="4" t="s">
        <v>4396</v>
      </c>
    </row>
    <row r="324" spans="1:6" ht="14.4" thickBot="1" x14ac:dyDescent="0.35">
      <c r="A324" s="4" t="s">
        <v>425</v>
      </c>
      <c r="B324" s="4" t="s">
        <v>426</v>
      </c>
      <c r="C324" s="4" t="s">
        <v>425</v>
      </c>
      <c r="D324" s="4" t="s">
        <v>429</v>
      </c>
      <c r="E324" s="4" t="s">
        <v>430</v>
      </c>
      <c r="F324" s="4" t="s">
        <v>429</v>
      </c>
    </row>
    <row r="325" spans="1:6" ht="14.4" thickBot="1" x14ac:dyDescent="0.35">
      <c r="A325" s="4" t="s">
        <v>425</v>
      </c>
      <c r="B325" s="4" t="s">
        <v>426</v>
      </c>
      <c r="C325" s="4" t="s">
        <v>425</v>
      </c>
      <c r="D325" s="4" t="s">
        <v>2137</v>
      </c>
      <c r="E325" s="4" t="s">
        <v>2138</v>
      </c>
      <c r="F325" s="4" t="s">
        <v>2137</v>
      </c>
    </row>
    <row r="326" spans="1:6" ht="14.4" thickBot="1" x14ac:dyDescent="0.35">
      <c r="A326" s="4" t="s">
        <v>425</v>
      </c>
      <c r="B326" s="4" t="s">
        <v>426</v>
      </c>
      <c r="C326" s="4" t="s">
        <v>425</v>
      </c>
      <c r="D326" s="4" t="s">
        <v>1358</v>
      </c>
      <c r="E326" s="4" t="s">
        <v>1359</v>
      </c>
      <c r="F326" s="4" t="s">
        <v>1358</v>
      </c>
    </row>
    <row r="327" spans="1:6" ht="14.4" thickBot="1" x14ac:dyDescent="0.35">
      <c r="A327" s="4" t="s">
        <v>425</v>
      </c>
      <c r="B327" s="4" t="s">
        <v>426</v>
      </c>
      <c r="C327" s="4" t="s">
        <v>425</v>
      </c>
      <c r="D327" s="4" t="s">
        <v>1497</v>
      </c>
      <c r="E327" s="4" t="s">
        <v>1498</v>
      </c>
      <c r="F327" s="4" t="s">
        <v>1497</v>
      </c>
    </row>
    <row r="328" spans="1:6" ht="14.4" thickBot="1" x14ac:dyDescent="0.35">
      <c r="A328" s="4" t="s">
        <v>425</v>
      </c>
      <c r="B328" s="4" t="s">
        <v>426</v>
      </c>
      <c r="C328" s="4" t="s">
        <v>425</v>
      </c>
      <c r="D328" s="4" t="s">
        <v>1350</v>
      </c>
      <c r="E328" s="4" t="s">
        <v>1351</v>
      </c>
      <c r="F328" s="4" t="s">
        <v>1350</v>
      </c>
    </row>
    <row r="329" spans="1:6" ht="14.4" thickBot="1" x14ac:dyDescent="0.35">
      <c r="A329" s="4" t="s">
        <v>425</v>
      </c>
      <c r="B329" s="4" t="s">
        <v>426</v>
      </c>
      <c r="C329" s="4" t="s">
        <v>425</v>
      </c>
      <c r="D329" s="4" t="s">
        <v>1352</v>
      </c>
      <c r="E329" s="4" t="s">
        <v>1353</v>
      </c>
      <c r="F329" s="4" t="s">
        <v>1352</v>
      </c>
    </row>
    <row r="330" spans="1:6" ht="14.4" thickBot="1" x14ac:dyDescent="0.35">
      <c r="A330" s="4" t="s">
        <v>425</v>
      </c>
      <c r="B330" s="4" t="s">
        <v>426</v>
      </c>
      <c r="C330" s="4" t="s">
        <v>425</v>
      </c>
      <c r="D330" s="4" t="s">
        <v>5857</v>
      </c>
      <c r="E330" s="4" t="s">
        <v>5858</v>
      </c>
      <c r="F330" s="4" t="s">
        <v>5857</v>
      </c>
    </row>
    <row r="331" spans="1:6" ht="14.4" thickBot="1" x14ac:dyDescent="0.35">
      <c r="A331" s="4" t="s">
        <v>425</v>
      </c>
      <c r="B331" s="4" t="s">
        <v>426</v>
      </c>
      <c r="C331" s="4" t="s">
        <v>425</v>
      </c>
      <c r="D331" s="4" t="s">
        <v>5765</v>
      </c>
      <c r="E331" s="4" t="s">
        <v>5766</v>
      </c>
      <c r="F331" s="4" t="s">
        <v>5765</v>
      </c>
    </row>
    <row r="332" spans="1:6" ht="14.4" thickBot="1" x14ac:dyDescent="0.35">
      <c r="A332" s="4" t="s">
        <v>425</v>
      </c>
      <c r="B332" s="4" t="s">
        <v>426</v>
      </c>
      <c r="C332" s="4" t="s">
        <v>425</v>
      </c>
      <c r="D332" s="4" t="s">
        <v>3611</v>
      </c>
      <c r="E332" s="4" t="s">
        <v>3612</v>
      </c>
      <c r="F332" s="4" t="s">
        <v>3611</v>
      </c>
    </row>
    <row r="333" spans="1:6" ht="14.4" thickBot="1" x14ac:dyDescent="0.35">
      <c r="A333" s="4" t="s">
        <v>425</v>
      </c>
      <c r="B333" s="4" t="s">
        <v>426</v>
      </c>
      <c r="C333" s="4" t="s">
        <v>425</v>
      </c>
      <c r="D333" s="4" t="s">
        <v>431</v>
      </c>
      <c r="E333" s="4" t="s">
        <v>432</v>
      </c>
      <c r="F333" s="4" t="s">
        <v>431</v>
      </c>
    </row>
    <row r="334" spans="1:6" ht="14.4" thickBot="1" x14ac:dyDescent="0.35">
      <c r="A334" s="4" t="s">
        <v>425</v>
      </c>
      <c r="B334" s="4" t="s">
        <v>426</v>
      </c>
      <c r="C334" s="4" t="s">
        <v>425</v>
      </c>
      <c r="D334" s="4" t="s">
        <v>3609</v>
      </c>
      <c r="E334" s="4" t="s">
        <v>3610</v>
      </c>
      <c r="F334" s="4" t="s">
        <v>3609</v>
      </c>
    </row>
    <row r="335" spans="1:6" ht="14.4" thickBot="1" x14ac:dyDescent="0.35">
      <c r="A335" s="4" t="s">
        <v>425</v>
      </c>
      <c r="B335" s="4" t="s">
        <v>426</v>
      </c>
      <c r="C335" s="4" t="s">
        <v>425</v>
      </c>
      <c r="D335" s="4" t="s">
        <v>5076</v>
      </c>
      <c r="E335" s="4" t="s">
        <v>5077</v>
      </c>
      <c r="F335" s="4" t="s">
        <v>5076</v>
      </c>
    </row>
    <row r="336" spans="1:6" ht="14.4" thickBot="1" x14ac:dyDescent="0.35">
      <c r="A336" s="4" t="s">
        <v>425</v>
      </c>
      <c r="B336" s="4" t="s">
        <v>426</v>
      </c>
      <c r="C336" s="4" t="s">
        <v>425</v>
      </c>
      <c r="D336" s="4" t="s">
        <v>4394</v>
      </c>
      <c r="E336" s="4" t="s">
        <v>4395</v>
      </c>
      <c r="F336" s="4" t="s">
        <v>4394</v>
      </c>
    </row>
    <row r="337" spans="1:6" ht="14.4" thickBot="1" x14ac:dyDescent="0.35">
      <c r="A337" s="4" t="s">
        <v>425</v>
      </c>
      <c r="B337" s="4" t="s">
        <v>426</v>
      </c>
      <c r="C337" s="4" t="s">
        <v>425</v>
      </c>
      <c r="D337" s="4" t="s">
        <v>427</v>
      </c>
      <c r="E337" s="4" t="s">
        <v>428</v>
      </c>
      <c r="F337" s="4" t="s">
        <v>427</v>
      </c>
    </row>
    <row r="338" spans="1:6" ht="14.4" thickBot="1" x14ac:dyDescent="0.35">
      <c r="A338" s="4" t="s">
        <v>425</v>
      </c>
      <c r="B338" s="4" t="s">
        <v>426</v>
      </c>
      <c r="C338" s="4" t="s">
        <v>425</v>
      </c>
      <c r="D338" s="4" t="s">
        <v>2135</v>
      </c>
      <c r="E338" s="4" t="s">
        <v>2136</v>
      </c>
      <c r="F338" s="4" t="s">
        <v>2135</v>
      </c>
    </row>
    <row r="339" spans="1:6" ht="14.4" thickBot="1" x14ac:dyDescent="0.35">
      <c r="A339" s="4" t="s">
        <v>425</v>
      </c>
      <c r="B339" s="4" t="s">
        <v>426</v>
      </c>
      <c r="C339" s="4" t="s">
        <v>425</v>
      </c>
      <c r="D339" s="4" t="s">
        <v>1495</v>
      </c>
      <c r="E339" s="4" t="s">
        <v>1496</v>
      </c>
      <c r="F339" s="4" t="s">
        <v>1495</v>
      </c>
    </row>
    <row r="340" spans="1:6" ht="14.4" thickBot="1" x14ac:dyDescent="0.35">
      <c r="A340" s="4" t="s">
        <v>425</v>
      </c>
      <c r="B340" s="4" t="s">
        <v>426</v>
      </c>
      <c r="C340" s="4" t="s">
        <v>425</v>
      </c>
      <c r="D340" s="4" t="s">
        <v>4499</v>
      </c>
      <c r="E340" s="4" t="s">
        <v>4500</v>
      </c>
      <c r="F340" s="4" t="s">
        <v>4499</v>
      </c>
    </row>
    <row r="341" spans="1:6" ht="14.4" thickBot="1" x14ac:dyDescent="0.35">
      <c r="A341" s="4" t="s">
        <v>425</v>
      </c>
      <c r="B341" s="4" t="s">
        <v>426</v>
      </c>
      <c r="C341" s="4" t="s">
        <v>425</v>
      </c>
      <c r="D341" s="4" t="s">
        <v>5763</v>
      </c>
      <c r="E341" s="4" t="s">
        <v>5764</v>
      </c>
      <c r="F341" s="4" t="s">
        <v>5763</v>
      </c>
    </row>
    <row r="342" spans="1:6" ht="14.4" thickBot="1" x14ac:dyDescent="0.35">
      <c r="A342" s="4" t="s">
        <v>425</v>
      </c>
      <c r="B342" s="4" t="s">
        <v>426</v>
      </c>
      <c r="C342" s="4" t="s">
        <v>425</v>
      </c>
      <c r="D342" s="4" t="s">
        <v>2854</v>
      </c>
      <c r="E342" s="4" t="s">
        <v>2855</v>
      </c>
      <c r="F342" s="4" t="s">
        <v>2854</v>
      </c>
    </row>
    <row r="343" spans="1:6" ht="14.4" thickBot="1" x14ac:dyDescent="0.35">
      <c r="A343" s="4" t="s">
        <v>425</v>
      </c>
      <c r="B343" s="4" t="s">
        <v>426</v>
      </c>
      <c r="C343" s="4" t="s">
        <v>425</v>
      </c>
      <c r="D343" s="4" t="s">
        <v>5072</v>
      </c>
      <c r="E343" s="4" t="s">
        <v>5073</v>
      </c>
      <c r="F343" s="4" t="s">
        <v>5072</v>
      </c>
    </row>
    <row r="344" spans="1:6" ht="14.4" thickBot="1" x14ac:dyDescent="0.35">
      <c r="A344" s="4" t="s">
        <v>425</v>
      </c>
      <c r="B344" s="4" t="s">
        <v>426</v>
      </c>
      <c r="C344" s="4" t="s">
        <v>425</v>
      </c>
      <c r="D344" s="4" t="s">
        <v>2979</v>
      </c>
      <c r="E344" s="4" t="s">
        <v>2980</v>
      </c>
      <c r="F344" s="4" t="s">
        <v>2979</v>
      </c>
    </row>
    <row r="345" spans="1:6" ht="14.4" thickBot="1" x14ac:dyDescent="0.35">
      <c r="A345" s="4" t="s">
        <v>425</v>
      </c>
      <c r="B345" s="4" t="s">
        <v>426</v>
      </c>
      <c r="C345" s="4" t="s">
        <v>425</v>
      </c>
      <c r="D345" s="4" t="s">
        <v>3607</v>
      </c>
      <c r="E345" s="4" t="s">
        <v>3608</v>
      </c>
      <c r="F345" s="4" t="s">
        <v>3607</v>
      </c>
    </row>
    <row r="346" spans="1:6" ht="14.4" thickBot="1" x14ac:dyDescent="0.35">
      <c r="A346" s="4" t="s">
        <v>2139</v>
      </c>
      <c r="B346" s="4" t="s">
        <v>2140</v>
      </c>
      <c r="C346" s="4" t="s">
        <v>2139</v>
      </c>
      <c r="D346" s="4" t="s">
        <v>2141</v>
      </c>
      <c r="E346" s="4" t="s">
        <v>2142</v>
      </c>
      <c r="F346" s="4" t="s">
        <v>2141</v>
      </c>
    </row>
    <row r="347" spans="1:6" ht="14.4" thickBot="1" x14ac:dyDescent="0.35">
      <c r="A347" s="4" t="s">
        <v>2139</v>
      </c>
      <c r="B347" s="4" t="s">
        <v>2140</v>
      </c>
      <c r="C347" s="4" t="s">
        <v>2139</v>
      </c>
      <c r="D347" s="4" t="s">
        <v>3613</v>
      </c>
      <c r="E347" s="4" t="s">
        <v>3614</v>
      </c>
      <c r="F347" s="4" t="s">
        <v>3613</v>
      </c>
    </row>
    <row r="348" spans="1:6" ht="14.4" thickBot="1" x14ac:dyDescent="0.35">
      <c r="A348" s="4" t="s">
        <v>433</v>
      </c>
      <c r="B348" s="4" t="s">
        <v>434</v>
      </c>
      <c r="C348" s="4" t="s">
        <v>433</v>
      </c>
      <c r="D348" s="4" t="s">
        <v>2859</v>
      </c>
      <c r="E348" s="4" t="s">
        <v>2860</v>
      </c>
      <c r="F348" s="4" t="s">
        <v>2859</v>
      </c>
    </row>
    <row r="349" spans="1:6" ht="14.4" thickBot="1" x14ac:dyDescent="0.35">
      <c r="A349" s="4" t="s">
        <v>433</v>
      </c>
      <c r="B349" s="4" t="s">
        <v>434</v>
      </c>
      <c r="C349" s="4" t="s">
        <v>433</v>
      </c>
      <c r="D349" s="4" t="s">
        <v>2143</v>
      </c>
      <c r="E349" s="4" t="s">
        <v>2144</v>
      </c>
      <c r="F349" s="4" t="s">
        <v>2143</v>
      </c>
    </row>
    <row r="350" spans="1:6" ht="14.4" thickBot="1" x14ac:dyDescent="0.35">
      <c r="A350" s="4" t="s">
        <v>433</v>
      </c>
      <c r="B350" s="4" t="s">
        <v>434</v>
      </c>
      <c r="C350" s="4" t="s">
        <v>433</v>
      </c>
      <c r="D350" s="4" t="s">
        <v>1364</v>
      </c>
      <c r="E350" s="4" t="s">
        <v>1365</v>
      </c>
      <c r="F350" s="4" t="s">
        <v>1364</v>
      </c>
    </row>
    <row r="351" spans="1:6" ht="14.4" thickBot="1" x14ac:dyDescent="0.35">
      <c r="A351" s="4" t="s">
        <v>433</v>
      </c>
      <c r="B351" s="4" t="s">
        <v>434</v>
      </c>
      <c r="C351" s="4" t="s">
        <v>433</v>
      </c>
      <c r="D351" s="4" t="s">
        <v>2861</v>
      </c>
      <c r="E351" s="4" t="s">
        <v>2862</v>
      </c>
      <c r="F351" s="4" t="s">
        <v>2861</v>
      </c>
    </row>
    <row r="352" spans="1:6" ht="14.4" thickBot="1" x14ac:dyDescent="0.35">
      <c r="A352" s="4" t="s">
        <v>433</v>
      </c>
      <c r="B352" s="4" t="s">
        <v>434</v>
      </c>
      <c r="C352" s="4" t="s">
        <v>433</v>
      </c>
      <c r="D352" s="4" t="s">
        <v>1374</v>
      </c>
      <c r="E352" s="4" t="s">
        <v>1375</v>
      </c>
      <c r="F352" s="4" t="s">
        <v>1374</v>
      </c>
    </row>
    <row r="353" spans="1:6" ht="14.4" thickBot="1" x14ac:dyDescent="0.35">
      <c r="A353" s="4" t="s">
        <v>433</v>
      </c>
      <c r="B353" s="4" t="s">
        <v>434</v>
      </c>
      <c r="C353" s="4" t="s">
        <v>433</v>
      </c>
      <c r="D353" s="4" t="s">
        <v>1640</v>
      </c>
      <c r="E353" s="4" t="s">
        <v>2858</v>
      </c>
      <c r="F353" s="4" t="s">
        <v>1640</v>
      </c>
    </row>
    <row r="354" spans="1:6" ht="14.4" thickBot="1" x14ac:dyDescent="0.35">
      <c r="A354" s="4" t="s">
        <v>433</v>
      </c>
      <c r="B354" s="4" t="s">
        <v>434</v>
      </c>
      <c r="C354" s="4" t="s">
        <v>433</v>
      </c>
      <c r="D354" s="4" t="s">
        <v>2238</v>
      </c>
      <c r="E354" s="4" t="s">
        <v>2239</v>
      </c>
      <c r="F354" s="4" t="s">
        <v>2238</v>
      </c>
    </row>
    <row r="355" spans="1:6" ht="14.4" thickBot="1" x14ac:dyDescent="0.35">
      <c r="A355" s="4" t="s">
        <v>433</v>
      </c>
      <c r="B355" s="4" t="s">
        <v>434</v>
      </c>
      <c r="C355" s="4" t="s">
        <v>433</v>
      </c>
      <c r="D355" s="4" t="s">
        <v>4503</v>
      </c>
      <c r="E355" s="4" t="s">
        <v>4504</v>
      </c>
      <c r="F355" s="4" t="s">
        <v>4503</v>
      </c>
    </row>
    <row r="356" spans="1:6" ht="14.4" thickBot="1" x14ac:dyDescent="0.35">
      <c r="A356" s="4" t="s">
        <v>433</v>
      </c>
      <c r="B356" s="4" t="s">
        <v>434</v>
      </c>
      <c r="C356" s="4" t="s">
        <v>433</v>
      </c>
      <c r="D356" s="4" t="s">
        <v>2865</v>
      </c>
      <c r="E356" s="4" t="s">
        <v>2866</v>
      </c>
      <c r="F356" s="4" t="s">
        <v>2865</v>
      </c>
    </row>
    <row r="357" spans="1:6" ht="14.4" thickBot="1" x14ac:dyDescent="0.35">
      <c r="A357" s="4" t="s">
        <v>433</v>
      </c>
      <c r="B357" s="4" t="s">
        <v>434</v>
      </c>
      <c r="C357" s="4" t="s">
        <v>433</v>
      </c>
      <c r="D357" s="4" t="s">
        <v>1372</v>
      </c>
      <c r="E357" s="4" t="s">
        <v>1373</v>
      </c>
      <c r="F357" s="4" t="s">
        <v>1372</v>
      </c>
    </row>
    <row r="358" spans="1:6" ht="14.4" thickBot="1" x14ac:dyDescent="0.35">
      <c r="A358" s="4" t="s">
        <v>433</v>
      </c>
      <c r="B358" s="4" t="s">
        <v>434</v>
      </c>
      <c r="C358" s="4" t="s">
        <v>433</v>
      </c>
      <c r="D358" s="4" t="s">
        <v>5771</v>
      </c>
      <c r="E358" s="4" t="s">
        <v>5772</v>
      </c>
      <c r="F358" s="4" t="s">
        <v>5771</v>
      </c>
    </row>
    <row r="359" spans="1:6" ht="14.4" thickBot="1" x14ac:dyDescent="0.35">
      <c r="A359" s="4" t="s">
        <v>433</v>
      </c>
      <c r="B359" s="4" t="s">
        <v>434</v>
      </c>
      <c r="C359" s="4" t="s">
        <v>433</v>
      </c>
      <c r="D359" s="4" t="s">
        <v>443</v>
      </c>
      <c r="E359" s="4" t="s">
        <v>444</v>
      </c>
      <c r="F359" s="4" t="s">
        <v>443</v>
      </c>
    </row>
    <row r="360" spans="1:6" ht="14.4" thickBot="1" x14ac:dyDescent="0.35">
      <c r="A360" s="4" t="s">
        <v>433</v>
      </c>
      <c r="B360" s="4" t="s">
        <v>434</v>
      </c>
      <c r="C360" s="4" t="s">
        <v>433</v>
      </c>
      <c r="D360" s="4" t="s">
        <v>4402</v>
      </c>
      <c r="E360" s="4" t="s">
        <v>4403</v>
      </c>
      <c r="F360" s="4" t="s">
        <v>4402</v>
      </c>
    </row>
    <row r="361" spans="1:6" ht="14.4" thickBot="1" x14ac:dyDescent="0.35">
      <c r="A361" s="4" t="s">
        <v>433</v>
      </c>
      <c r="B361" s="4" t="s">
        <v>434</v>
      </c>
      <c r="C361" s="4" t="s">
        <v>433</v>
      </c>
      <c r="D361" s="4" t="s">
        <v>2875</v>
      </c>
      <c r="E361" s="4" t="s">
        <v>2876</v>
      </c>
      <c r="F361" s="4" t="s">
        <v>2875</v>
      </c>
    </row>
    <row r="362" spans="1:6" ht="14.4" thickBot="1" x14ac:dyDescent="0.35">
      <c r="A362" s="4" t="s">
        <v>433</v>
      </c>
      <c r="B362" s="4" t="s">
        <v>434</v>
      </c>
      <c r="C362" s="4" t="s">
        <v>433</v>
      </c>
      <c r="D362" s="4" t="s">
        <v>5186</v>
      </c>
      <c r="E362" s="4" t="s">
        <v>5187</v>
      </c>
      <c r="F362" s="4" t="s">
        <v>5186</v>
      </c>
    </row>
    <row r="363" spans="1:6" ht="14.4" thickBot="1" x14ac:dyDescent="0.35">
      <c r="A363" s="4" t="s">
        <v>433</v>
      </c>
      <c r="B363" s="4" t="s">
        <v>434</v>
      </c>
      <c r="C363" s="4" t="s">
        <v>433</v>
      </c>
      <c r="D363" s="4" t="s">
        <v>2236</v>
      </c>
      <c r="E363" s="4" t="s">
        <v>2237</v>
      </c>
      <c r="F363" s="4" t="s">
        <v>2236</v>
      </c>
    </row>
    <row r="364" spans="1:6" ht="14.4" thickBot="1" x14ac:dyDescent="0.35">
      <c r="A364" s="4" t="s">
        <v>433</v>
      </c>
      <c r="B364" s="4" t="s">
        <v>434</v>
      </c>
      <c r="C364" s="4" t="s">
        <v>433</v>
      </c>
      <c r="D364" s="4" t="s">
        <v>4501</v>
      </c>
      <c r="E364" s="4" t="s">
        <v>4502</v>
      </c>
      <c r="F364" s="4" t="s">
        <v>4501</v>
      </c>
    </row>
    <row r="365" spans="1:6" ht="14.4" thickBot="1" x14ac:dyDescent="0.35">
      <c r="A365" s="4" t="s">
        <v>433</v>
      </c>
      <c r="B365" s="4" t="s">
        <v>434</v>
      </c>
      <c r="C365" s="4" t="s">
        <v>433</v>
      </c>
      <c r="D365" s="4" t="s">
        <v>3633</v>
      </c>
      <c r="E365" s="4" t="s">
        <v>3634</v>
      </c>
      <c r="F365" s="4" t="s">
        <v>3633</v>
      </c>
    </row>
    <row r="366" spans="1:6" ht="14.4" thickBot="1" x14ac:dyDescent="0.35">
      <c r="A366" s="4" t="s">
        <v>433</v>
      </c>
      <c r="B366" s="4" t="s">
        <v>434</v>
      </c>
      <c r="C366" s="4" t="s">
        <v>433</v>
      </c>
      <c r="D366" s="4" t="s">
        <v>2873</v>
      </c>
      <c r="E366" s="4" t="s">
        <v>2874</v>
      </c>
      <c r="F366" s="4" t="s">
        <v>2873</v>
      </c>
    </row>
    <row r="367" spans="1:6" ht="14.4" thickBot="1" x14ac:dyDescent="0.35">
      <c r="A367" s="4" t="s">
        <v>433</v>
      </c>
      <c r="B367" s="4" t="s">
        <v>434</v>
      </c>
      <c r="C367" s="4" t="s">
        <v>433</v>
      </c>
      <c r="D367" s="4" t="s">
        <v>1360</v>
      </c>
      <c r="E367" s="4" t="s">
        <v>1361</v>
      </c>
      <c r="F367" s="4" t="s">
        <v>1360</v>
      </c>
    </row>
    <row r="368" spans="1:6" ht="14.4" thickBot="1" x14ac:dyDescent="0.35">
      <c r="A368" s="4" t="s">
        <v>433</v>
      </c>
      <c r="B368" s="4" t="s">
        <v>434</v>
      </c>
      <c r="C368" s="4" t="s">
        <v>433</v>
      </c>
      <c r="D368" s="4" t="s">
        <v>3713</v>
      </c>
      <c r="E368" s="4" t="s">
        <v>3714</v>
      </c>
      <c r="F368" s="4" t="s">
        <v>3713</v>
      </c>
    </row>
    <row r="369" spans="1:6" ht="14.4" thickBot="1" x14ac:dyDescent="0.35">
      <c r="A369" s="4" t="s">
        <v>433</v>
      </c>
      <c r="B369" s="4" t="s">
        <v>434</v>
      </c>
      <c r="C369" s="4" t="s">
        <v>433</v>
      </c>
      <c r="D369" s="4" t="s">
        <v>4409</v>
      </c>
      <c r="E369" s="4" t="s">
        <v>4410</v>
      </c>
      <c r="F369" s="4" t="s">
        <v>4409</v>
      </c>
    </row>
    <row r="370" spans="1:6" ht="14.4" thickBot="1" x14ac:dyDescent="0.35">
      <c r="A370" s="4" t="s">
        <v>433</v>
      </c>
      <c r="B370" s="4" t="s">
        <v>434</v>
      </c>
      <c r="C370" s="4" t="s">
        <v>433</v>
      </c>
      <c r="D370" s="4" t="s">
        <v>3715</v>
      </c>
      <c r="E370" s="4" t="s">
        <v>3716</v>
      </c>
      <c r="F370" s="4" t="s">
        <v>3715</v>
      </c>
    </row>
    <row r="371" spans="1:6" ht="14.4" thickBot="1" x14ac:dyDescent="0.35">
      <c r="A371" s="4" t="s">
        <v>433</v>
      </c>
      <c r="B371" s="4" t="s">
        <v>434</v>
      </c>
      <c r="C371" s="4" t="s">
        <v>433</v>
      </c>
      <c r="D371" s="4" t="s">
        <v>5092</v>
      </c>
      <c r="E371" s="4" t="s">
        <v>5093</v>
      </c>
      <c r="F371" s="4" t="s">
        <v>5092</v>
      </c>
    </row>
    <row r="372" spans="1:6" ht="14.4" thickBot="1" x14ac:dyDescent="0.35">
      <c r="A372" s="4" t="s">
        <v>433</v>
      </c>
      <c r="B372" s="4" t="s">
        <v>434</v>
      </c>
      <c r="C372" s="4" t="s">
        <v>433</v>
      </c>
      <c r="D372" s="4" t="s">
        <v>3631</v>
      </c>
      <c r="E372" s="4" t="s">
        <v>3632</v>
      </c>
      <c r="F372" s="4" t="s">
        <v>3631</v>
      </c>
    </row>
    <row r="373" spans="1:6" ht="14.4" thickBot="1" x14ac:dyDescent="0.35">
      <c r="A373" s="4" t="s">
        <v>433</v>
      </c>
      <c r="B373" s="4" t="s">
        <v>434</v>
      </c>
      <c r="C373" s="4" t="s">
        <v>433</v>
      </c>
      <c r="D373" s="4" t="s">
        <v>2981</v>
      </c>
      <c r="E373" s="4" t="s">
        <v>2982</v>
      </c>
      <c r="F373" s="4" t="s">
        <v>2981</v>
      </c>
    </row>
    <row r="374" spans="1:6" ht="14.4" thickBot="1" x14ac:dyDescent="0.35">
      <c r="A374" s="4" t="s">
        <v>433</v>
      </c>
      <c r="B374" s="4" t="s">
        <v>434</v>
      </c>
      <c r="C374" s="4" t="s">
        <v>433</v>
      </c>
      <c r="D374" s="4" t="s">
        <v>2157</v>
      </c>
      <c r="E374" s="4" t="s">
        <v>1983</v>
      </c>
      <c r="F374" s="4" t="s">
        <v>2157</v>
      </c>
    </row>
    <row r="375" spans="1:6" ht="14.4" thickBot="1" x14ac:dyDescent="0.35">
      <c r="A375" s="4" t="s">
        <v>433</v>
      </c>
      <c r="B375" s="4" t="s">
        <v>434</v>
      </c>
      <c r="C375" s="4" t="s">
        <v>433</v>
      </c>
      <c r="D375" s="4" t="s">
        <v>3629</v>
      </c>
      <c r="E375" s="4" t="s">
        <v>3630</v>
      </c>
      <c r="F375" s="4" t="s">
        <v>3629</v>
      </c>
    </row>
    <row r="376" spans="1:6" ht="14.4" thickBot="1" x14ac:dyDescent="0.35">
      <c r="A376" s="4" t="s">
        <v>433</v>
      </c>
      <c r="B376" s="4" t="s">
        <v>434</v>
      </c>
      <c r="C376" s="4" t="s">
        <v>433</v>
      </c>
      <c r="D376" s="4" t="s">
        <v>5769</v>
      </c>
      <c r="E376" s="4" t="s">
        <v>5770</v>
      </c>
      <c r="F376" s="4" t="s">
        <v>5769</v>
      </c>
    </row>
    <row r="377" spans="1:6" ht="14.4" thickBot="1" x14ac:dyDescent="0.35">
      <c r="A377" s="4" t="s">
        <v>433</v>
      </c>
      <c r="B377" s="4" t="s">
        <v>434</v>
      </c>
      <c r="C377" s="4" t="s">
        <v>433</v>
      </c>
      <c r="D377" s="4" t="s">
        <v>4400</v>
      </c>
      <c r="E377" s="4" t="s">
        <v>4401</v>
      </c>
      <c r="F377" s="4" t="s">
        <v>4400</v>
      </c>
    </row>
    <row r="378" spans="1:6" ht="14.4" thickBot="1" x14ac:dyDescent="0.35">
      <c r="A378" s="4" t="s">
        <v>433</v>
      </c>
      <c r="B378" s="4" t="s">
        <v>434</v>
      </c>
      <c r="C378" s="4" t="s">
        <v>433</v>
      </c>
      <c r="D378" s="4" t="s">
        <v>5094</v>
      </c>
      <c r="E378" s="4" t="s">
        <v>5095</v>
      </c>
      <c r="F378" s="4" t="s">
        <v>5094</v>
      </c>
    </row>
    <row r="379" spans="1:6" ht="14.4" thickBot="1" x14ac:dyDescent="0.35">
      <c r="A379" s="4" t="s">
        <v>433</v>
      </c>
      <c r="B379" s="4" t="s">
        <v>434</v>
      </c>
      <c r="C379" s="4" t="s">
        <v>433</v>
      </c>
      <c r="D379" s="4" t="s">
        <v>5779</v>
      </c>
      <c r="E379" s="4" t="s">
        <v>5780</v>
      </c>
      <c r="F379" s="4" t="s">
        <v>5779</v>
      </c>
    </row>
    <row r="380" spans="1:6" ht="14.4" thickBot="1" x14ac:dyDescent="0.35">
      <c r="A380" s="4" t="s">
        <v>433</v>
      </c>
      <c r="B380" s="4" t="s">
        <v>434</v>
      </c>
      <c r="C380" s="4" t="s">
        <v>433</v>
      </c>
      <c r="D380" s="4" t="s">
        <v>5096</v>
      </c>
      <c r="E380" s="4" t="s">
        <v>5097</v>
      </c>
      <c r="F380" s="4" t="s">
        <v>5096</v>
      </c>
    </row>
    <row r="381" spans="1:6" ht="14.4" thickBot="1" x14ac:dyDescent="0.35">
      <c r="A381" s="4" t="s">
        <v>433</v>
      </c>
      <c r="B381" s="4" t="s">
        <v>434</v>
      </c>
      <c r="C381" s="4" t="s">
        <v>433</v>
      </c>
      <c r="D381" s="4" t="s">
        <v>435</v>
      </c>
      <c r="E381" s="4" t="s">
        <v>436</v>
      </c>
      <c r="F381" s="4" t="s">
        <v>435</v>
      </c>
    </row>
    <row r="382" spans="1:6" ht="14.4" thickBot="1" x14ac:dyDescent="0.35">
      <c r="A382" s="4" t="s">
        <v>433</v>
      </c>
      <c r="B382" s="4" t="s">
        <v>434</v>
      </c>
      <c r="C382" s="4" t="s">
        <v>433</v>
      </c>
      <c r="D382" s="4" t="s">
        <v>2151</v>
      </c>
      <c r="E382" s="4" t="s">
        <v>2152</v>
      </c>
      <c r="F382" s="4" t="s">
        <v>2151</v>
      </c>
    </row>
    <row r="383" spans="1:6" ht="14.4" thickBot="1" x14ac:dyDescent="0.35">
      <c r="A383" s="4" t="s">
        <v>433</v>
      </c>
      <c r="B383" s="4" t="s">
        <v>434</v>
      </c>
      <c r="C383" s="4" t="s">
        <v>433</v>
      </c>
      <c r="D383" s="4" t="s">
        <v>567</v>
      </c>
      <c r="E383" s="4" t="s">
        <v>568</v>
      </c>
      <c r="F383" s="4" t="s">
        <v>567</v>
      </c>
    </row>
    <row r="384" spans="1:6" ht="14.4" thickBot="1" x14ac:dyDescent="0.35">
      <c r="A384" s="4" t="s">
        <v>433</v>
      </c>
      <c r="B384" s="4" t="s">
        <v>434</v>
      </c>
      <c r="C384" s="4" t="s">
        <v>433</v>
      </c>
      <c r="D384" s="4" t="s">
        <v>565</v>
      </c>
      <c r="E384" s="4" t="s">
        <v>566</v>
      </c>
      <c r="F384" s="4" t="s">
        <v>565</v>
      </c>
    </row>
    <row r="385" spans="1:6" ht="14.4" thickBot="1" x14ac:dyDescent="0.35">
      <c r="A385" s="4" t="s">
        <v>433</v>
      </c>
      <c r="B385" s="4" t="s">
        <v>434</v>
      </c>
      <c r="C385" s="4" t="s">
        <v>433</v>
      </c>
      <c r="D385" s="4" t="s">
        <v>2985</v>
      </c>
      <c r="E385" s="4" t="s">
        <v>2986</v>
      </c>
      <c r="F385" s="4" t="s">
        <v>2985</v>
      </c>
    </row>
    <row r="386" spans="1:6" ht="14.4" thickBot="1" x14ac:dyDescent="0.35">
      <c r="A386" s="4" t="s">
        <v>433</v>
      </c>
      <c r="B386" s="4" t="s">
        <v>434</v>
      </c>
      <c r="C386" s="4" t="s">
        <v>433</v>
      </c>
      <c r="D386" s="4" t="s">
        <v>5777</v>
      </c>
      <c r="E386" s="4" t="s">
        <v>5778</v>
      </c>
      <c r="F386" s="4" t="s">
        <v>5777</v>
      </c>
    </row>
    <row r="387" spans="1:6" ht="14.4" thickBot="1" x14ac:dyDescent="0.35">
      <c r="A387" s="4" t="s">
        <v>433</v>
      </c>
      <c r="B387" s="4" t="s">
        <v>434</v>
      </c>
      <c r="C387" s="4" t="s">
        <v>433</v>
      </c>
      <c r="D387" s="4" t="s">
        <v>5861</v>
      </c>
      <c r="E387" s="4" t="s">
        <v>5862</v>
      </c>
      <c r="F387" s="4" t="s">
        <v>5861</v>
      </c>
    </row>
    <row r="388" spans="1:6" ht="14.4" thickBot="1" x14ac:dyDescent="0.35">
      <c r="A388" s="4" t="s">
        <v>433</v>
      </c>
      <c r="B388" s="4" t="s">
        <v>434</v>
      </c>
      <c r="C388" s="4" t="s">
        <v>433</v>
      </c>
      <c r="D388" s="4" t="s">
        <v>5859</v>
      </c>
      <c r="E388" s="4" t="s">
        <v>5860</v>
      </c>
      <c r="F388" s="4" t="s">
        <v>5859</v>
      </c>
    </row>
    <row r="389" spans="1:6" ht="14.4" thickBot="1" x14ac:dyDescent="0.35">
      <c r="A389" s="4" t="s">
        <v>433</v>
      </c>
      <c r="B389" s="4" t="s">
        <v>434</v>
      </c>
      <c r="C389" s="4" t="s">
        <v>433</v>
      </c>
      <c r="D389" s="4" t="s">
        <v>2240</v>
      </c>
      <c r="E389" s="4" t="s">
        <v>2241</v>
      </c>
      <c r="F389" s="4" t="s">
        <v>2240</v>
      </c>
    </row>
    <row r="390" spans="1:6" ht="14.4" thickBot="1" x14ac:dyDescent="0.35">
      <c r="A390" s="4" t="s">
        <v>433</v>
      </c>
      <c r="B390" s="4" t="s">
        <v>434</v>
      </c>
      <c r="C390" s="4" t="s">
        <v>433</v>
      </c>
      <c r="D390" s="4" t="s">
        <v>5180</v>
      </c>
      <c r="E390" s="4" t="s">
        <v>5181</v>
      </c>
      <c r="F390" s="4" t="s">
        <v>5180</v>
      </c>
    </row>
    <row r="391" spans="1:6" ht="14.4" thickBot="1" x14ac:dyDescent="0.35">
      <c r="A391" s="4" t="s">
        <v>433</v>
      </c>
      <c r="B391" s="4" t="s">
        <v>434</v>
      </c>
      <c r="C391" s="4" t="s">
        <v>433</v>
      </c>
      <c r="D391" s="4" t="s">
        <v>569</v>
      </c>
      <c r="E391" s="4" t="s">
        <v>570</v>
      </c>
      <c r="F391" s="4" t="s">
        <v>569</v>
      </c>
    </row>
    <row r="392" spans="1:6" ht="14.4" thickBot="1" x14ac:dyDescent="0.35">
      <c r="A392" s="4" t="s">
        <v>433</v>
      </c>
      <c r="B392" s="4" t="s">
        <v>434</v>
      </c>
      <c r="C392" s="4" t="s">
        <v>433</v>
      </c>
      <c r="D392" s="4" t="s">
        <v>4507</v>
      </c>
      <c r="E392" s="4" t="s">
        <v>4508</v>
      </c>
      <c r="F392" s="4" t="s">
        <v>4507</v>
      </c>
    </row>
    <row r="393" spans="1:6" ht="14.4" thickBot="1" x14ac:dyDescent="0.35">
      <c r="A393" s="4" t="s">
        <v>433</v>
      </c>
      <c r="B393" s="4" t="s">
        <v>434</v>
      </c>
      <c r="C393" s="4" t="s">
        <v>433</v>
      </c>
      <c r="D393" s="4" t="s">
        <v>2863</v>
      </c>
      <c r="E393" s="4" t="s">
        <v>2864</v>
      </c>
      <c r="F393" s="4" t="s">
        <v>2863</v>
      </c>
    </row>
    <row r="394" spans="1:6" ht="14.4" thickBot="1" x14ac:dyDescent="0.35">
      <c r="A394" s="4" t="s">
        <v>433</v>
      </c>
      <c r="B394" s="4" t="s">
        <v>434</v>
      </c>
      <c r="C394" s="4" t="s">
        <v>433</v>
      </c>
      <c r="D394" s="4" t="s">
        <v>5775</v>
      </c>
      <c r="E394" s="4" t="s">
        <v>5776</v>
      </c>
      <c r="F394" s="4" t="s">
        <v>5775</v>
      </c>
    </row>
    <row r="395" spans="1:6" ht="14.4" thickBot="1" x14ac:dyDescent="0.35">
      <c r="A395" s="4" t="s">
        <v>433</v>
      </c>
      <c r="B395" s="4" t="s">
        <v>434</v>
      </c>
      <c r="C395" s="4" t="s">
        <v>433</v>
      </c>
      <c r="D395" s="4" t="s">
        <v>571</v>
      </c>
      <c r="E395" s="4" t="s">
        <v>572</v>
      </c>
      <c r="F395" s="4" t="s">
        <v>571</v>
      </c>
    </row>
    <row r="396" spans="1:6" ht="14.4" thickBot="1" x14ac:dyDescent="0.35">
      <c r="A396" s="4" t="s">
        <v>433</v>
      </c>
      <c r="B396" s="4" t="s">
        <v>434</v>
      </c>
      <c r="C396" s="4" t="s">
        <v>433</v>
      </c>
      <c r="D396" s="4" t="s">
        <v>3721</v>
      </c>
      <c r="E396" s="4" t="s">
        <v>3722</v>
      </c>
      <c r="F396" s="4" t="s">
        <v>3721</v>
      </c>
    </row>
    <row r="397" spans="1:6" ht="14.4" thickBot="1" x14ac:dyDescent="0.35">
      <c r="A397" s="4" t="s">
        <v>433</v>
      </c>
      <c r="B397" s="4" t="s">
        <v>434</v>
      </c>
      <c r="C397" s="4" t="s">
        <v>433</v>
      </c>
      <c r="D397" s="4" t="s">
        <v>3719</v>
      </c>
      <c r="E397" s="4" t="s">
        <v>3720</v>
      </c>
      <c r="F397" s="4" t="s">
        <v>3719</v>
      </c>
    </row>
    <row r="398" spans="1:6" ht="14.4" thickBot="1" x14ac:dyDescent="0.35">
      <c r="A398" s="4" t="s">
        <v>433</v>
      </c>
      <c r="B398" s="4" t="s">
        <v>434</v>
      </c>
      <c r="C398" s="4" t="s">
        <v>433</v>
      </c>
      <c r="D398" s="4" t="s">
        <v>1505</v>
      </c>
      <c r="E398" s="4" t="s">
        <v>1506</v>
      </c>
      <c r="F398" s="4" t="s">
        <v>1505</v>
      </c>
    </row>
    <row r="399" spans="1:6" ht="14.4" thickBot="1" x14ac:dyDescent="0.35">
      <c r="A399" s="4" t="s">
        <v>433</v>
      </c>
      <c r="B399" s="4" t="s">
        <v>434</v>
      </c>
      <c r="C399" s="4" t="s">
        <v>433</v>
      </c>
      <c r="D399" s="4" t="s">
        <v>3712</v>
      </c>
      <c r="E399" s="4" t="s">
        <v>91</v>
      </c>
      <c r="F399" s="4" t="s">
        <v>3712</v>
      </c>
    </row>
    <row r="400" spans="1:6" ht="14.4" thickBot="1" x14ac:dyDescent="0.35">
      <c r="A400" s="4" t="s">
        <v>433</v>
      </c>
      <c r="B400" s="4" t="s">
        <v>434</v>
      </c>
      <c r="C400" s="4" t="s">
        <v>433</v>
      </c>
      <c r="D400" s="4" t="s">
        <v>1370</v>
      </c>
      <c r="E400" s="4" t="s">
        <v>1371</v>
      </c>
      <c r="F400" s="4" t="s">
        <v>1370</v>
      </c>
    </row>
    <row r="401" spans="1:6" ht="14.4" thickBot="1" x14ac:dyDescent="0.35">
      <c r="A401" s="4" t="s">
        <v>433</v>
      </c>
      <c r="B401" s="4" t="s">
        <v>434</v>
      </c>
      <c r="C401" s="4" t="s">
        <v>433</v>
      </c>
      <c r="D401" s="4" t="s">
        <v>1503</v>
      </c>
      <c r="E401" s="4" t="s">
        <v>1504</v>
      </c>
      <c r="F401" s="4" t="s">
        <v>1503</v>
      </c>
    </row>
    <row r="402" spans="1:6" ht="14.4" thickBot="1" x14ac:dyDescent="0.35">
      <c r="A402" s="4" t="s">
        <v>433</v>
      </c>
      <c r="B402" s="4" t="s">
        <v>434</v>
      </c>
      <c r="C402" s="4" t="s">
        <v>433</v>
      </c>
      <c r="D402" s="4" t="s">
        <v>1501</v>
      </c>
      <c r="E402" s="4" t="s">
        <v>1502</v>
      </c>
      <c r="F402" s="4" t="s">
        <v>1501</v>
      </c>
    </row>
    <row r="403" spans="1:6" ht="14.4" thickBot="1" x14ac:dyDescent="0.35">
      <c r="A403" s="4" t="s">
        <v>433</v>
      </c>
      <c r="B403" s="4" t="s">
        <v>434</v>
      </c>
      <c r="C403" s="4" t="s">
        <v>433</v>
      </c>
      <c r="D403" s="4" t="s">
        <v>4505</v>
      </c>
      <c r="E403" s="4" t="s">
        <v>4506</v>
      </c>
      <c r="F403" s="4" t="s">
        <v>4505</v>
      </c>
    </row>
    <row r="404" spans="1:6" ht="14.4" thickBot="1" x14ac:dyDescent="0.35">
      <c r="A404" s="4" t="s">
        <v>433</v>
      </c>
      <c r="B404" s="4" t="s">
        <v>434</v>
      </c>
      <c r="C404" s="4" t="s">
        <v>433</v>
      </c>
      <c r="D404" s="4" t="s">
        <v>2983</v>
      </c>
      <c r="E404" s="4" t="s">
        <v>2984</v>
      </c>
      <c r="F404" s="4" t="s">
        <v>2983</v>
      </c>
    </row>
    <row r="405" spans="1:6" ht="14.4" thickBot="1" x14ac:dyDescent="0.35">
      <c r="A405" s="4" t="s">
        <v>433</v>
      </c>
      <c r="B405" s="4" t="s">
        <v>434</v>
      </c>
      <c r="C405" s="4" t="s">
        <v>433</v>
      </c>
      <c r="D405" s="4" t="s">
        <v>4404</v>
      </c>
      <c r="E405" s="4" t="s">
        <v>4405</v>
      </c>
      <c r="F405" s="4" t="s">
        <v>4404</v>
      </c>
    </row>
    <row r="406" spans="1:6" ht="14.4" thickBot="1" x14ac:dyDescent="0.35">
      <c r="A406" s="4" t="s">
        <v>433</v>
      </c>
      <c r="B406" s="4" t="s">
        <v>434</v>
      </c>
      <c r="C406" s="4" t="s">
        <v>433</v>
      </c>
      <c r="D406" s="4" t="s">
        <v>5090</v>
      </c>
      <c r="E406" s="4" t="s">
        <v>5091</v>
      </c>
      <c r="F406" s="4" t="s">
        <v>5090</v>
      </c>
    </row>
    <row r="407" spans="1:6" ht="14.4" thickBot="1" x14ac:dyDescent="0.35">
      <c r="A407" s="4" t="s">
        <v>433</v>
      </c>
      <c r="B407" s="4" t="s">
        <v>434</v>
      </c>
      <c r="C407" s="4" t="s">
        <v>433</v>
      </c>
      <c r="D407" s="4" t="s">
        <v>2153</v>
      </c>
      <c r="E407" s="4" t="s">
        <v>2154</v>
      </c>
      <c r="F407" s="4" t="s">
        <v>2153</v>
      </c>
    </row>
    <row r="408" spans="1:6" ht="14.4" thickBot="1" x14ac:dyDescent="0.35">
      <c r="A408" s="4" t="s">
        <v>433</v>
      </c>
      <c r="B408" s="4" t="s">
        <v>434</v>
      </c>
      <c r="C408" s="4" t="s">
        <v>433</v>
      </c>
      <c r="D408" s="4" t="s">
        <v>3625</v>
      </c>
      <c r="E408" s="4" t="s">
        <v>3626</v>
      </c>
      <c r="F408" s="4" t="s">
        <v>3625</v>
      </c>
    </row>
    <row r="409" spans="1:6" ht="14.4" thickBot="1" x14ac:dyDescent="0.35">
      <c r="A409" s="4" t="s">
        <v>433</v>
      </c>
      <c r="B409" s="4" t="s">
        <v>434</v>
      </c>
      <c r="C409" s="4" t="s">
        <v>433</v>
      </c>
      <c r="D409" s="4" t="s">
        <v>437</v>
      </c>
      <c r="E409" s="4" t="s">
        <v>438</v>
      </c>
      <c r="F409" s="4" t="s">
        <v>437</v>
      </c>
    </row>
    <row r="410" spans="1:6" ht="14.4" thickBot="1" x14ac:dyDescent="0.35">
      <c r="A410" s="4" t="s">
        <v>433</v>
      </c>
      <c r="B410" s="4" t="s">
        <v>434</v>
      </c>
      <c r="C410" s="4" t="s">
        <v>433</v>
      </c>
      <c r="D410" s="4" t="s">
        <v>4398</v>
      </c>
      <c r="E410" s="4" t="s">
        <v>4399</v>
      </c>
      <c r="F410" s="4" t="s">
        <v>4398</v>
      </c>
    </row>
    <row r="411" spans="1:6" ht="14.4" thickBot="1" x14ac:dyDescent="0.35">
      <c r="A411" s="4" t="s">
        <v>433</v>
      </c>
      <c r="B411" s="4" t="s">
        <v>434</v>
      </c>
      <c r="C411" s="4" t="s">
        <v>433</v>
      </c>
      <c r="D411" s="4" t="s">
        <v>4407</v>
      </c>
      <c r="E411" s="4" t="s">
        <v>4408</v>
      </c>
      <c r="F411" s="4" t="s">
        <v>4407</v>
      </c>
    </row>
    <row r="412" spans="1:6" ht="14.4" thickBot="1" x14ac:dyDescent="0.35">
      <c r="A412" s="4" t="s">
        <v>433</v>
      </c>
      <c r="B412" s="4" t="s">
        <v>434</v>
      </c>
      <c r="C412" s="4" t="s">
        <v>433</v>
      </c>
      <c r="D412" s="4" t="s">
        <v>441</v>
      </c>
      <c r="E412" s="4" t="s">
        <v>442</v>
      </c>
      <c r="F412" s="4" t="s">
        <v>441</v>
      </c>
    </row>
    <row r="413" spans="1:6" ht="14.4" thickBot="1" x14ac:dyDescent="0.35">
      <c r="A413" s="4" t="s">
        <v>433</v>
      </c>
      <c r="B413" s="4" t="s">
        <v>434</v>
      </c>
      <c r="C413" s="4" t="s">
        <v>433</v>
      </c>
      <c r="D413" s="4" t="s">
        <v>3623</v>
      </c>
      <c r="E413" s="4" t="s">
        <v>3624</v>
      </c>
      <c r="F413" s="4" t="s">
        <v>3623</v>
      </c>
    </row>
    <row r="414" spans="1:6" ht="14.4" thickBot="1" x14ac:dyDescent="0.35">
      <c r="A414" s="4" t="s">
        <v>433</v>
      </c>
      <c r="B414" s="4" t="s">
        <v>434</v>
      </c>
      <c r="C414" s="4" t="s">
        <v>433</v>
      </c>
      <c r="D414" s="4" t="s">
        <v>563</v>
      </c>
      <c r="E414" s="4" t="s">
        <v>564</v>
      </c>
      <c r="F414" s="4" t="s">
        <v>563</v>
      </c>
    </row>
    <row r="415" spans="1:6" ht="14.4" thickBot="1" x14ac:dyDescent="0.35">
      <c r="A415" s="4" t="s">
        <v>433</v>
      </c>
      <c r="B415" s="4" t="s">
        <v>434</v>
      </c>
      <c r="C415" s="4" t="s">
        <v>433</v>
      </c>
      <c r="D415" s="4" t="s">
        <v>4406</v>
      </c>
      <c r="E415" s="4" t="s">
        <v>2843</v>
      </c>
      <c r="F415" s="4" t="s">
        <v>4406</v>
      </c>
    </row>
    <row r="416" spans="1:6" ht="14.4" thickBot="1" x14ac:dyDescent="0.35">
      <c r="A416" s="4" t="s">
        <v>433</v>
      </c>
      <c r="B416" s="4" t="s">
        <v>434</v>
      </c>
      <c r="C416" s="4" t="s">
        <v>433</v>
      </c>
      <c r="D416" s="4" t="s">
        <v>2871</v>
      </c>
      <c r="E416" s="4" t="s">
        <v>2872</v>
      </c>
      <c r="F416" s="4" t="s">
        <v>2871</v>
      </c>
    </row>
    <row r="417" spans="1:6" ht="14.4" thickBot="1" x14ac:dyDescent="0.35">
      <c r="A417" s="4" t="s">
        <v>433</v>
      </c>
      <c r="B417" s="4" t="s">
        <v>434</v>
      </c>
      <c r="C417" s="4" t="s">
        <v>433</v>
      </c>
      <c r="D417" s="4" t="s">
        <v>3619</v>
      </c>
      <c r="E417" s="4" t="s">
        <v>3620</v>
      </c>
      <c r="F417" s="4" t="s">
        <v>3619</v>
      </c>
    </row>
    <row r="418" spans="1:6" ht="14.4" thickBot="1" x14ac:dyDescent="0.35">
      <c r="A418" s="4" t="s">
        <v>433</v>
      </c>
      <c r="B418" s="4" t="s">
        <v>434</v>
      </c>
      <c r="C418" s="4" t="s">
        <v>433</v>
      </c>
      <c r="D418" s="4" t="s">
        <v>1368</v>
      </c>
      <c r="E418" s="4" t="s">
        <v>1369</v>
      </c>
      <c r="F418" s="4" t="s">
        <v>1368</v>
      </c>
    </row>
    <row r="419" spans="1:6" ht="14.4" thickBot="1" x14ac:dyDescent="0.35">
      <c r="A419" s="4" t="s">
        <v>433</v>
      </c>
      <c r="B419" s="4" t="s">
        <v>434</v>
      </c>
      <c r="C419" s="4" t="s">
        <v>433</v>
      </c>
      <c r="D419" s="4" t="s">
        <v>5184</v>
      </c>
      <c r="E419" s="4" t="s">
        <v>5185</v>
      </c>
      <c r="F419" s="4" t="s">
        <v>5184</v>
      </c>
    </row>
    <row r="420" spans="1:6" ht="14.4" thickBot="1" x14ac:dyDescent="0.35">
      <c r="A420" s="4" t="s">
        <v>433</v>
      </c>
      <c r="B420" s="4" t="s">
        <v>434</v>
      </c>
      <c r="C420" s="4" t="s">
        <v>433</v>
      </c>
      <c r="D420" s="4" t="s">
        <v>5182</v>
      </c>
      <c r="E420" s="4" t="s">
        <v>5183</v>
      </c>
      <c r="F420" s="4" t="s">
        <v>5182</v>
      </c>
    </row>
    <row r="421" spans="1:6" ht="14.4" thickBot="1" x14ac:dyDescent="0.35">
      <c r="A421" s="4" t="s">
        <v>433</v>
      </c>
      <c r="B421" s="4" t="s">
        <v>434</v>
      </c>
      <c r="C421" s="4" t="s">
        <v>433</v>
      </c>
      <c r="D421" s="4" t="s">
        <v>1366</v>
      </c>
      <c r="E421" s="4" t="s">
        <v>1367</v>
      </c>
      <c r="F421" s="4" t="s">
        <v>1366</v>
      </c>
    </row>
    <row r="422" spans="1:6" ht="14.4" thickBot="1" x14ac:dyDescent="0.35">
      <c r="A422" s="4" t="s">
        <v>433</v>
      </c>
      <c r="B422" s="4" t="s">
        <v>434</v>
      </c>
      <c r="C422" s="4" t="s">
        <v>433</v>
      </c>
      <c r="D422" s="4" t="s">
        <v>2856</v>
      </c>
      <c r="E422" s="4" t="s">
        <v>2857</v>
      </c>
      <c r="F422" s="4" t="s">
        <v>2856</v>
      </c>
    </row>
    <row r="423" spans="1:6" ht="14.4" thickBot="1" x14ac:dyDescent="0.35">
      <c r="A423" s="4" t="s">
        <v>433</v>
      </c>
      <c r="B423" s="4" t="s">
        <v>434</v>
      </c>
      <c r="C423" s="4" t="s">
        <v>433</v>
      </c>
      <c r="D423" s="4" t="s">
        <v>5088</v>
      </c>
      <c r="E423" s="4" t="s">
        <v>5089</v>
      </c>
      <c r="F423" s="4" t="s">
        <v>5088</v>
      </c>
    </row>
    <row r="424" spans="1:6" ht="14.4" thickBot="1" x14ac:dyDescent="0.35">
      <c r="A424" s="4" t="s">
        <v>433</v>
      </c>
      <c r="B424" s="4" t="s">
        <v>434</v>
      </c>
      <c r="C424" s="4" t="s">
        <v>433</v>
      </c>
      <c r="D424" s="4" t="s">
        <v>439</v>
      </c>
      <c r="E424" s="4" t="s">
        <v>440</v>
      </c>
      <c r="F424" s="4" t="s">
        <v>439</v>
      </c>
    </row>
    <row r="425" spans="1:6" ht="14.4" thickBot="1" x14ac:dyDescent="0.35">
      <c r="A425" s="4" t="s">
        <v>433</v>
      </c>
      <c r="B425" s="4" t="s">
        <v>434</v>
      </c>
      <c r="C425" s="4" t="s">
        <v>433</v>
      </c>
      <c r="D425" s="4" t="s">
        <v>2869</v>
      </c>
      <c r="E425" s="4" t="s">
        <v>2870</v>
      </c>
      <c r="F425" s="4" t="s">
        <v>2869</v>
      </c>
    </row>
    <row r="426" spans="1:6" ht="14.4" thickBot="1" x14ac:dyDescent="0.35">
      <c r="A426" s="4" t="s">
        <v>433</v>
      </c>
      <c r="B426" s="4" t="s">
        <v>434</v>
      </c>
      <c r="C426" s="4" t="s">
        <v>433</v>
      </c>
      <c r="D426" s="4" t="s">
        <v>2867</v>
      </c>
      <c r="E426" s="4" t="s">
        <v>2868</v>
      </c>
      <c r="F426" s="4" t="s">
        <v>2867</v>
      </c>
    </row>
    <row r="427" spans="1:6" ht="14.4" thickBot="1" x14ac:dyDescent="0.35">
      <c r="A427" s="4" t="s">
        <v>433</v>
      </c>
      <c r="B427" s="4" t="s">
        <v>434</v>
      </c>
      <c r="C427" s="4" t="s">
        <v>433</v>
      </c>
      <c r="D427" s="4" t="s">
        <v>2147</v>
      </c>
      <c r="E427" s="4" t="s">
        <v>2148</v>
      </c>
      <c r="F427" s="4" t="s">
        <v>2147</v>
      </c>
    </row>
    <row r="428" spans="1:6" ht="14.4" thickBot="1" x14ac:dyDescent="0.35">
      <c r="A428" s="4" t="s">
        <v>433</v>
      </c>
      <c r="B428" s="4" t="s">
        <v>434</v>
      </c>
      <c r="C428" s="4" t="s">
        <v>433</v>
      </c>
      <c r="D428" s="4" t="s">
        <v>3621</v>
      </c>
      <c r="E428" s="4" t="s">
        <v>3622</v>
      </c>
      <c r="F428" s="4" t="s">
        <v>3621</v>
      </c>
    </row>
    <row r="429" spans="1:6" ht="14.4" thickBot="1" x14ac:dyDescent="0.35">
      <c r="A429" s="4" t="s">
        <v>433</v>
      </c>
      <c r="B429" s="4" t="s">
        <v>434</v>
      </c>
      <c r="C429" s="4" t="s">
        <v>433</v>
      </c>
      <c r="D429" s="4" t="s">
        <v>1499</v>
      </c>
      <c r="E429" s="4" t="s">
        <v>1500</v>
      </c>
      <c r="F429" s="4" t="s">
        <v>1499</v>
      </c>
    </row>
    <row r="430" spans="1:6" ht="14.4" thickBot="1" x14ac:dyDescent="0.35">
      <c r="A430" s="4" t="s">
        <v>433</v>
      </c>
      <c r="B430" s="4" t="s">
        <v>434</v>
      </c>
      <c r="C430" s="4" t="s">
        <v>433</v>
      </c>
      <c r="D430" s="4" t="s">
        <v>3717</v>
      </c>
      <c r="E430" s="4" t="s">
        <v>3718</v>
      </c>
      <c r="F430" s="4" t="s">
        <v>3717</v>
      </c>
    </row>
    <row r="431" spans="1:6" ht="14.4" thickBot="1" x14ac:dyDescent="0.35">
      <c r="A431" s="4" t="s">
        <v>433</v>
      </c>
      <c r="B431" s="4" t="s">
        <v>434</v>
      </c>
      <c r="C431" s="4" t="s">
        <v>433</v>
      </c>
      <c r="D431" s="4" t="s">
        <v>2155</v>
      </c>
      <c r="E431" s="4" t="s">
        <v>2156</v>
      </c>
      <c r="F431" s="4" t="s">
        <v>2155</v>
      </c>
    </row>
    <row r="432" spans="1:6" ht="14.4" thickBot="1" x14ac:dyDescent="0.35">
      <c r="A432" s="4" t="s">
        <v>433</v>
      </c>
      <c r="B432" s="4" t="s">
        <v>434</v>
      </c>
      <c r="C432" s="4" t="s">
        <v>433</v>
      </c>
      <c r="D432" s="4" t="s">
        <v>1362</v>
      </c>
      <c r="E432" s="4" t="s">
        <v>1363</v>
      </c>
      <c r="F432" s="4" t="s">
        <v>1362</v>
      </c>
    </row>
    <row r="433" spans="1:6" ht="14.4" thickBot="1" x14ac:dyDescent="0.35">
      <c r="A433" s="4" t="s">
        <v>433</v>
      </c>
      <c r="B433" s="4" t="s">
        <v>434</v>
      </c>
      <c r="C433" s="4" t="s">
        <v>433</v>
      </c>
      <c r="D433" s="4" t="s">
        <v>2149</v>
      </c>
      <c r="E433" s="4" t="s">
        <v>2150</v>
      </c>
      <c r="F433" s="4" t="s">
        <v>2149</v>
      </c>
    </row>
    <row r="434" spans="1:6" ht="14.4" thickBot="1" x14ac:dyDescent="0.35">
      <c r="A434" s="4" t="s">
        <v>433</v>
      </c>
      <c r="B434" s="4" t="s">
        <v>434</v>
      </c>
      <c r="C434" s="4" t="s">
        <v>433</v>
      </c>
      <c r="D434" s="4" t="s">
        <v>5086</v>
      </c>
      <c r="E434" s="4" t="s">
        <v>5087</v>
      </c>
      <c r="F434" s="4" t="s">
        <v>5086</v>
      </c>
    </row>
    <row r="435" spans="1:6" ht="14.4" thickBot="1" x14ac:dyDescent="0.35">
      <c r="A435" s="4" t="s">
        <v>433</v>
      </c>
      <c r="B435" s="4" t="s">
        <v>434</v>
      </c>
      <c r="C435" s="4" t="s">
        <v>433</v>
      </c>
      <c r="D435" s="4" t="s">
        <v>5773</v>
      </c>
      <c r="E435" s="4" t="s">
        <v>5774</v>
      </c>
      <c r="F435" s="4" t="s">
        <v>5773</v>
      </c>
    </row>
    <row r="436" spans="1:6" ht="14.4" thickBot="1" x14ac:dyDescent="0.35">
      <c r="A436" s="4" t="s">
        <v>433</v>
      </c>
      <c r="B436" s="4" t="s">
        <v>434</v>
      </c>
      <c r="C436" s="4" t="s">
        <v>433</v>
      </c>
      <c r="D436" s="4" t="s">
        <v>3617</v>
      </c>
      <c r="E436" s="4" t="s">
        <v>3618</v>
      </c>
      <c r="F436" s="4" t="s">
        <v>3617</v>
      </c>
    </row>
    <row r="437" spans="1:6" ht="14.4" thickBot="1" x14ac:dyDescent="0.35">
      <c r="A437" s="4" t="s">
        <v>433</v>
      </c>
      <c r="B437" s="4" t="s">
        <v>434</v>
      </c>
      <c r="C437" s="4" t="s">
        <v>433</v>
      </c>
      <c r="D437" s="4" t="s">
        <v>2145</v>
      </c>
      <c r="E437" s="4" t="s">
        <v>2146</v>
      </c>
      <c r="F437" s="4" t="s">
        <v>2145</v>
      </c>
    </row>
    <row r="438" spans="1:6" ht="14.4" thickBot="1" x14ac:dyDescent="0.35">
      <c r="A438" s="4" t="s">
        <v>433</v>
      </c>
      <c r="B438" s="4" t="s">
        <v>434</v>
      </c>
      <c r="C438" s="4" t="s">
        <v>433</v>
      </c>
      <c r="D438" s="4" t="s">
        <v>5084</v>
      </c>
      <c r="E438" s="4" t="s">
        <v>5085</v>
      </c>
      <c r="F438" s="4" t="s">
        <v>5084</v>
      </c>
    </row>
    <row r="439" spans="1:6" ht="14.4" thickBot="1" x14ac:dyDescent="0.35">
      <c r="A439" s="4" t="s">
        <v>433</v>
      </c>
      <c r="B439" s="4" t="s">
        <v>434</v>
      </c>
      <c r="C439" s="4" t="s">
        <v>433</v>
      </c>
      <c r="D439" s="4" t="s">
        <v>3615</v>
      </c>
      <c r="E439" s="4" t="s">
        <v>3616</v>
      </c>
      <c r="F439" s="4" t="s">
        <v>3615</v>
      </c>
    </row>
    <row r="440" spans="1:6" ht="14.4" thickBot="1" x14ac:dyDescent="0.35">
      <c r="A440" s="4" t="s">
        <v>433</v>
      </c>
      <c r="B440" s="4" t="s">
        <v>434</v>
      </c>
      <c r="C440" s="4" t="s">
        <v>433</v>
      </c>
      <c r="D440" s="4" t="s">
        <v>3627</v>
      </c>
      <c r="E440" s="4" t="s">
        <v>3628</v>
      </c>
      <c r="F440" s="4" t="s">
        <v>3627</v>
      </c>
    </row>
    <row r="441" spans="1:6" ht="14.4" thickBot="1" x14ac:dyDescent="0.35">
      <c r="A441" s="4" t="s">
        <v>433</v>
      </c>
      <c r="B441" s="4" t="s">
        <v>434</v>
      </c>
      <c r="C441" s="4" t="s">
        <v>433</v>
      </c>
      <c r="D441" s="4" t="s">
        <v>5082</v>
      </c>
      <c r="E441" s="4" t="s">
        <v>5083</v>
      </c>
      <c r="F441" s="4" t="s">
        <v>5082</v>
      </c>
    </row>
    <row r="442" spans="1:6" ht="14.4" thickBot="1" x14ac:dyDescent="0.35">
      <c r="A442" s="4" t="s">
        <v>433</v>
      </c>
      <c r="B442" s="4" t="s">
        <v>434</v>
      </c>
      <c r="C442" s="4" t="s">
        <v>433</v>
      </c>
      <c r="D442" s="4" t="s">
        <v>5080</v>
      </c>
      <c r="E442" s="4" t="s">
        <v>5081</v>
      </c>
      <c r="F442" s="4" t="s">
        <v>5080</v>
      </c>
    </row>
    <row r="443" spans="1:6" ht="14.4" thickBot="1" x14ac:dyDescent="0.35">
      <c r="A443" s="4" t="s">
        <v>445</v>
      </c>
      <c r="B443" s="4" t="s">
        <v>446</v>
      </c>
      <c r="C443" s="4" t="s">
        <v>445</v>
      </c>
      <c r="D443" s="4" t="s">
        <v>4413</v>
      </c>
      <c r="E443" s="4" t="s">
        <v>4414</v>
      </c>
      <c r="F443" s="4" t="s">
        <v>4413</v>
      </c>
    </row>
    <row r="444" spans="1:6" ht="14.4" thickBot="1" x14ac:dyDescent="0.35">
      <c r="A444" s="4" t="s">
        <v>445</v>
      </c>
      <c r="B444" s="4" t="s">
        <v>446</v>
      </c>
      <c r="C444" s="4" t="s">
        <v>445</v>
      </c>
      <c r="D444" s="4" t="s">
        <v>1378</v>
      </c>
      <c r="E444" s="4" t="s">
        <v>1379</v>
      </c>
      <c r="F444" s="4" t="s">
        <v>1378</v>
      </c>
    </row>
    <row r="445" spans="1:6" ht="14.4" thickBot="1" x14ac:dyDescent="0.35">
      <c r="A445" s="4" t="s">
        <v>445</v>
      </c>
      <c r="B445" s="4" t="s">
        <v>446</v>
      </c>
      <c r="C445" s="4" t="s">
        <v>445</v>
      </c>
      <c r="D445" s="4" t="s">
        <v>5781</v>
      </c>
      <c r="E445" s="4" t="s">
        <v>5782</v>
      </c>
      <c r="F445" s="4" t="s">
        <v>5781</v>
      </c>
    </row>
    <row r="446" spans="1:6" ht="14.4" thickBot="1" x14ac:dyDescent="0.35">
      <c r="A446" s="4" t="s">
        <v>445</v>
      </c>
      <c r="B446" s="4" t="s">
        <v>446</v>
      </c>
      <c r="C446" s="4" t="s">
        <v>445</v>
      </c>
      <c r="D446" s="4" t="s">
        <v>3635</v>
      </c>
      <c r="E446" s="4" t="s">
        <v>3636</v>
      </c>
      <c r="F446" s="4" t="s">
        <v>3635</v>
      </c>
    </row>
    <row r="447" spans="1:6" ht="14.4" thickBot="1" x14ac:dyDescent="0.35">
      <c r="A447" s="4" t="s">
        <v>445</v>
      </c>
      <c r="B447" s="4" t="s">
        <v>446</v>
      </c>
      <c r="C447" s="4" t="s">
        <v>445</v>
      </c>
      <c r="D447" s="4" t="s">
        <v>4411</v>
      </c>
      <c r="E447" s="4" t="s">
        <v>4412</v>
      </c>
      <c r="F447" s="4" t="s">
        <v>4411</v>
      </c>
    </row>
    <row r="448" spans="1:6" ht="14.4" thickBot="1" x14ac:dyDescent="0.35">
      <c r="A448" s="4" t="s">
        <v>445</v>
      </c>
      <c r="B448" s="4" t="s">
        <v>446</v>
      </c>
      <c r="C448" s="4" t="s">
        <v>445</v>
      </c>
      <c r="D448" s="4" t="s">
        <v>1376</v>
      </c>
      <c r="E448" s="4" t="s">
        <v>1377</v>
      </c>
      <c r="F448" s="4" t="s">
        <v>1376</v>
      </c>
    </row>
    <row r="449" spans="1:6" ht="14.4" thickBot="1" x14ac:dyDescent="0.35">
      <c r="A449" s="4" t="s">
        <v>445</v>
      </c>
      <c r="B449" s="4" t="s">
        <v>446</v>
      </c>
      <c r="C449" s="4" t="s">
        <v>445</v>
      </c>
      <c r="D449" s="4" t="s">
        <v>447</v>
      </c>
      <c r="E449" s="4" t="s">
        <v>448</v>
      </c>
      <c r="F449" s="4" t="s">
        <v>447</v>
      </c>
    </row>
    <row r="450" spans="1:6" ht="14.4" thickBot="1" x14ac:dyDescent="0.35">
      <c r="A450" s="4" t="s">
        <v>445</v>
      </c>
      <c r="B450" s="4" t="s">
        <v>446</v>
      </c>
      <c r="C450" s="4" t="s">
        <v>445</v>
      </c>
      <c r="D450" s="4" t="s">
        <v>3637</v>
      </c>
      <c r="E450" s="4" t="s">
        <v>3638</v>
      </c>
      <c r="F450" s="4" t="s">
        <v>3637</v>
      </c>
    </row>
    <row r="451" spans="1:6" ht="14.4" thickBot="1" x14ac:dyDescent="0.35">
      <c r="A451" s="4" t="s">
        <v>445</v>
      </c>
      <c r="B451" s="4" t="s">
        <v>446</v>
      </c>
      <c r="C451" s="4" t="s">
        <v>445</v>
      </c>
      <c r="D451" s="4" t="s">
        <v>2877</v>
      </c>
      <c r="E451" s="4" t="s">
        <v>2878</v>
      </c>
      <c r="F451" s="4" t="s">
        <v>2877</v>
      </c>
    </row>
    <row r="452" spans="1:6" ht="14.4" thickBot="1" x14ac:dyDescent="0.35">
      <c r="A452" s="4" t="s">
        <v>445</v>
      </c>
      <c r="B452" s="4" t="s">
        <v>446</v>
      </c>
      <c r="C452" s="4" t="s">
        <v>445</v>
      </c>
      <c r="D452" s="4" t="s">
        <v>5098</v>
      </c>
      <c r="E452" s="4" t="s">
        <v>5099</v>
      </c>
      <c r="F452" s="4" t="s">
        <v>5098</v>
      </c>
    </row>
    <row r="453" spans="1:6" ht="14.4" thickBot="1" x14ac:dyDescent="0.35">
      <c r="A453" s="4" t="s">
        <v>450</v>
      </c>
      <c r="B453" s="4" t="s">
        <v>451</v>
      </c>
      <c r="C453" s="4" t="s">
        <v>450</v>
      </c>
      <c r="D453" s="4" t="s">
        <v>4509</v>
      </c>
      <c r="E453" s="4" t="s">
        <v>4510</v>
      </c>
      <c r="F453" s="4" t="s">
        <v>4509</v>
      </c>
    </row>
    <row r="454" spans="1:6" ht="14.4" thickBot="1" x14ac:dyDescent="0.35">
      <c r="A454" s="4" t="s">
        <v>450</v>
      </c>
      <c r="B454" s="4" t="s">
        <v>451</v>
      </c>
      <c r="C454" s="4" t="s">
        <v>450</v>
      </c>
      <c r="D454" s="4" t="s">
        <v>2879</v>
      </c>
      <c r="E454" s="4" t="s">
        <v>2880</v>
      </c>
      <c r="F454" s="4" t="s">
        <v>2879</v>
      </c>
    </row>
    <row r="455" spans="1:6" ht="14.4" thickBot="1" x14ac:dyDescent="0.35">
      <c r="A455" s="4" t="s">
        <v>450</v>
      </c>
      <c r="B455" s="4" t="s">
        <v>451</v>
      </c>
      <c r="C455" s="4" t="s">
        <v>450</v>
      </c>
      <c r="D455" s="4" t="s">
        <v>573</v>
      </c>
      <c r="E455" s="4" t="s">
        <v>574</v>
      </c>
      <c r="F455" s="4" t="s">
        <v>573</v>
      </c>
    </row>
    <row r="456" spans="1:6" ht="14.4" thickBot="1" x14ac:dyDescent="0.35">
      <c r="A456" s="4" t="s">
        <v>450</v>
      </c>
      <c r="B456" s="4" t="s">
        <v>451</v>
      </c>
      <c r="C456" s="4" t="s">
        <v>450</v>
      </c>
      <c r="D456" s="4" t="s">
        <v>1507</v>
      </c>
      <c r="E456" s="4" t="s">
        <v>1508</v>
      </c>
      <c r="F456" s="4" t="s">
        <v>1507</v>
      </c>
    </row>
    <row r="457" spans="1:6" ht="14.4" thickBot="1" x14ac:dyDescent="0.35">
      <c r="A457" s="4" t="s">
        <v>450</v>
      </c>
      <c r="B457" s="4" t="s">
        <v>451</v>
      </c>
      <c r="C457" s="4" t="s">
        <v>450</v>
      </c>
      <c r="D457" s="4" t="s">
        <v>3723</v>
      </c>
      <c r="E457" s="4" t="s">
        <v>3724</v>
      </c>
      <c r="F457" s="4" t="s">
        <v>3723</v>
      </c>
    </row>
    <row r="458" spans="1:6" ht="14.4" thickBot="1" x14ac:dyDescent="0.35">
      <c r="A458" s="4" t="s">
        <v>450</v>
      </c>
      <c r="B458" s="4" t="s">
        <v>451</v>
      </c>
      <c r="C458" s="4" t="s">
        <v>450</v>
      </c>
      <c r="D458" s="4" t="s">
        <v>452</v>
      </c>
      <c r="E458" s="4" t="s">
        <v>453</v>
      </c>
      <c r="F458" s="4" t="s">
        <v>452</v>
      </c>
    </row>
    <row r="459" spans="1:6" ht="14.4" thickBot="1" x14ac:dyDescent="0.35">
      <c r="A459" s="4" t="s">
        <v>450</v>
      </c>
      <c r="B459" s="4" t="s">
        <v>451</v>
      </c>
      <c r="C459" s="4" t="s">
        <v>450</v>
      </c>
      <c r="D459" s="4" t="s">
        <v>2881</v>
      </c>
      <c r="E459" s="4" t="s">
        <v>2882</v>
      </c>
      <c r="F459" s="4" t="s">
        <v>2881</v>
      </c>
    </row>
    <row r="460" spans="1:6" ht="14.4" thickBot="1" x14ac:dyDescent="0.35">
      <c r="A460" s="4" t="s">
        <v>450</v>
      </c>
      <c r="B460" s="4" t="s">
        <v>451</v>
      </c>
      <c r="C460" s="4" t="s">
        <v>450</v>
      </c>
      <c r="D460" s="4" t="s">
        <v>5783</v>
      </c>
      <c r="E460" s="4" t="s">
        <v>5784</v>
      </c>
      <c r="F460" s="4" t="s">
        <v>5783</v>
      </c>
    </row>
    <row r="461" spans="1:6" ht="14.4" thickBot="1" x14ac:dyDescent="0.35">
      <c r="A461" s="4" t="s">
        <v>450</v>
      </c>
      <c r="B461" s="4" t="s">
        <v>451</v>
      </c>
      <c r="C461" s="4" t="s">
        <v>450</v>
      </c>
      <c r="D461" s="4" t="s">
        <v>2158</v>
      </c>
      <c r="E461" s="4" t="s">
        <v>2159</v>
      </c>
      <c r="F461" s="4" t="s">
        <v>2158</v>
      </c>
    </row>
    <row r="462" spans="1:6" ht="14.4" thickBot="1" x14ac:dyDescent="0.35">
      <c r="A462" s="4" t="s">
        <v>450</v>
      </c>
      <c r="B462" s="4" t="s">
        <v>451</v>
      </c>
      <c r="C462" s="4" t="s">
        <v>450</v>
      </c>
      <c r="D462" s="4" t="s">
        <v>5863</v>
      </c>
      <c r="E462" s="4" t="s">
        <v>5864</v>
      </c>
      <c r="F462" s="4" t="s">
        <v>5863</v>
      </c>
    </row>
    <row r="463" spans="1:6" ht="14.4" thickBot="1" x14ac:dyDescent="0.35">
      <c r="A463" s="4" t="s">
        <v>450</v>
      </c>
      <c r="B463" s="4" t="s">
        <v>451</v>
      </c>
      <c r="C463" s="4" t="s">
        <v>450</v>
      </c>
      <c r="D463" s="4" t="s">
        <v>5865</v>
      </c>
      <c r="E463" s="4" t="s">
        <v>5866</v>
      </c>
      <c r="F463" s="4" t="s">
        <v>5865</v>
      </c>
    </row>
    <row r="464" spans="1:6" ht="14.4" thickBot="1" x14ac:dyDescent="0.35">
      <c r="A464" s="4" t="s">
        <v>1380</v>
      </c>
      <c r="B464" s="4" t="s">
        <v>1381</v>
      </c>
      <c r="C464" s="4" t="s">
        <v>1380</v>
      </c>
      <c r="D464" s="4" t="s">
        <v>1382</v>
      </c>
      <c r="E464" s="4" t="s">
        <v>1383</v>
      </c>
      <c r="F464" s="4" t="s">
        <v>1382</v>
      </c>
    </row>
    <row r="465" spans="1:6" ht="14.4" thickBot="1" x14ac:dyDescent="0.35">
      <c r="A465" s="4" t="s">
        <v>1380</v>
      </c>
      <c r="B465" s="4" t="s">
        <v>1381</v>
      </c>
      <c r="C465" s="4" t="s">
        <v>1380</v>
      </c>
      <c r="D465" s="4" t="s">
        <v>1384</v>
      </c>
      <c r="E465" s="4" t="s">
        <v>1385</v>
      </c>
      <c r="F465" s="4" t="s">
        <v>1384</v>
      </c>
    </row>
    <row r="466" spans="1:6" ht="14.4" thickBot="1" x14ac:dyDescent="0.35">
      <c r="A466" s="4" t="s">
        <v>2160</v>
      </c>
      <c r="B466" s="4" t="s">
        <v>2161</v>
      </c>
      <c r="C466" s="4" t="s">
        <v>2160</v>
      </c>
      <c r="D466" s="4" t="s">
        <v>4415</v>
      </c>
      <c r="E466" s="4" t="s">
        <v>4416</v>
      </c>
      <c r="F466" s="4" t="s">
        <v>4415</v>
      </c>
    </row>
    <row r="467" spans="1:6" ht="14.4" thickBot="1" x14ac:dyDescent="0.35">
      <c r="A467" s="4" t="s">
        <v>2160</v>
      </c>
      <c r="B467" s="4" t="s">
        <v>2161</v>
      </c>
      <c r="C467" s="4" t="s">
        <v>2160</v>
      </c>
      <c r="D467" s="4" t="s">
        <v>2883</v>
      </c>
      <c r="E467" s="4" t="s">
        <v>2884</v>
      </c>
      <c r="F467" s="4" t="s">
        <v>2883</v>
      </c>
    </row>
    <row r="468" spans="1:6" ht="14.4" thickBot="1" x14ac:dyDescent="0.35">
      <c r="A468" s="4" t="s">
        <v>2160</v>
      </c>
      <c r="B468" s="4" t="s">
        <v>2161</v>
      </c>
      <c r="C468" s="4" t="s">
        <v>2160</v>
      </c>
      <c r="D468" s="4" t="s">
        <v>2162</v>
      </c>
      <c r="E468" s="4" t="s">
        <v>2163</v>
      </c>
      <c r="F468" s="4" t="s">
        <v>2162</v>
      </c>
    </row>
    <row r="469" spans="1:6" ht="14.4" thickBot="1" x14ac:dyDescent="0.35">
      <c r="A469" s="4" t="s">
        <v>3809</v>
      </c>
      <c r="B469" s="4" t="s">
        <v>5303</v>
      </c>
      <c r="C469" s="4" t="s">
        <v>3809</v>
      </c>
      <c r="D469" s="4" t="s">
        <v>5306</v>
      </c>
      <c r="E469" s="4" t="s">
        <v>5307</v>
      </c>
      <c r="F469" s="4" t="s">
        <v>5306</v>
      </c>
    </row>
    <row r="470" spans="1:6" ht="14.4" thickBot="1" x14ac:dyDescent="0.35">
      <c r="A470" s="4" t="s">
        <v>3809</v>
      </c>
      <c r="B470" s="4" t="s">
        <v>5303</v>
      </c>
      <c r="C470" s="4" t="s">
        <v>3809</v>
      </c>
      <c r="D470" s="4" t="s">
        <v>5304</v>
      </c>
      <c r="E470" s="4" t="s">
        <v>5305</v>
      </c>
      <c r="F470" s="4" t="s">
        <v>5304</v>
      </c>
    </row>
    <row r="471" spans="1:6" ht="14.4" thickBot="1" x14ac:dyDescent="0.35">
      <c r="A471" s="4" t="s">
        <v>456</v>
      </c>
      <c r="B471" s="4" t="s">
        <v>457</v>
      </c>
      <c r="C471" s="4" t="s">
        <v>456</v>
      </c>
      <c r="D471" s="4" t="s">
        <v>2164</v>
      </c>
      <c r="E471" s="4" t="s">
        <v>2165</v>
      </c>
      <c r="F471" s="4" t="s">
        <v>2164</v>
      </c>
    </row>
    <row r="472" spans="1:6" ht="14.4" thickBot="1" x14ac:dyDescent="0.35">
      <c r="A472" s="4" t="s">
        <v>456</v>
      </c>
      <c r="B472" s="4" t="s">
        <v>457</v>
      </c>
      <c r="C472" s="4" t="s">
        <v>456</v>
      </c>
      <c r="D472" s="4" t="s">
        <v>458</v>
      </c>
      <c r="E472" s="4" t="s">
        <v>459</v>
      </c>
      <c r="F472" s="4" t="s">
        <v>458</v>
      </c>
    </row>
    <row r="473" spans="1:6" ht="14.4" thickBot="1" x14ac:dyDescent="0.35">
      <c r="A473" s="4" t="s">
        <v>3639</v>
      </c>
      <c r="B473" s="4" t="s">
        <v>3640</v>
      </c>
      <c r="C473" s="4" t="s">
        <v>3639</v>
      </c>
      <c r="D473" s="4" t="s">
        <v>3641</v>
      </c>
      <c r="E473" s="4" t="s">
        <v>3642</v>
      </c>
      <c r="F473" s="4" t="s">
        <v>3641</v>
      </c>
    </row>
    <row r="474" spans="1:6" ht="14.4" thickBot="1" x14ac:dyDescent="0.35">
      <c r="A474" s="4" t="s">
        <v>3639</v>
      </c>
      <c r="B474" s="4" t="s">
        <v>3640</v>
      </c>
      <c r="C474" s="4" t="s">
        <v>3639</v>
      </c>
      <c r="D474" s="4" t="s">
        <v>5785</v>
      </c>
      <c r="E474" s="4" t="s">
        <v>5786</v>
      </c>
      <c r="F474" s="4" t="s">
        <v>5785</v>
      </c>
    </row>
    <row r="475" spans="1:6" ht="14.4" thickBot="1" x14ac:dyDescent="0.35">
      <c r="A475" s="4" t="s">
        <v>735</v>
      </c>
      <c r="B475" s="4" t="s">
        <v>736</v>
      </c>
      <c r="C475" s="4" t="s">
        <v>735</v>
      </c>
      <c r="D475" s="4" t="s">
        <v>737</v>
      </c>
      <c r="E475" s="4" t="s">
        <v>738</v>
      </c>
      <c r="F475" s="4" t="s">
        <v>737</v>
      </c>
    </row>
    <row r="476" spans="1:6" ht="14.4" thickBot="1" x14ac:dyDescent="0.35">
      <c r="A476" s="4" t="s">
        <v>735</v>
      </c>
      <c r="B476" s="4" t="s">
        <v>736</v>
      </c>
      <c r="C476" s="4" t="s">
        <v>735</v>
      </c>
      <c r="D476" s="4" t="s">
        <v>2337</v>
      </c>
      <c r="E476" s="4" t="s">
        <v>2338</v>
      </c>
      <c r="F476" s="4" t="s">
        <v>2337</v>
      </c>
    </row>
    <row r="477" spans="1:6" ht="14.4" thickBot="1" x14ac:dyDescent="0.35">
      <c r="A477" s="4" t="s">
        <v>735</v>
      </c>
      <c r="B477" s="4" t="s">
        <v>736</v>
      </c>
      <c r="C477" s="4" t="s">
        <v>735</v>
      </c>
      <c r="D477" s="4" t="s">
        <v>5440</v>
      </c>
      <c r="E477" s="4" t="s">
        <v>5441</v>
      </c>
      <c r="F477" s="4" t="s">
        <v>5440</v>
      </c>
    </row>
    <row r="478" spans="1:6" ht="14.4" thickBot="1" x14ac:dyDescent="0.35">
      <c r="A478" s="4" t="s">
        <v>735</v>
      </c>
      <c r="B478" s="4" t="s">
        <v>736</v>
      </c>
      <c r="C478" s="4" t="s">
        <v>735</v>
      </c>
      <c r="D478" s="4" t="s">
        <v>739</v>
      </c>
      <c r="E478" s="4" t="s">
        <v>740</v>
      </c>
      <c r="F478" s="4" t="s">
        <v>739</v>
      </c>
    </row>
    <row r="479" spans="1:6" ht="14.4" thickBot="1" x14ac:dyDescent="0.35">
      <c r="A479" s="4" t="s">
        <v>735</v>
      </c>
      <c r="B479" s="4" t="s">
        <v>736</v>
      </c>
      <c r="C479" s="4" t="s">
        <v>735</v>
      </c>
      <c r="D479" s="4" t="s">
        <v>4619</v>
      </c>
      <c r="E479" s="4" t="s">
        <v>4620</v>
      </c>
      <c r="F479" s="4" t="s">
        <v>4619</v>
      </c>
    </row>
    <row r="480" spans="1:6" ht="14.4" thickBot="1" x14ac:dyDescent="0.35">
      <c r="A480" s="4" t="s">
        <v>735</v>
      </c>
      <c r="B480" s="4" t="s">
        <v>736</v>
      </c>
      <c r="C480" s="4" t="s">
        <v>735</v>
      </c>
      <c r="D480" s="4" t="s">
        <v>3230</v>
      </c>
      <c r="E480" s="4" t="s">
        <v>3231</v>
      </c>
      <c r="F480" s="4" t="s">
        <v>3230</v>
      </c>
    </row>
    <row r="481" spans="1:6" ht="14.4" thickBot="1" x14ac:dyDescent="0.35">
      <c r="A481" s="4" t="s">
        <v>735</v>
      </c>
      <c r="B481" s="4" t="s">
        <v>736</v>
      </c>
      <c r="C481" s="4" t="s">
        <v>735</v>
      </c>
      <c r="D481" s="4" t="s">
        <v>1638</v>
      </c>
      <c r="E481" s="4" t="s">
        <v>1639</v>
      </c>
      <c r="F481" s="4" t="s">
        <v>1638</v>
      </c>
    </row>
    <row r="482" spans="1:6" ht="14.4" thickBot="1" x14ac:dyDescent="0.35">
      <c r="A482" s="4" t="s">
        <v>735</v>
      </c>
      <c r="B482" s="4" t="s">
        <v>736</v>
      </c>
      <c r="C482" s="4" t="s">
        <v>735</v>
      </c>
      <c r="D482" s="4" t="s">
        <v>741</v>
      </c>
      <c r="E482" s="4" t="s">
        <v>742</v>
      </c>
      <c r="F482" s="4" t="s">
        <v>741</v>
      </c>
    </row>
    <row r="483" spans="1:6" ht="14.4" thickBot="1" x14ac:dyDescent="0.35">
      <c r="A483" s="4" t="s">
        <v>1640</v>
      </c>
      <c r="B483" s="4" t="s">
        <v>1641</v>
      </c>
      <c r="C483" s="4" t="s">
        <v>1640</v>
      </c>
      <c r="D483" s="4" t="s">
        <v>1644</v>
      </c>
      <c r="E483" s="4" t="s">
        <v>1645</v>
      </c>
      <c r="F483" s="4" t="s">
        <v>1644</v>
      </c>
    </row>
    <row r="484" spans="1:6" ht="14.4" thickBot="1" x14ac:dyDescent="0.35">
      <c r="A484" s="4" t="s">
        <v>1640</v>
      </c>
      <c r="B484" s="4" t="s">
        <v>1641</v>
      </c>
      <c r="C484" s="4" t="s">
        <v>1640</v>
      </c>
      <c r="D484" s="4" t="s">
        <v>1642</v>
      </c>
      <c r="E484" s="4" t="s">
        <v>1643</v>
      </c>
      <c r="F484" s="4" t="s">
        <v>1642</v>
      </c>
    </row>
    <row r="485" spans="1:6" ht="14.4" thickBot="1" x14ac:dyDescent="0.35">
      <c r="A485" s="4" t="s">
        <v>371</v>
      </c>
      <c r="B485" s="4" t="s">
        <v>372</v>
      </c>
      <c r="C485" s="4" t="s">
        <v>371</v>
      </c>
      <c r="D485" s="4" t="s">
        <v>1405</v>
      </c>
      <c r="E485" s="4" t="s">
        <v>2821</v>
      </c>
      <c r="F485" s="4" t="s">
        <v>1405</v>
      </c>
    </row>
    <row r="486" spans="1:6" ht="14.4" thickBot="1" x14ac:dyDescent="0.35">
      <c r="A486" s="4" t="s">
        <v>371</v>
      </c>
      <c r="B486" s="4" t="s">
        <v>372</v>
      </c>
      <c r="C486" s="4" t="s">
        <v>371</v>
      </c>
      <c r="D486" s="4" t="s">
        <v>2114</v>
      </c>
      <c r="E486" s="4" t="s">
        <v>2115</v>
      </c>
      <c r="F486" s="4" t="s">
        <v>2114</v>
      </c>
    </row>
    <row r="487" spans="1:6" ht="14.4" thickBot="1" x14ac:dyDescent="0.35">
      <c r="A487" s="4" t="s">
        <v>371</v>
      </c>
      <c r="B487" s="4" t="s">
        <v>372</v>
      </c>
      <c r="C487" s="4" t="s">
        <v>371</v>
      </c>
      <c r="D487" s="4" t="s">
        <v>4362</v>
      </c>
      <c r="E487" s="4" t="s">
        <v>4363</v>
      </c>
      <c r="F487" s="4" t="s">
        <v>4362</v>
      </c>
    </row>
    <row r="488" spans="1:6" ht="14.4" thickBot="1" x14ac:dyDescent="0.35">
      <c r="A488" s="4" t="s">
        <v>371</v>
      </c>
      <c r="B488" s="4" t="s">
        <v>372</v>
      </c>
      <c r="C488" s="4" t="s">
        <v>371</v>
      </c>
      <c r="D488" s="4" t="s">
        <v>5025</v>
      </c>
      <c r="E488" s="4" t="s">
        <v>5026</v>
      </c>
      <c r="F488" s="4" t="s">
        <v>5025</v>
      </c>
    </row>
    <row r="489" spans="1:6" ht="14.4" thickBot="1" x14ac:dyDescent="0.35">
      <c r="A489" s="4" t="s">
        <v>371</v>
      </c>
      <c r="B489" s="4" t="s">
        <v>372</v>
      </c>
      <c r="C489" s="4" t="s">
        <v>371</v>
      </c>
      <c r="D489" s="4" t="s">
        <v>1409</v>
      </c>
      <c r="E489" s="4" t="s">
        <v>2101</v>
      </c>
      <c r="F489" s="4" t="s">
        <v>1409</v>
      </c>
    </row>
    <row r="490" spans="1:6" ht="14.4" thickBot="1" x14ac:dyDescent="0.35">
      <c r="A490" s="4" t="s">
        <v>371</v>
      </c>
      <c r="B490" s="4" t="s">
        <v>372</v>
      </c>
      <c r="C490" s="4" t="s">
        <v>371</v>
      </c>
      <c r="D490" s="4" t="s">
        <v>2817</v>
      </c>
      <c r="E490" s="4" t="s">
        <v>2818</v>
      </c>
      <c r="F490" s="4" t="s">
        <v>2817</v>
      </c>
    </row>
    <row r="491" spans="1:6" ht="14.4" thickBot="1" x14ac:dyDescent="0.35">
      <c r="A491" s="4" t="s">
        <v>371</v>
      </c>
      <c r="B491" s="4" t="s">
        <v>372</v>
      </c>
      <c r="C491" s="4" t="s">
        <v>371</v>
      </c>
      <c r="D491" s="4" t="s">
        <v>4356</v>
      </c>
      <c r="E491" s="4" t="s">
        <v>4357</v>
      </c>
      <c r="F491" s="4" t="s">
        <v>4356</v>
      </c>
    </row>
    <row r="492" spans="1:6" ht="14.4" thickBot="1" x14ac:dyDescent="0.35">
      <c r="A492" s="4" t="s">
        <v>371</v>
      </c>
      <c r="B492" s="4" t="s">
        <v>372</v>
      </c>
      <c r="C492" s="4" t="s">
        <v>371</v>
      </c>
      <c r="D492" s="4" t="s">
        <v>4360</v>
      </c>
      <c r="E492" s="4" t="s">
        <v>4361</v>
      </c>
      <c r="F492" s="4" t="s">
        <v>4360</v>
      </c>
    </row>
    <row r="493" spans="1:6" ht="14.4" thickBot="1" x14ac:dyDescent="0.35">
      <c r="A493" s="4" t="s">
        <v>371</v>
      </c>
      <c r="B493" s="4" t="s">
        <v>372</v>
      </c>
      <c r="C493" s="4" t="s">
        <v>371</v>
      </c>
      <c r="D493" s="4" t="s">
        <v>1296</v>
      </c>
      <c r="E493" s="4" t="s">
        <v>1297</v>
      </c>
      <c r="F493" s="4" t="s">
        <v>1296</v>
      </c>
    </row>
    <row r="494" spans="1:6" ht="14.4" thickBot="1" x14ac:dyDescent="0.35">
      <c r="A494" s="4" t="s">
        <v>371</v>
      </c>
      <c r="B494" s="4" t="s">
        <v>372</v>
      </c>
      <c r="C494" s="4" t="s">
        <v>371</v>
      </c>
      <c r="D494" s="4" t="s">
        <v>2801</v>
      </c>
      <c r="E494" s="4" t="s">
        <v>2802</v>
      </c>
      <c r="F494" s="4" t="s">
        <v>2801</v>
      </c>
    </row>
    <row r="495" spans="1:6" ht="14.4" thickBot="1" x14ac:dyDescent="0.35">
      <c r="A495" s="4" t="s">
        <v>371</v>
      </c>
      <c r="B495" s="4" t="s">
        <v>372</v>
      </c>
      <c r="C495" s="4" t="s">
        <v>371</v>
      </c>
      <c r="D495" s="4" t="s">
        <v>4354</v>
      </c>
      <c r="E495" s="4" t="s">
        <v>4355</v>
      </c>
      <c r="F495" s="4" t="s">
        <v>4354</v>
      </c>
    </row>
    <row r="496" spans="1:6" ht="14.4" thickBot="1" x14ac:dyDescent="0.35">
      <c r="A496" s="4" t="s">
        <v>371</v>
      </c>
      <c r="B496" s="4" t="s">
        <v>372</v>
      </c>
      <c r="C496" s="4" t="s">
        <v>371</v>
      </c>
      <c r="D496" s="4" t="s">
        <v>1298</v>
      </c>
      <c r="E496" s="4" t="s">
        <v>1299</v>
      </c>
      <c r="F496" s="4" t="s">
        <v>1298</v>
      </c>
    </row>
    <row r="497" spans="1:6" ht="14.4" thickBot="1" x14ac:dyDescent="0.35">
      <c r="A497" s="4" t="s">
        <v>371</v>
      </c>
      <c r="B497" s="4" t="s">
        <v>372</v>
      </c>
      <c r="C497" s="4" t="s">
        <v>371</v>
      </c>
      <c r="D497" s="4" t="s">
        <v>5027</v>
      </c>
      <c r="E497" s="4" t="s">
        <v>5028</v>
      </c>
      <c r="F497" s="4" t="s">
        <v>5027</v>
      </c>
    </row>
    <row r="498" spans="1:6" ht="14.4" thickBot="1" x14ac:dyDescent="0.35">
      <c r="A498" s="4" t="s">
        <v>371</v>
      </c>
      <c r="B498" s="4" t="s">
        <v>372</v>
      </c>
      <c r="C498" s="4" t="s">
        <v>371</v>
      </c>
      <c r="D498" s="4" t="s">
        <v>4375</v>
      </c>
      <c r="E498" s="4" t="s">
        <v>4326</v>
      </c>
      <c r="F498" s="4" t="s">
        <v>4375</v>
      </c>
    </row>
    <row r="499" spans="1:6" ht="14.4" thickBot="1" x14ac:dyDescent="0.35">
      <c r="A499" s="4" t="s">
        <v>371</v>
      </c>
      <c r="B499" s="4" t="s">
        <v>372</v>
      </c>
      <c r="C499" s="4" t="s">
        <v>371</v>
      </c>
      <c r="D499" s="4" t="s">
        <v>4364</v>
      </c>
      <c r="E499" s="4" t="s">
        <v>4365</v>
      </c>
      <c r="F499" s="4" t="s">
        <v>4364</v>
      </c>
    </row>
    <row r="500" spans="1:6" ht="14.4" thickBot="1" x14ac:dyDescent="0.35">
      <c r="A500" s="4" t="s">
        <v>371</v>
      </c>
      <c r="B500" s="4" t="s">
        <v>372</v>
      </c>
      <c r="C500" s="4" t="s">
        <v>371</v>
      </c>
      <c r="D500" s="4" t="s">
        <v>5733</v>
      </c>
      <c r="E500" s="4" t="s">
        <v>5734</v>
      </c>
      <c r="F500" s="4" t="s">
        <v>5733</v>
      </c>
    </row>
    <row r="501" spans="1:6" ht="14.4" thickBot="1" x14ac:dyDescent="0.35">
      <c r="A501" s="4" t="s">
        <v>371</v>
      </c>
      <c r="B501" s="4" t="s">
        <v>372</v>
      </c>
      <c r="C501" s="4" t="s">
        <v>371</v>
      </c>
      <c r="D501" s="4" t="s">
        <v>396</v>
      </c>
      <c r="E501" s="4" t="s">
        <v>397</v>
      </c>
      <c r="F501" s="4" t="s">
        <v>396</v>
      </c>
    </row>
    <row r="502" spans="1:6" ht="14.4" thickBot="1" x14ac:dyDescent="0.35">
      <c r="A502" s="4" t="s">
        <v>371</v>
      </c>
      <c r="B502" s="4" t="s">
        <v>372</v>
      </c>
      <c r="C502" s="4" t="s">
        <v>371</v>
      </c>
      <c r="D502" s="4" t="s">
        <v>1195</v>
      </c>
      <c r="E502" s="4" t="s">
        <v>1293</v>
      </c>
      <c r="F502" s="4" t="s">
        <v>1195</v>
      </c>
    </row>
    <row r="503" spans="1:6" ht="14.4" thickBot="1" x14ac:dyDescent="0.35">
      <c r="A503" s="4" t="s">
        <v>371</v>
      </c>
      <c r="B503" s="4" t="s">
        <v>372</v>
      </c>
      <c r="C503" s="4" t="s">
        <v>371</v>
      </c>
      <c r="D503" s="4" t="s">
        <v>1312</v>
      </c>
      <c r="E503" s="4" t="s">
        <v>1313</v>
      </c>
      <c r="F503" s="4" t="s">
        <v>1312</v>
      </c>
    </row>
    <row r="504" spans="1:6" ht="14.4" thickBot="1" x14ac:dyDescent="0.35">
      <c r="A504" s="4" t="s">
        <v>371</v>
      </c>
      <c r="B504" s="4" t="s">
        <v>372</v>
      </c>
      <c r="C504" s="4" t="s">
        <v>371</v>
      </c>
      <c r="D504" s="4" t="s">
        <v>5729</v>
      </c>
      <c r="E504" s="4" t="s">
        <v>5730</v>
      </c>
      <c r="F504" s="4" t="s">
        <v>5729</v>
      </c>
    </row>
    <row r="505" spans="1:6" ht="14.4" thickBot="1" x14ac:dyDescent="0.35">
      <c r="A505" s="4" t="s">
        <v>371</v>
      </c>
      <c r="B505" s="4" t="s">
        <v>372</v>
      </c>
      <c r="C505" s="4" t="s">
        <v>371</v>
      </c>
      <c r="D505" s="4" t="s">
        <v>5040</v>
      </c>
      <c r="E505" s="4" t="s">
        <v>5041</v>
      </c>
      <c r="F505" s="4" t="s">
        <v>5040</v>
      </c>
    </row>
    <row r="506" spans="1:6" ht="14.4" thickBot="1" x14ac:dyDescent="0.35">
      <c r="A506" s="4" t="s">
        <v>371</v>
      </c>
      <c r="B506" s="4" t="s">
        <v>372</v>
      </c>
      <c r="C506" s="4" t="s">
        <v>371</v>
      </c>
      <c r="D506" s="4" t="s">
        <v>386</v>
      </c>
      <c r="E506" s="4" t="s">
        <v>387</v>
      </c>
      <c r="F506" s="4" t="s">
        <v>386</v>
      </c>
    </row>
    <row r="507" spans="1:6" ht="14.4" thickBot="1" x14ac:dyDescent="0.35">
      <c r="A507" s="4" t="s">
        <v>371</v>
      </c>
      <c r="B507" s="4" t="s">
        <v>372</v>
      </c>
      <c r="C507" s="4" t="s">
        <v>371</v>
      </c>
      <c r="D507" s="4" t="s">
        <v>3574</v>
      </c>
      <c r="E507" s="4" t="s">
        <v>3575</v>
      </c>
      <c r="F507" s="4" t="s">
        <v>3574</v>
      </c>
    </row>
    <row r="508" spans="1:6" ht="14.4" thickBot="1" x14ac:dyDescent="0.35">
      <c r="A508" s="4" t="s">
        <v>371</v>
      </c>
      <c r="B508" s="4" t="s">
        <v>372</v>
      </c>
      <c r="C508" s="4" t="s">
        <v>371</v>
      </c>
      <c r="D508" s="4" t="s">
        <v>1040</v>
      </c>
      <c r="E508" s="4" t="s">
        <v>4374</v>
      </c>
      <c r="F508" s="4" t="s">
        <v>1040</v>
      </c>
    </row>
    <row r="509" spans="1:6" ht="14.4" thickBot="1" x14ac:dyDescent="0.35">
      <c r="A509" s="4" t="s">
        <v>371</v>
      </c>
      <c r="B509" s="4" t="s">
        <v>372</v>
      </c>
      <c r="C509" s="4" t="s">
        <v>371</v>
      </c>
      <c r="D509" s="4" t="s">
        <v>1310</v>
      </c>
      <c r="E509" s="4" t="s">
        <v>1311</v>
      </c>
      <c r="F509" s="4" t="s">
        <v>1310</v>
      </c>
    </row>
    <row r="510" spans="1:6" ht="14.4" thickBot="1" x14ac:dyDescent="0.35">
      <c r="A510" s="4" t="s">
        <v>371</v>
      </c>
      <c r="B510" s="4" t="s">
        <v>372</v>
      </c>
      <c r="C510" s="4" t="s">
        <v>371</v>
      </c>
      <c r="D510" s="4" t="s">
        <v>2099</v>
      </c>
      <c r="E510" s="4" t="s">
        <v>2100</v>
      </c>
      <c r="F510" s="4" t="s">
        <v>2099</v>
      </c>
    </row>
    <row r="511" spans="1:6" ht="14.4" thickBot="1" x14ac:dyDescent="0.35">
      <c r="A511" s="4" t="s">
        <v>371</v>
      </c>
      <c r="B511" s="4" t="s">
        <v>372</v>
      </c>
      <c r="C511" s="4" t="s">
        <v>371</v>
      </c>
      <c r="D511" s="4" t="s">
        <v>5735</v>
      </c>
      <c r="E511" s="4" t="s">
        <v>5736</v>
      </c>
      <c r="F511" s="4" t="s">
        <v>5735</v>
      </c>
    </row>
    <row r="512" spans="1:6" ht="14.4" thickBot="1" x14ac:dyDescent="0.35">
      <c r="A512" s="4" t="s">
        <v>371</v>
      </c>
      <c r="B512" s="4" t="s">
        <v>372</v>
      </c>
      <c r="C512" s="4" t="s">
        <v>371</v>
      </c>
      <c r="D512" s="4" t="s">
        <v>384</v>
      </c>
      <c r="E512" s="4" t="s">
        <v>385</v>
      </c>
      <c r="F512" s="4" t="s">
        <v>384</v>
      </c>
    </row>
    <row r="513" spans="1:6" ht="14.4" thickBot="1" x14ac:dyDescent="0.35">
      <c r="A513" s="4" t="s">
        <v>371</v>
      </c>
      <c r="B513" s="4" t="s">
        <v>372</v>
      </c>
      <c r="C513" s="4" t="s">
        <v>371</v>
      </c>
      <c r="D513" s="4" t="s">
        <v>2108</v>
      </c>
      <c r="E513" s="4" t="s">
        <v>2109</v>
      </c>
      <c r="F513" s="4" t="s">
        <v>2108</v>
      </c>
    </row>
    <row r="514" spans="1:6" ht="14.4" thickBot="1" x14ac:dyDescent="0.35">
      <c r="A514" s="4" t="s">
        <v>371</v>
      </c>
      <c r="B514" s="4" t="s">
        <v>372</v>
      </c>
      <c r="C514" s="4" t="s">
        <v>371</v>
      </c>
      <c r="D514" s="4" t="s">
        <v>2106</v>
      </c>
      <c r="E514" s="4" t="s">
        <v>2107</v>
      </c>
      <c r="F514" s="4" t="s">
        <v>2106</v>
      </c>
    </row>
    <row r="515" spans="1:6" ht="14.4" thickBot="1" x14ac:dyDescent="0.35">
      <c r="A515" s="4" t="s">
        <v>371</v>
      </c>
      <c r="B515" s="4" t="s">
        <v>372</v>
      </c>
      <c r="C515" s="4" t="s">
        <v>371</v>
      </c>
      <c r="D515" s="4" t="s">
        <v>3567</v>
      </c>
      <c r="E515" s="4" t="s">
        <v>3568</v>
      </c>
      <c r="F515" s="4" t="s">
        <v>3567</v>
      </c>
    </row>
    <row r="516" spans="1:6" ht="14.4" thickBot="1" x14ac:dyDescent="0.35">
      <c r="A516" s="4" t="s">
        <v>371</v>
      </c>
      <c r="B516" s="4" t="s">
        <v>372</v>
      </c>
      <c r="C516" s="4" t="s">
        <v>371</v>
      </c>
      <c r="D516" s="4" t="s">
        <v>1300</v>
      </c>
      <c r="E516" s="4" t="s">
        <v>1301</v>
      </c>
      <c r="F516" s="4" t="s">
        <v>1300</v>
      </c>
    </row>
    <row r="517" spans="1:6" ht="14.4" thickBot="1" x14ac:dyDescent="0.35">
      <c r="A517" s="4" t="s">
        <v>371</v>
      </c>
      <c r="B517" s="4" t="s">
        <v>372</v>
      </c>
      <c r="C517" s="4" t="s">
        <v>371</v>
      </c>
      <c r="D517" s="4" t="s">
        <v>3576</v>
      </c>
      <c r="E517" s="4" t="s">
        <v>3577</v>
      </c>
      <c r="F517" s="4" t="s">
        <v>3576</v>
      </c>
    </row>
    <row r="518" spans="1:6" ht="14.4" thickBot="1" x14ac:dyDescent="0.35">
      <c r="A518" s="4" t="s">
        <v>371</v>
      </c>
      <c r="B518" s="4" t="s">
        <v>372</v>
      </c>
      <c r="C518" s="4" t="s">
        <v>371</v>
      </c>
      <c r="D518" s="4" t="s">
        <v>3570</v>
      </c>
      <c r="E518" s="4" t="s">
        <v>3571</v>
      </c>
      <c r="F518" s="4" t="s">
        <v>3570</v>
      </c>
    </row>
    <row r="519" spans="1:6" ht="14.4" thickBot="1" x14ac:dyDescent="0.35">
      <c r="A519" s="4" t="s">
        <v>371</v>
      </c>
      <c r="B519" s="4" t="s">
        <v>372</v>
      </c>
      <c r="C519" s="4" t="s">
        <v>371</v>
      </c>
      <c r="D519" s="4" t="s">
        <v>5038</v>
      </c>
      <c r="E519" s="4" t="s">
        <v>5039</v>
      </c>
      <c r="F519" s="4" t="s">
        <v>5038</v>
      </c>
    </row>
    <row r="520" spans="1:6" ht="14.4" thickBot="1" x14ac:dyDescent="0.35">
      <c r="A520" s="4" t="s">
        <v>371</v>
      </c>
      <c r="B520" s="4" t="s">
        <v>372</v>
      </c>
      <c r="C520" s="4" t="s">
        <v>371</v>
      </c>
      <c r="D520" s="4" t="s">
        <v>2805</v>
      </c>
      <c r="E520" s="4" t="s">
        <v>2806</v>
      </c>
      <c r="F520" s="4" t="s">
        <v>2805</v>
      </c>
    </row>
    <row r="521" spans="1:6" ht="14.4" thickBot="1" x14ac:dyDescent="0.35">
      <c r="A521" s="4" t="s">
        <v>371</v>
      </c>
      <c r="B521" s="4" t="s">
        <v>372</v>
      </c>
      <c r="C521" s="4" t="s">
        <v>371</v>
      </c>
      <c r="D521" s="4" t="s">
        <v>5725</v>
      </c>
      <c r="E521" s="4" t="s">
        <v>5726</v>
      </c>
      <c r="F521" s="4" t="s">
        <v>5725</v>
      </c>
    </row>
    <row r="522" spans="1:6" ht="14.4" thickBot="1" x14ac:dyDescent="0.35">
      <c r="A522" s="4" t="s">
        <v>371</v>
      </c>
      <c r="B522" s="4" t="s">
        <v>372</v>
      </c>
      <c r="C522" s="4" t="s">
        <v>371</v>
      </c>
      <c r="D522" s="4" t="s">
        <v>1291</v>
      </c>
      <c r="E522" s="4" t="s">
        <v>1292</v>
      </c>
      <c r="F522" s="4" t="s">
        <v>1291</v>
      </c>
    </row>
    <row r="523" spans="1:6" ht="14.4" thickBot="1" x14ac:dyDescent="0.35">
      <c r="A523" s="4" t="s">
        <v>371</v>
      </c>
      <c r="B523" s="4" t="s">
        <v>372</v>
      </c>
      <c r="C523" s="4" t="s">
        <v>371</v>
      </c>
      <c r="D523" s="4" t="s">
        <v>2110</v>
      </c>
      <c r="E523" s="4" t="s">
        <v>2111</v>
      </c>
      <c r="F523" s="4" t="s">
        <v>2110</v>
      </c>
    </row>
    <row r="524" spans="1:6" ht="14.4" thickBot="1" x14ac:dyDescent="0.35">
      <c r="A524" s="4" t="s">
        <v>371</v>
      </c>
      <c r="B524" s="4" t="s">
        <v>372</v>
      </c>
      <c r="C524" s="4" t="s">
        <v>371</v>
      </c>
      <c r="D524" s="4" t="s">
        <v>2803</v>
      </c>
      <c r="E524" s="4" t="s">
        <v>2804</v>
      </c>
      <c r="F524" s="4" t="s">
        <v>2803</v>
      </c>
    </row>
    <row r="525" spans="1:6" ht="14.4" thickBot="1" x14ac:dyDescent="0.35">
      <c r="A525" s="4" t="s">
        <v>371</v>
      </c>
      <c r="B525" s="4" t="s">
        <v>372</v>
      </c>
      <c r="C525" s="4" t="s">
        <v>371</v>
      </c>
      <c r="D525" s="4" t="s">
        <v>5741</v>
      </c>
      <c r="E525" s="4" t="s">
        <v>5742</v>
      </c>
      <c r="F525" s="4" t="s">
        <v>5741</v>
      </c>
    </row>
    <row r="526" spans="1:6" ht="14.4" thickBot="1" x14ac:dyDescent="0.35">
      <c r="A526" s="4" t="s">
        <v>371</v>
      </c>
      <c r="B526" s="4" t="s">
        <v>372</v>
      </c>
      <c r="C526" s="4" t="s">
        <v>371</v>
      </c>
      <c r="D526" s="4" t="s">
        <v>2811</v>
      </c>
      <c r="E526" s="4" t="s">
        <v>2812</v>
      </c>
      <c r="F526" s="4" t="s">
        <v>2811</v>
      </c>
    </row>
    <row r="527" spans="1:6" ht="14.4" thickBot="1" x14ac:dyDescent="0.35">
      <c r="A527" s="4" t="s">
        <v>371</v>
      </c>
      <c r="B527" s="4" t="s">
        <v>372</v>
      </c>
      <c r="C527" s="4" t="s">
        <v>371</v>
      </c>
      <c r="D527" s="4" t="s">
        <v>1304</v>
      </c>
      <c r="E527" s="4" t="s">
        <v>1305</v>
      </c>
      <c r="F527" s="4" t="s">
        <v>1304</v>
      </c>
    </row>
    <row r="528" spans="1:6" ht="14.4" thickBot="1" x14ac:dyDescent="0.35">
      <c r="A528" s="4" t="s">
        <v>371</v>
      </c>
      <c r="B528" s="4" t="s">
        <v>372</v>
      </c>
      <c r="C528" s="4" t="s">
        <v>371</v>
      </c>
      <c r="D528" s="4" t="s">
        <v>4372</v>
      </c>
      <c r="E528" s="4" t="s">
        <v>4373</v>
      </c>
      <c r="F528" s="4" t="s">
        <v>4372</v>
      </c>
    </row>
    <row r="529" spans="1:6" ht="14.4" thickBot="1" x14ac:dyDescent="0.35">
      <c r="A529" s="4" t="s">
        <v>371</v>
      </c>
      <c r="B529" s="4" t="s">
        <v>372</v>
      </c>
      <c r="C529" s="4" t="s">
        <v>371</v>
      </c>
      <c r="D529" s="4" t="s">
        <v>2807</v>
      </c>
      <c r="E529" s="4" t="s">
        <v>2808</v>
      </c>
      <c r="F529" s="4" t="s">
        <v>2807</v>
      </c>
    </row>
    <row r="530" spans="1:6" ht="14.4" thickBot="1" x14ac:dyDescent="0.35">
      <c r="A530" s="4" t="s">
        <v>371</v>
      </c>
      <c r="B530" s="4" t="s">
        <v>372</v>
      </c>
      <c r="C530" s="4" t="s">
        <v>371</v>
      </c>
      <c r="D530" s="4" t="s">
        <v>4368</v>
      </c>
      <c r="E530" s="4" t="s">
        <v>4369</v>
      </c>
      <c r="F530" s="4" t="s">
        <v>4368</v>
      </c>
    </row>
    <row r="531" spans="1:6" ht="14.4" thickBot="1" x14ac:dyDescent="0.35">
      <c r="A531" s="4" t="s">
        <v>371</v>
      </c>
      <c r="B531" s="4" t="s">
        <v>372</v>
      </c>
      <c r="C531" s="4" t="s">
        <v>371</v>
      </c>
      <c r="D531" s="4" t="s">
        <v>5739</v>
      </c>
      <c r="E531" s="4" t="s">
        <v>5740</v>
      </c>
      <c r="F531" s="4" t="s">
        <v>5739</v>
      </c>
    </row>
    <row r="532" spans="1:6" ht="14.4" thickBot="1" x14ac:dyDescent="0.35">
      <c r="A532" s="4" t="s">
        <v>371</v>
      </c>
      <c r="B532" s="4" t="s">
        <v>372</v>
      </c>
      <c r="C532" s="4" t="s">
        <v>371</v>
      </c>
      <c r="D532" s="4" t="s">
        <v>2102</v>
      </c>
      <c r="E532" s="4" t="s">
        <v>2103</v>
      </c>
      <c r="F532" s="4" t="s">
        <v>2102</v>
      </c>
    </row>
    <row r="533" spans="1:6" ht="14.4" thickBot="1" x14ac:dyDescent="0.35">
      <c r="A533" s="4" t="s">
        <v>371</v>
      </c>
      <c r="B533" s="4" t="s">
        <v>372</v>
      </c>
      <c r="C533" s="4" t="s">
        <v>371</v>
      </c>
      <c r="D533" s="4" t="s">
        <v>378</v>
      </c>
      <c r="E533" s="4" t="s">
        <v>379</v>
      </c>
      <c r="F533" s="4" t="s">
        <v>378</v>
      </c>
    </row>
    <row r="534" spans="1:6" ht="14.4" thickBot="1" x14ac:dyDescent="0.35">
      <c r="A534" s="4" t="s">
        <v>371</v>
      </c>
      <c r="B534" s="4" t="s">
        <v>372</v>
      </c>
      <c r="C534" s="4" t="s">
        <v>371</v>
      </c>
      <c r="D534" s="4" t="s">
        <v>382</v>
      </c>
      <c r="E534" s="4" t="s">
        <v>383</v>
      </c>
      <c r="F534" s="4" t="s">
        <v>382</v>
      </c>
    </row>
    <row r="535" spans="1:6" ht="14.4" thickBot="1" x14ac:dyDescent="0.35">
      <c r="A535" s="4" t="s">
        <v>371</v>
      </c>
      <c r="B535" s="4" t="s">
        <v>372</v>
      </c>
      <c r="C535" s="4" t="s">
        <v>371</v>
      </c>
      <c r="D535" s="4" t="s">
        <v>394</v>
      </c>
      <c r="E535" s="4" t="s">
        <v>395</v>
      </c>
      <c r="F535" s="4" t="s">
        <v>394</v>
      </c>
    </row>
    <row r="536" spans="1:6" ht="14.4" thickBot="1" x14ac:dyDescent="0.35">
      <c r="A536" s="4" t="s">
        <v>371</v>
      </c>
      <c r="B536" s="4" t="s">
        <v>372</v>
      </c>
      <c r="C536" s="4" t="s">
        <v>371</v>
      </c>
      <c r="D536" s="4" t="s">
        <v>2828</v>
      </c>
      <c r="E536" s="4" t="s">
        <v>2829</v>
      </c>
      <c r="F536" s="4" t="s">
        <v>2828</v>
      </c>
    </row>
    <row r="537" spans="1:6" ht="14.4" thickBot="1" x14ac:dyDescent="0.35">
      <c r="A537" s="4" t="s">
        <v>371</v>
      </c>
      <c r="B537" s="4" t="s">
        <v>372</v>
      </c>
      <c r="C537" s="4" t="s">
        <v>371</v>
      </c>
      <c r="D537" s="4" t="s">
        <v>2815</v>
      </c>
      <c r="E537" s="4" t="s">
        <v>2816</v>
      </c>
      <c r="F537" s="4" t="s">
        <v>2815</v>
      </c>
    </row>
    <row r="538" spans="1:6" ht="14.4" thickBot="1" x14ac:dyDescent="0.35">
      <c r="A538" s="4" t="s">
        <v>371</v>
      </c>
      <c r="B538" s="4" t="s">
        <v>372</v>
      </c>
      <c r="C538" s="4" t="s">
        <v>371</v>
      </c>
      <c r="D538" s="4" t="s">
        <v>2826</v>
      </c>
      <c r="E538" s="4" t="s">
        <v>2827</v>
      </c>
      <c r="F538" s="4" t="s">
        <v>2826</v>
      </c>
    </row>
    <row r="539" spans="1:6" ht="14.4" thickBot="1" x14ac:dyDescent="0.35">
      <c r="A539" s="4" t="s">
        <v>371</v>
      </c>
      <c r="B539" s="4" t="s">
        <v>372</v>
      </c>
      <c r="C539" s="4" t="s">
        <v>371</v>
      </c>
      <c r="D539" s="4" t="s">
        <v>5727</v>
      </c>
      <c r="E539" s="4" t="s">
        <v>5728</v>
      </c>
      <c r="F539" s="4" t="s">
        <v>5727</v>
      </c>
    </row>
    <row r="540" spans="1:6" ht="14.4" thickBot="1" x14ac:dyDescent="0.35">
      <c r="A540" s="4" t="s">
        <v>371</v>
      </c>
      <c r="B540" s="4" t="s">
        <v>372</v>
      </c>
      <c r="C540" s="4" t="s">
        <v>371</v>
      </c>
      <c r="D540" s="4" t="s">
        <v>2809</v>
      </c>
      <c r="E540" s="4" t="s">
        <v>2810</v>
      </c>
      <c r="F540" s="4" t="s">
        <v>2809</v>
      </c>
    </row>
    <row r="541" spans="1:6" ht="14.4" thickBot="1" x14ac:dyDescent="0.35">
      <c r="A541" s="4" t="s">
        <v>371</v>
      </c>
      <c r="B541" s="4" t="s">
        <v>372</v>
      </c>
      <c r="C541" s="4" t="s">
        <v>371</v>
      </c>
      <c r="D541" s="4" t="s">
        <v>392</v>
      </c>
      <c r="E541" s="4" t="s">
        <v>393</v>
      </c>
      <c r="F541" s="4" t="s">
        <v>392</v>
      </c>
    </row>
    <row r="542" spans="1:6" ht="14.4" thickBot="1" x14ac:dyDescent="0.35">
      <c r="A542" s="4" t="s">
        <v>371</v>
      </c>
      <c r="B542" s="4" t="s">
        <v>372</v>
      </c>
      <c r="C542" s="4" t="s">
        <v>371</v>
      </c>
      <c r="D542" s="4" t="s">
        <v>2104</v>
      </c>
      <c r="E542" s="4" t="s">
        <v>2105</v>
      </c>
      <c r="F542" s="4" t="s">
        <v>2104</v>
      </c>
    </row>
    <row r="543" spans="1:6" ht="14.4" thickBot="1" x14ac:dyDescent="0.35">
      <c r="A543" s="4" t="s">
        <v>371</v>
      </c>
      <c r="B543" s="4" t="s">
        <v>372</v>
      </c>
      <c r="C543" s="4" t="s">
        <v>371</v>
      </c>
      <c r="D543" s="4" t="s">
        <v>4370</v>
      </c>
      <c r="E543" s="4" t="s">
        <v>4371</v>
      </c>
      <c r="F543" s="4" t="s">
        <v>4370</v>
      </c>
    </row>
    <row r="544" spans="1:6" ht="14.4" thickBot="1" x14ac:dyDescent="0.35">
      <c r="A544" s="4" t="s">
        <v>371</v>
      </c>
      <c r="B544" s="4" t="s">
        <v>372</v>
      </c>
      <c r="C544" s="4" t="s">
        <v>371</v>
      </c>
      <c r="D544" s="4" t="s">
        <v>2824</v>
      </c>
      <c r="E544" s="4" t="s">
        <v>2825</v>
      </c>
      <c r="F544" s="4" t="s">
        <v>2824</v>
      </c>
    </row>
    <row r="545" spans="1:6" ht="14.4" thickBot="1" x14ac:dyDescent="0.35">
      <c r="A545" s="4" t="s">
        <v>371</v>
      </c>
      <c r="B545" s="4" t="s">
        <v>372</v>
      </c>
      <c r="C545" s="4" t="s">
        <v>371</v>
      </c>
      <c r="D545" s="4" t="s">
        <v>373</v>
      </c>
      <c r="E545" s="4" t="s">
        <v>374</v>
      </c>
      <c r="F545" s="4" t="s">
        <v>373</v>
      </c>
    </row>
    <row r="546" spans="1:6" ht="14.4" thickBot="1" x14ac:dyDescent="0.35">
      <c r="A546" s="4" t="s">
        <v>371</v>
      </c>
      <c r="B546" s="4" t="s">
        <v>372</v>
      </c>
      <c r="C546" s="4" t="s">
        <v>371</v>
      </c>
      <c r="D546" s="4" t="s">
        <v>5731</v>
      </c>
      <c r="E546" s="4" t="s">
        <v>5732</v>
      </c>
      <c r="F546" s="4" t="s">
        <v>5731</v>
      </c>
    </row>
    <row r="547" spans="1:6" ht="14.4" thickBot="1" x14ac:dyDescent="0.35">
      <c r="A547" s="4" t="s">
        <v>371</v>
      </c>
      <c r="B547" s="4" t="s">
        <v>372</v>
      </c>
      <c r="C547" s="4" t="s">
        <v>371</v>
      </c>
      <c r="D547" s="4" t="s">
        <v>1308</v>
      </c>
      <c r="E547" s="4" t="s">
        <v>1309</v>
      </c>
      <c r="F547" s="4" t="s">
        <v>1308</v>
      </c>
    </row>
    <row r="548" spans="1:6" ht="14.4" thickBot="1" x14ac:dyDescent="0.35">
      <c r="A548" s="4" t="s">
        <v>371</v>
      </c>
      <c r="B548" s="4" t="s">
        <v>372</v>
      </c>
      <c r="C548" s="4" t="s">
        <v>371</v>
      </c>
      <c r="D548" s="4" t="s">
        <v>5743</v>
      </c>
      <c r="E548" s="4" t="s">
        <v>5744</v>
      </c>
      <c r="F548" s="4" t="s">
        <v>5743</v>
      </c>
    </row>
    <row r="549" spans="1:6" ht="14.4" thickBot="1" x14ac:dyDescent="0.35">
      <c r="A549" s="4" t="s">
        <v>371</v>
      </c>
      <c r="B549" s="4" t="s">
        <v>372</v>
      </c>
      <c r="C549" s="4" t="s">
        <v>371</v>
      </c>
      <c r="D549" s="4" t="s">
        <v>1306</v>
      </c>
      <c r="E549" s="4" t="s">
        <v>1307</v>
      </c>
      <c r="F549" s="4" t="s">
        <v>1306</v>
      </c>
    </row>
    <row r="550" spans="1:6" ht="14.4" thickBot="1" x14ac:dyDescent="0.35">
      <c r="A550" s="4" t="s">
        <v>371</v>
      </c>
      <c r="B550" s="4" t="s">
        <v>372</v>
      </c>
      <c r="C550" s="4" t="s">
        <v>371</v>
      </c>
      <c r="D550" s="4" t="s">
        <v>5033</v>
      </c>
      <c r="E550" s="4" t="s">
        <v>5034</v>
      </c>
      <c r="F550" s="4" t="s">
        <v>5033</v>
      </c>
    </row>
    <row r="551" spans="1:6" ht="14.4" thickBot="1" x14ac:dyDescent="0.35">
      <c r="A551" s="4" t="s">
        <v>371</v>
      </c>
      <c r="B551" s="4" t="s">
        <v>372</v>
      </c>
      <c r="C551" s="4" t="s">
        <v>371</v>
      </c>
      <c r="D551" s="4" t="s">
        <v>390</v>
      </c>
      <c r="E551" s="4" t="s">
        <v>391</v>
      </c>
      <c r="F551" s="4" t="s">
        <v>390</v>
      </c>
    </row>
    <row r="552" spans="1:6" ht="14.4" thickBot="1" x14ac:dyDescent="0.35">
      <c r="A552" s="4" t="s">
        <v>371</v>
      </c>
      <c r="B552" s="4" t="s">
        <v>372</v>
      </c>
      <c r="C552" s="4" t="s">
        <v>371</v>
      </c>
      <c r="D552" s="4" t="s">
        <v>376</v>
      </c>
      <c r="E552" s="4" t="s">
        <v>377</v>
      </c>
      <c r="F552" s="4" t="s">
        <v>376</v>
      </c>
    </row>
    <row r="553" spans="1:6" ht="14.4" thickBot="1" x14ac:dyDescent="0.35">
      <c r="A553" s="4" t="s">
        <v>371</v>
      </c>
      <c r="B553" s="4" t="s">
        <v>372</v>
      </c>
      <c r="C553" s="4" t="s">
        <v>371</v>
      </c>
      <c r="D553" s="4" t="s">
        <v>2112</v>
      </c>
      <c r="E553" s="4" t="s">
        <v>2113</v>
      </c>
      <c r="F553" s="4" t="s">
        <v>2112</v>
      </c>
    </row>
    <row r="554" spans="1:6" ht="14.4" thickBot="1" x14ac:dyDescent="0.35">
      <c r="A554" s="4" t="s">
        <v>371</v>
      </c>
      <c r="B554" s="4" t="s">
        <v>372</v>
      </c>
      <c r="C554" s="4" t="s">
        <v>371</v>
      </c>
      <c r="D554" s="4" t="s">
        <v>5723</v>
      </c>
      <c r="E554" s="4" t="s">
        <v>5724</v>
      </c>
      <c r="F554" s="4" t="s">
        <v>5723</v>
      </c>
    </row>
    <row r="555" spans="1:6" ht="14.4" thickBot="1" x14ac:dyDescent="0.35">
      <c r="A555" s="4" t="s">
        <v>371</v>
      </c>
      <c r="B555" s="4" t="s">
        <v>372</v>
      </c>
      <c r="C555" s="4" t="s">
        <v>371</v>
      </c>
      <c r="D555" s="4" t="s">
        <v>3569</v>
      </c>
      <c r="E555" s="4" t="s">
        <v>2905</v>
      </c>
      <c r="F555" s="4" t="s">
        <v>3569</v>
      </c>
    </row>
    <row r="556" spans="1:6" ht="14.4" thickBot="1" x14ac:dyDescent="0.35">
      <c r="A556" s="4" t="s">
        <v>371</v>
      </c>
      <c r="B556" s="4" t="s">
        <v>372</v>
      </c>
      <c r="C556" s="4" t="s">
        <v>371</v>
      </c>
      <c r="D556" s="4" t="s">
        <v>380</v>
      </c>
      <c r="E556" s="4" t="s">
        <v>381</v>
      </c>
      <c r="F556" s="4" t="s">
        <v>380</v>
      </c>
    </row>
    <row r="557" spans="1:6" ht="14.4" thickBot="1" x14ac:dyDescent="0.35">
      <c r="A557" s="4" t="s">
        <v>371</v>
      </c>
      <c r="B557" s="4" t="s">
        <v>372</v>
      </c>
      <c r="C557" s="4" t="s">
        <v>371</v>
      </c>
      <c r="D557" s="4" t="s">
        <v>3565</v>
      </c>
      <c r="E557" s="4" t="s">
        <v>3566</v>
      </c>
      <c r="F557" s="4" t="s">
        <v>3565</v>
      </c>
    </row>
    <row r="558" spans="1:6" ht="14.4" thickBot="1" x14ac:dyDescent="0.35">
      <c r="A558" s="4" t="s">
        <v>371</v>
      </c>
      <c r="B558" s="4" t="s">
        <v>372</v>
      </c>
      <c r="C558" s="4" t="s">
        <v>371</v>
      </c>
      <c r="D558" s="4" t="s">
        <v>5031</v>
      </c>
      <c r="E558" s="4" t="s">
        <v>5032</v>
      </c>
      <c r="F558" s="4" t="s">
        <v>5031</v>
      </c>
    </row>
    <row r="559" spans="1:6" ht="14.4" thickBot="1" x14ac:dyDescent="0.35">
      <c r="A559" s="4" t="s">
        <v>371</v>
      </c>
      <c r="B559" s="4" t="s">
        <v>372</v>
      </c>
      <c r="C559" s="4" t="s">
        <v>371</v>
      </c>
      <c r="D559" s="4" t="s">
        <v>2813</v>
      </c>
      <c r="E559" s="4" t="s">
        <v>2814</v>
      </c>
      <c r="F559" s="4" t="s">
        <v>2813</v>
      </c>
    </row>
    <row r="560" spans="1:6" ht="14.4" thickBot="1" x14ac:dyDescent="0.35">
      <c r="A560" s="4" t="s">
        <v>371</v>
      </c>
      <c r="B560" s="4" t="s">
        <v>372</v>
      </c>
      <c r="C560" s="4" t="s">
        <v>371</v>
      </c>
      <c r="D560" s="4" t="s">
        <v>3563</v>
      </c>
      <c r="E560" s="4" t="s">
        <v>3564</v>
      </c>
      <c r="F560" s="4" t="s">
        <v>3563</v>
      </c>
    </row>
    <row r="561" spans="1:6" ht="14.4" thickBot="1" x14ac:dyDescent="0.35">
      <c r="A561" s="4" t="s">
        <v>371</v>
      </c>
      <c r="B561" s="4" t="s">
        <v>372</v>
      </c>
      <c r="C561" s="4" t="s">
        <v>371</v>
      </c>
      <c r="D561" s="4" t="s">
        <v>2822</v>
      </c>
      <c r="E561" s="4" t="s">
        <v>2823</v>
      </c>
      <c r="F561" s="4" t="s">
        <v>2822</v>
      </c>
    </row>
    <row r="562" spans="1:6" ht="14.4" thickBot="1" x14ac:dyDescent="0.35">
      <c r="A562" s="4" t="s">
        <v>371</v>
      </c>
      <c r="B562" s="4" t="s">
        <v>372</v>
      </c>
      <c r="C562" s="4" t="s">
        <v>371</v>
      </c>
      <c r="D562" s="4" t="s">
        <v>1294</v>
      </c>
      <c r="E562" s="4" t="s">
        <v>1295</v>
      </c>
      <c r="F562" s="4" t="s">
        <v>1294</v>
      </c>
    </row>
    <row r="563" spans="1:6" ht="14.4" thickBot="1" x14ac:dyDescent="0.35">
      <c r="A563" s="4" t="s">
        <v>371</v>
      </c>
      <c r="B563" s="4" t="s">
        <v>372</v>
      </c>
      <c r="C563" s="4" t="s">
        <v>371</v>
      </c>
      <c r="D563" s="4" t="s">
        <v>2799</v>
      </c>
      <c r="E563" s="4" t="s">
        <v>2800</v>
      </c>
      <c r="F563" s="4" t="s">
        <v>2799</v>
      </c>
    </row>
    <row r="564" spans="1:6" ht="14.4" thickBot="1" x14ac:dyDescent="0.35">
      <c r="A564" s="4" t="s">
        <v>371</v>
      </c>
      <c r="B564" s="4" t="s">
        <v>372</v>
      </c>
      <c r="C564" s="4" t="s">
        <v>371</v>
      </c>
      <c r="D564" s="4" t="s">
        <v>3561</v>
      </c>
      <c r="E564" s="4" t="s">
        <v>3562</v>
      </c>
      <c r="F564" s="4" t="s">
        <v>3561</v>
      </c>
    </row>
    <row r="565" spans="1:6" ht="14.4" thickBot="1" x14ac:dyDescent="0.35">
      <c r="A565" s="4" t="s">
        <v>371</v>
      </c>
      <c r="B565" s="4" t="s">
        <v>372</v>
      </c>
      <c r="C565" s="4" t="s">
        <v>371</v>
      </c>
      <c r="D565" s="4" t="s">
        <v>5023</v>
      </c>
      <c r="E565" s="4" t="s">
        <v>5024</v>
      </c>
      <c r="F565" s="4" t="s">
        <v>5023</v>
      </c>
    </row>
    <row r="566" spans="1:6" ht="14.4" thickBot="1" x14ac:dyDescent="0.35">
      <c r="A566" s="4" t="s">
        <v>371</v>
      </c>
      <c r="B566" s="4" t="s">
        <v>372</v>
      </c>
      <c r="C566" s="4" t="s">
        <v>371</v>
      </c>
      <c r="D566" s="4" t="s">
        <v>5737</v>
      </c>
      <c r="E566" s="4" t="s">
        <v>5738</v>
      </c>
      <c r="F566" s="4" t="s">
        <v>5737</v>
      </c>
    </row>
    <row r="567" spans="1:6" ht="14.4" thickBot="1" x14ac:dyDescent="0.35">
      <c r="A567" s="4" t="s">
        <v>371</v>
      </c>
      <c r="B567" s="4" t="s">
        <v>372</v>
      </c>
      <c r="C567" s="4" t="s">
        <v>371</v>
      </c>
      <c r="D567" s="4" t="s">
        <v>4366</v>
      </c>
      <c r="E567" s="4" t="s">
        <v>4367</v>
      </c>
      <c r="F567" s="4" t="s">
        <v>4366</v>
      </c>
    </row>
    <row r="568" spans="1:6" ht="14.4" thickBot="1" x14ac:dyDescent="0.35">
      <c r="A568" s="4" t="s">
        <v>371</v>
      </c>
      <c r="B568" s="4" t="s">
        <v>372</v>
      </c>
      <c r="C568" s="4" t="s">
        <v>371</v>
      </c>
      <c r="D568" s="4" t="s">
        <v>5029</v>
      </c>
      <c r="E568" s="4" t="s">
        <v>5030</v>
      </c>
      <c r="F568" s="4" t="s">
        <v>5029</v>
      </c>
    </row>
    <row r="569" spans="1:6" ht="14.4" thickBot="1" x14ac:dyDescent="0.35">
      <c r="A569" s="4" t="s">
        <v>371</v>
      </c>
      <c r="B569" s="4" t="s">
        <v>372</v>
      </c>
      <c r="C569" s="4" t="s">
        <v>371</v>
      </c>
      <c r="D569" s="4" t="s">
        <v>388</v>
      </c>
      <c r="E569" s="4" t="s">
        <v>389</v>
      </c>
      <c r="F569" s="4" t="s">
        <v>388</v>
      </c>
    </row>
    <row r="570" spans="1:6" ht="14.4" thickBot="1" x14ac:dyDescent="0.35">
      <c r="A570" s="4" t="s">
        <v>371</v>
      </c>
      <c r="B570" s="4" t="s">
        <v>372</v>
      </c>
      <c r="C570" s="4" t="s">
        <v>371</v>
      </c>
      <c r="D570" s="4" t="s">
        <v>1302</v>
      </c>
      <c r="E570" s="4" t="s">
        <v>1303</v>
      </c>
      <c r="F570" s="4" t="s">
        <v>1302</v>
      </c>
    </row>
    <row r="571" spans="1:6" ht="14.4" thickBot="1" x14ac:dyDescent="0.35">
      <c r="A571" s="4" t="s">
        <v>371</v>
      </c>
      <c r="B571" s="4" t="s">
        <v>372</v>
      </c>
      <c r="C571" s="4" t="s">
        <v>371</v>
      </c>
      <c r="D571" s="4" t="s">
        <v>4358</v>
      </c>
      <c r="E571" s="4" t="s">
        <v>4359</v>
      </c>
      <c r="F571" s="4" t="s">
        <v>4358</v>
      </c>
    </row>
    <row r="572" spans="1:6" ht="14.4" thickBot="1" x14ac:dyDescent="0.35">
      <c r="A572" s="4" t="s">
        <v>371</v>
      </c>
      <c r="B572" s="4" t="s">
        <v>372</v>
      </c>
      <c r="C572" s="4" t="s">
        <v>371</v>
      </c>
      <c r="D572" s="4" t="s">
        <v>5035</v>
      </c>
      <c r="E572" s="4" t="s">
        <v>3720</v>
      </c>
      <c r="F572" s="4" t="s">
        <v>5035</v>
      </c>
    </row>
    <row r="573" spans="1:6" ht="14.4" thickBot="1" x14ac:dyDescent="0.35">
      <c r="A573" s="4" t="s">
        <v>371</v>
      </c>
      <c r="B573" s="4" t="s">
        <v>372</v>
      </c>
      <c r="C573" s="4" t="s">
        <v>371</v>
      </c>
      <c r="D573" s="4" t="s">
        <v>2819</v>
      </c>
      <c r="E573" s="4" t="s">
        <v>2820</v>
      </c>
      <c r="F573" s="4" t="s">
        <v>2819</v>
      </c>
    </row>
    <row r="574" spans="1:6" ht="14.4" thickBot="1" x14ac:dyDescent="0.35">
      <c r="A574" s="4" t="s">
        <v>371</v>
      </c>
      <c r="B574" s="4" t="s">
        <v>372</v>
      </c>
      <c r="C574" s="4" t="s">
        <v>371</v>
      </c>
      <c r="D574" s="4" t="s">
        <v>5036</v>
      </c>
      <c r="E574" s="4" t="s">
        <v>5037</v>
      </c>
      <c r="F574" s="4" t="s">
        <v>5036</v>
      </c>
    </row>
    <row r="575" spans="1:6" ht="14.4" thickBot="1" x14ac:dyDescent="0.35">
      <c r="A575" s="4" t="s">
        <v>371</v>
      </c>
      <c r="B575" s="4" t="s">
        <v>372</v>
      </c>
      <c r="C575" s="4" t="s">
        <v>371</v>
      </c>
      <c r="D575" s="4" t="s">
        <v>3572</v>
      </c>
      <c r="E575" s="4" t="s">
        <v>3573</v>
      </c>
      <c r="F575" s="4" t="s">
        <v>3572</v>
      </c>
    </row>
    <row r="576" spans="1:6" ht="14.4" thickBot="1" x14ac:dyDescent="0.35">
      <c r="A576" s="4" t="s">
        <v>749</v>
      </c>
      <c r="B576" s="4" t="s">
        <v>750</v>
      </c>
      <c r="C576" s="4" t="s">
        <v>749</v>
      </c>
      <c r="D576" s="4" t="s">
        <v>2346</v>
      </c>
      <c r="E576" s="4" t="s">
        <v>2347</v>
      </c>
      <c r="F576" s="4" t="s">
        <v>2346</v>
      </c>
    </row>
    <row r="577" spans="1:6" ht="14.4" thickBot="1" x14ac:dyDescent="0.35">
      <c r="A577" s="4" t="s">
        <v>749</v>
      </c>
      <c r="B577" s="4" t="s">
        <v>750</v>
      </c>
      <c r="C577" s="4" t="s">
        <v>749</v>
      </c>
      <c r="D577" s="4" t="s">
        <v>4632</v>
      </c>
      <c r="E577" s="4" t="s">
        <v>4633</v>
      </c>
      <c r="F577" s="4" t="s">
        <v>4632</v>
      </c>
    </row>
    <row r="578" spans="1:6" ht="14.4" thickBot="1" x14ac:dyDescent="0.35">
      <c r="A578" s="4" t="s">
        <v>749</v>
      </c>
      <c r="B578" s="4" t="s">
        <v>750</v>
      </c>
      <c r="C578" s="4" t="s">
        <v>749</v>
      </c>
      <c r="D578" s="4" t="s">
        <v>3113</v>
      </c>
      <c r="E578" s="4" t="s">
        <v>3114</v>
      </c>
      <c r="F578" s="4" t="s">
        <v>3113</v>
      </c>
    </row>
    <row r="579" spans="1:6" ht="14.4" thickBot="1" x14ac:dyDescent="0.35">
      <c r="A579" s="4" t="s">
        <v>749</v>
      </c>
      <c r="B579" s="4" t="s">
        <v>750</v>
      </c>
      <c r="C579" s="4" t="s">
        <v>749</v>
      </c>
      <c r="D579" s="4" t="s">
        <v>3915</v>
      </c>
      <c r="E579" s="4" t="s">
        <v>3916</v>
      </c>
      <c r="F579" s="4" t="s">
        <v>3915</v>
      </c>
    </row>
    <row r="580" spans="1:6" ht="14.4" thickBot="1" x14ac:dyDescent="0.35">
      <c r="A580" s="4" t="s">
        <v>749</v>
      </c>
      <c r="B580" s="4" t="s">
        <v>750</v>
      </c>
      <c r="C580" s="4" t="s">
        <v>749</v>
      </c>
      <c r="D580" s="4" t="s">
        <v>763</v>
      </c>
      <c r="E580" s="4" t="s">
        <v>764</v>
      </c>
      <c r="F580" s="4" t="s">
        <v>763</v>
      </c>
    </row>
    <row r="581" spans="1:6" ht="14.4" thickBot="1" x14ac:dyDescent="0.35">
      <c r="A581" s="4" t="s">
        <v>749</v>
      </c>
      <c r="B581" s="4" t="s">
        <v>750</v>
      </c>
      <c r="C581" s="4" t="s">
        <v>749</v>
      </c>
      <c r="D581" s="4" t="s">
        <v>6034</v>
      </c>
      <c r="E581" s="4" t="s">
        <v>6035</v>
      </c>
      <c r="F581" s="4" t="s">
        <v>6034</v>
      </c>
    </row>
    <row r="582" spans="1:6" ht="14.4" thickBot="1" x14ac:dyDescent="0.35">
      <c r="A582" s="4" t="s">
        <v>749</v>
      </c>
      <c r="B582" s="4" t="s">
        <v>750</v>
      </c>
      <c r="C582" s="4" t="s">
        <v>749</v>
      </c>
      <c r="D582" s="4" t="s">
        <v>546</v>
      </c>
      <c r="E582" s="4" t="s">
        <v>5308</v>
      </c>
      <c r="F582" s="4" t="s">
        <v>546</v>
      </c>
    </row>
    <row r="583" spans="1:6" ht="14.4" thickBot="1" x14ac:dyDescent="0.35">
      <c r="A583" s="4" t="s">
        <v>749</v>
      </c>
      <c r="B583" s="4" t="s">
        <v>750</v>
      </c>
      <c r="C583" s="4" t="s">
        <v>749</v>
      </c>
      <c r="D583" s="4" t="s">
        <v>3917</v>
      </c>
      <c r="E583" s="4" t="s">
        <v>3918</v>
      </c>
      <c r="F583" s="4" t="s">
        <v>3917</v>
      </c>
    </row>
    <row r="584" spans="1:6" ht="14.4" thickBot="1" x14ac:dyDescent="0.35">
      <c r="A584" s="4" t="s">
        <v>749</v>
      </c>
      <c r="B584" s="4" t="s">
        <v>750</v>
      </c>
      <c r="C584" s="4" t="s">
        <v>749</v>
      </c>
      <c r="D584" s="4" t="s">
        <v>5321</v>
      </c>
      <c r="E584" s="4" t="s">
        <v>5322</v>
      </c>
      <c r="F584" s="4" t="s">
        <v>5321</v>
      </c>
    </row>
    <row r="585" spans="1:6" ht="14.4" thickBot="1" x14ac:dyDescent="0.35">
      <c r="A585" s="4" t="s">
        <v>749</v>
      </c>
      <c r="B585" s="4" t="s">
        <v>750</v>
      </c>
      <c r="C585" s="4" t="s">
        <v>749</v>
      </c>
      <c r="D585" s="4" t="s">
        <v>1668</v>
      </c>
      <c r="E585" s="4" t="s">
        <v>1669</v>
      </c>
      <c r="F585" s="4" t="s">
        <v>1668</v>
      </c>
    </row>
    <row r="586" spans="1:6" ht="14.4" thickBot="1" x14ac:dyDescent="0.35">
      <c r="A586" s="4" t="s">
        <v>749</v>
      </c>
      <c r="B586" s="4" t="s">
        <v>750</v>
      </c>
      <c r="C586" s="4" t="s">
        <v>749</v>
      </c>
      <c r="D586" s="4" t="s">
        <v>5319</v>
      </c>
      <c r="E586" s="4" t="s">
        <v>5320</v>
      </c>
      <c r="F586" s="4" t="s">
        <v>5319</v>
      </c>
    </row>
    <row r="587" spans="1:6" ht="14.4" thickBot="1" x14ac:dyDescent="0.35">
      <c r="A587" s="4" t="s">
        <v>749</v>
      </c>
      <c r="B587" s="4" t="s">
        <v>750</v>
      </c>
      <c r="C587" s="4" t="s">
        <v>749</v>
      </c>
      <c r="D587" s="4" t="s">
        <v>3120</v>
      </c>
      <c r="E587" s="4" t="s">
        <v>3121</v>
      </c>
      <c r="F587" s="4" t="s">
        <v>3120</v>
      </c>
    </row>
    <row r="588" spans="1:6" ht="14.4" thickBot="1" x14ac:dyDescent="0.35">
      <c r="A588" s="4" t="s">
        <v>749</v>
      </c>
      <c r="B588" s="4" t="s">
        <v>750</v>
      </c>
      <c r="C588" s="4" t="s">
        <v>749</v>
      </c>
      <c r="D588" s="4" t="s">
        <v>2344</v>
      </c>
      <c r="E588" s="4" t="s">
        <v>2345</v>
      </c>
      <c r="F588" s="4" t="s">
        <v>2344</v>
      </c>
    </row>
    <row r="589" spans="1:6" ht="14.4" thickBot="1" x14ac:dyDescent="0.35">
      <c r="A589" s="4" t="s">
        <v>749</v>
      </c>
      <c r="B589" s="4" t="s">
        <v>750</v>
      </c>
      <c r="C589" s="4" t="s">
        <v>749</v>
      </c>
      <c r="D589" s="4" t="s">
        <v>588</v>
      </c>
      <c r="E589" s="4" t="s">
        <v>4185</v>
      </c>
      <c r="F589" s="4" t="s">
        <v>588</v>
      </c>
    </row>
    <row r="590" spans="1:6" ht="14.4" thickBot="1" x14ac:dyDescent="0.35">
      <c r="A590" s="4" t="s">
        <v>749</v>
      </c>
      <c r="B590" s="4" t="s">
        <v>750</v>
      </c>
      <c r="C590" s="4" t="s">
        <v>749</v>
      </c>
      <c r="D590" s="4" t="s">
        <v>5317</v>
      </c>
      <c r="E590" s="4" t="s">
        <v>5318</v>
      </c>
      <c r="F590" s="4" t="s">
        <v>5317</v>
      </c>
    </row>
    <row r="591" spans="1:6" ht="14.4" thickBot="1" x14ac:dyDescent="0.35">
      <c r="A591" s="4" t="s">
        <v>749</v>
      </c>
      <c r="B591" s="4" t="s">
        <v>750</v>
      </c>
      <c r="C591" s="4" t="s">
        <v>749</v>
      </c>
      <c r="D591" s="4" t="s">
        <v>3119</v>
      </c>
      <c r="E591" s="4" t="s">
        <v>1313</v>
      </c>
      <c r="F591" s="4" t="s">
        <v>3119</v>
      </c>
    </row>
    <row r="592" spans="1:6" ht="14.4" thickBot="1" x14ac:dyDescent="0.35">
      <c r="A592" s="4" t="s">
        <v>749</v>
      </c>
      <c r="B592" s="4" t="s">
        <v>750</v>
      </c>
      <c r="C592" s="4" t="s">
        <v>749</v>
      </c>
      <c r="D592" s="4" t="s">
        <v>3913</v>
      </c>
      <c r="E592" s="4" t="s">
        <v>3914</v>
      </c>
      <c r="F592" s="4" t="s">
        <v>3913</v>
      </c>
    </row>
    <row r="593" spans="1:6" ht="14.4" thickBot="1" x14ac:dyDescent="0.35">
      <c r="A593" s="4" t="s">
        <v>749</v>
      </c>
      <c r="B593" s="4" t="s">
        <v>750</v>
      </c>
      <c r="C593" s="4" t="s">
        <v>749</v>
      </c>
      <c r="D593" s="4" t="s">
        <v>5450</v>
      </c>
      <c r="E593" s="4" t="s">
        <v>5451</v>
      </c>
      <c r="F593" s="4" t="s">
        <v>5450</v>
      </c>
    </row>
    <row r="594" spans="1:6" ht="14.4" thickBot="1" x14ac:dyDescent="0.35">
      <c r="A594" s="4" t="s">
        <v>749</v>
      </c>
      <c r="B594" s="4" t="s">
        <v>750</v>
      </c>
      <c r="C594" s="4" t="s">
        <v>749</v>
      </c>
      <c r="D594" s="4" t="s">
        <v>6138</v>
      </c>
      <c r="E594" s="4" t="s">
        <v>6139</v>
      </c>
      <c r="F594" s="4" t="s">
        <v>6138</v>
      </c>
    </row>
    <row r="595" spans="1:6" ht="14.4" thickBot="1" x14ac:dyDescent="0.35">
      <c r="A595" s="4" t="s">
        <v>749</v>
      </c>
      <c r="B595" s="4" t="s">
        <v>750</v>
      </c>
      <c r="C595" s="4" t="s">
        <v>749</v>
      </c>
      <c r="D595" s="4" t="s">
        <v>940</v>
      </c>
      <c r="E595" s="4" t="s">
        <v>941</v>
      </c>
      <c r="F595" s="4" t="s">
        <v>940</v>
      </c>
    </row>
    <row r="596" spans="1:6" ht="14.4" thickBot="1" x14ac:dyDescent="0.35">
      <c r="A596" s="4" t="s">
        <v>749</v>
      </c>
      <c r="B596" s="4" t="s">
        <v>750</v>
      </c>
      <c r="C596" s="4" t="s">
        <v>749</v>
      </c>
      <c r="D596" s="4" t="s">
        <v>4744</v>
      </c>
      <c r="E596" s="4" t="s">
        <v>4745</v>
      </c>
      <c r="F596" s="4" t="s">
        <v>4744</v>
      </c>
    </row>
    <row r="597" spans="1:6" ht="14.4" thickBot="1" x14ac:dyDescent="0.35">
      <c r="A597" s="4" t="s">
        <v>749</v>
      </c>
      <c r="B597" s="4" t="s">
        <v>750</v>
      </c>
      <c r="C597" s="4" t="s">
        <v>749</v>
      </c>
      <c r="D597" s="4" t="s">
        <v>1812</v>
      </c>
      <c r="E597" s="4" t="s">
        <v>1813</v>
      </c>
      <c r="F597" s="4" t="s">
        <v>1812</v>
      </c>
    </row>
    <row r="598" spans="1:6" ht="14.4" thickBot="1" x14ac:dyDescent="0.35">
      <c r="A598" s="4" t="s">
        <v>749</v>
      </c>
      <c r="B598" s="4" t="s">
        <v>750</v>
      </c>
      <c r="C598" s="4" t="s">
        <v>749</v>
      </c>
      <c r="D598" s="4" t="s">
        <v>4047</v>
      </c>
      <c r="E598" s="4" t="s">
        <v>4048</v>
      </c>
      <c r="F598" s="4" t="s">
        <v>4047</v>
      </c>
    </row>
    <row r="599" spans="1:6" ht="14.4" thickBot="1" x14ac:dyDescent="0.35">
      <c r="A599" s="4" t="s">
        <v>749</v>
      </c>
      <c r="B599" s="4" t="s">
        <v>750</v>
      </c>
      <c r="C599" s="4" t="s">
        <v>749</v>
      </c>
      <c r="D599" s="4" t="s">
        <v>1814</v>
      </c>
      <c r="E599" s="4" t="s">
        <v>1815</v>
      </c>
      <c r="F599" s="4" t="s">
        <v>1814</v>
      </c>
    </row>
    <row r="600" spans="1:6" ht="14.4" thickBot="1" x14ac:dyDescent="0.35">
      <c r="A600" s="4" t="s">
        <v>749</v>
      </c>
      <c r="B600" s="4" t="s">
        <v>750</v>
      </c>
      <c r="C600" s="4" t="s">
        <v>749</v>
      </c>
      <c r="D600" s="4" t="s">
        <v>4041</v>
      </c>
      <c r="E600" s="4" t="s">
        <v>4042</v>
      </c>
      <c r="F600" s="4" t="s">
        <v>4041</v>
      </c>
    </row>
    <row r="601" spans="1:6" ht="14.4" thickBot="1" x14ac:dyDescent="0.35">
      <c r="A601" s="4" t="s">
        <v>749</v>
      </c>
      <c r="B601" s="4" t="s">
        <v>750</v>
      </c>
      <c r="C601" s="4" t="s">
        <v>749</v>
      </c>
      <c r="D601" s="4" t="s">
        <v>942</v>
      </c>
      <c r="E601" s="4" t="s">
        <v>943</v>
      </c>
      <c r="F601" s="4" t="s">
        <v>942</v>
      </c>
    </row>
    <row r="602" spans="1:6" ht="14.4" thickBot="1" x14ac:dyDescent="0.35">
      <c r="A602" s="4" t="s">
        <v>749</v>
      </c>
      <c r="B602" s="4" t="s">
        <v>750</v>
      </c>
      <c r="C602" s="4" t="s">
        <v>749</v>
      </c>
      <c r="D602" s="4" t="s">
        <v>4746</v>
      </c>
      <c r="E602" s="4" t="s">
        <v>4747</v>
      </c>
      <c r="F602" s="4" t="s">
        <v>4746</v>
      </c>
    </row>
    <row r="603" spans="1:6" ht="14.4" thickBot="1" x14ac:dyDescent="0.35">
      <c r="A603" s="4" t="s">
        <v>749</v>
      </c>
      <c r="B603" s="4" t="s">
        <v>750</v>
      </c>
      <c r="C603" s="4" t="s">
        <v>749</v>
      </c>
      <c r="D603" s="4" t="s">
        <v>765</v>
      </c>
      <c r="E603" s="4" t="s">
        <v>766</v>
      </c>
      <c r="F603" s="4" t="s">
        <v>765</v>
      </c>
    </row>
    <row r="604" spans="1:6" ht="14.4" thickBot="1" x14ac:dyDescent="0.35">
      <c r="A604" s="4" t="s">
        <v>749</v>
      </c>
      <c r="B604" s="4" t="s">
        <v>750</v>
      </c>
      <c r="C604" s="4" t="s">
        <v>749</v>
      </c>
      <c r="D604" s="4" t="s">
        <v>2350</v>
      </c>
      <c r="E604" s="4" t="s">
        <v>2351</v>
      </c>
      <c r="F604" s="4" t="s">
        <v>2350</v>
      </c>
    </row>
    <row r="605" spans="1:6" ht="14.4" thickBot="1" x14ac:dyDescent="0.35">
      <c r="A605" s="4" t="s">
        <v>749</v>
      </c>
      <c r="B605" s="4" t="s">
        <v>750</v>
      </c>
      <c r="C605" s="4" t="s">
        <v>749</v>
      </c>
      <c r="D605" s="4" t="s">
        <v>5311</v>
      </c>
      <c r="E605" s="4" t="s">
        <v>5312</v>
      </c>
      <c r="F605" s="4" t="s">
        <v>5311</v>
      </c>
    </row>
    <row r="606" spans="1:6" ht="14.4" thickBot="1" x14ac:dyDescent="0.35">
      <c r="A606" s="4" t="s">
        <v>749</v>
      </c>
      <c r="B606" s="4" t="s">
        <v>750</v>
      </c>
      <c r="C606" s="4" t="s">
        <v>749</v>
      </c>
      <c r="D606" s="4" t="s">
        <v>6020</v>
      </c>
      <c r="E606" s="4" t="s">
        <v>6021</v>
      </c>
      <c r="F606" s="4" t="s">
        <v>6020</v>
      </c>
    </row>
    <row r="607" spans="1:6" ht="14.4" thickBot="1" x14ac:dyDescent="0.35">
      <c r="A607" s="4" t="s">
        <v>749</v>
      </c>
      <c r="B607" s="4" t="s">
        <v>750</v>
      </c>
      <c r="C607" s="4" t="s">
        <v>749</v>
      </c>
      <c r="D607" s="4" t="s">
        <v>6018</v>
      </c>
      <c r="E607" s="4" t="s">
        <v>6019</v>
      </c>
      <c r="F607" s="4" t="s">
        <v>6018</v>
      </c>
    </row>
    <row r="608" spans="1:6" ht="14.4" thickBot="1" x14ac:dyDescent="0.35">
      <c r="A608" s="4" t="s">
        <v>749</v>
      </c>
      <c r="B608" s="4" t="s">
        <v>750</v>
      </c>
      <c r="C608" s="4" t="s">
        <v>749</v>
      </c>
      <c r="D608" s="4" t="s">
        <v>5315</v>
      </c>
      <c r="E608" s="4" t="s">
        <v>5316</v>
      </c>
      <c r="F608" s="4" t="s">
        <v>5315</v>
      </c>
    </row>
    <row r="609" spans="1:6" ht="14.4" thickBot="1" x14ac:dyDescent="0.35">
      <c r="A609" s="4" t="s">
        <v>749</v>
      </c>
      <c r="B609" s="4" t="s">
        <v>750</v>
      </c>
      <c r="C609" s="4" t="s">
        <v>749</v>
      </c>
      <c r="D609" s="4" t="s">
        <v>6026</v>
      </c>
      <c r="E609" s="4" t="s">
        <v>6027</v>
      </c>
      <c r="F609" s="4" t="s">
        <v>6026</v>
      </c>
    </row>
    <row r="610" spans="1:6" ht="14.4" thickBot="1" x14ac:dyDescent="0.35">
      <c r="A610" s="4" t="s">
        <v>749</v>
      </c>
      <c r="B610" s="4" t="s">
        <v>750</v>
      </c>
      <c r="C610" s="4" t="s">
        <v>749</v>
      </c>
      <c r="D610" s="4" t="s">
        <v>6032</v>
      </c>
      <c r="E610" s="4" t="s">
        <v>6033</v>
      </c>
      <c r="F610" s="4" t="s">
        <v>6032</v>
      </c>
    </row>
    <row r="611" spans="1:6" ht="14.4" thickBot="1" x14ac:dyDescent="0.35">
      <c r="A611" s="4" t="s">
        <v>749</v>
      </c>
      <c r="B611" s="4" t="s">
        <v>750</v>
      </c>
      <c r="C611" s="4" t="s">
        <v>749</v>
      </c>
      <c r="D611" s="4" t="s">
        <v>4634</v>
      </c>
      <c r="E611" s="4" t="s">
        <v>4635</v>
      </c>
      <c r="F611" s="4" t="s">
        <v>4634</v>
      </c>
    </row>
    <row r="612" spans="1:6" ht="14.4" thickBot="1" x14ac:dyDescent="0.35">
      <c r="A612" s="4" t="s">
        <v>749</v>
      </c>
      <c r="B612" s="4" t="s">
        <v>750</v>
      </c>
      <c r="C612" s="4" t="s">
        <v>749</v>
      </c>
      <c r="D612" s="4" t="s">
        <v>4636</v>
      </c>
      <c r="E612" s="4" t="s">
        <v>4637</v>
      </c>
      <c r="F612" s="4" t="s">
        <v>4636</v>
      </c>
    </row>
    <row r="613" spans="1:6" ht="14.4" thickBot="1" x14ac:dyDescent="0.35">
      <c r="A613" s="4" t="s">
        <v>749</v>
      </c>
      <c r="B613" s="4" t="s">
        <v>750</v>
      </c>
      <c r="C613" s="4" t="s">
        <v>749</v>
      </c>
      <c r="D613" s="4" t="s">
        <v>2352</v>
      </c>
      <c r="E613" s="4" t="s">
        <v>2353</v>
      </c>
      <c r="F613" s="4" t="s">
        <v>2352</v>
      </c>
    </row>
    <row r="614" spans="1:6" ht="14.4" thickBot="1" x14ac:dyDescent="0.35">
      <c r="A614" s="4" t="s">
        <v>749</v>
      </c>
      <c r="B614" s="4" t="s">
        <v>750</v>
      </c>
      <c r="C614" s="4" t="s">
        <v>749</v>
      </c>
      <c r="D614" s="4" t="s">
        <v>2470</v>
      </c>
      <c r="E614" s="4" t="s">
        <v>2471</v>
      </c>
      <c r="F614" s="4" t="s">
        <v>2470</v>
      </c>
    </row>
    <row r="615" spans="1:6" ht="14.4" thickBot="1" x14ac:dyDescent="0.35">
      <c r="A615" s="4" t="s">
        <v>749</v>
      </c>
      <c r="B615" s="4" t="s">
        <v>750</v>
      </c>
      <c r="C615" s="4" t="s">
        <v>749</v>
      </c>
      <c r="D615" s="4" t="s">
        <v>5446</v>
      </c>
      <c r="E615" s="4" t="s">
        <v>5447</v>
      </c>
      <c r="F615" s="4" t="s">
        <v>5446</v>
      </c>
    </row>
    <row r="616" spans="1:6" ht="14.4" thickBot="1" x14ac:dyDescent="0.35">
      <c r="A616" s="4" t="s">
        <v>749</v>
      </c>
      <c r="B616" s="4" t="s">
        <v>750</v>
      </c>
      <c r="C616" s="4" t="s">
        <v>749</v>
      </c>
      <c r="D616" s="4" t="s">
        <v>4742</v>
      </c>
      <c r="E616" s="4" t="s">
        <v>4743</v>
      </c>
      <c r="F616" s="4" t="s">
        <v>4742</v>
      </c>
    </row>
    <row r="617" spans="1:6" ht="14.4" thickBot="1" x14ac:dyDescent="0.35">
      <c r="A617" s="4" t="s">
        <v>749</v>
      </c>
      <c r="B617" s="4" t="s">
        <v>750</v>
      </c>
      <c r="C617" s="4" t="s">
        <v>749</v>
      </c>
      <c r="D617" s="4" t="s">
        <v>1810</v>
      </c>
      <c r="E617" s="4" t="s">
        <v>1811</v>
      </c>
      <c r="F617" s="4" t="s">
        <v>1810</v>
      </c>
    </row>
    <row r="618" spans="1:6" ht="14.4" thickBot="1" x14ac:dyDescent="0.35">
      <c r="A618" s="4" t="s">
        <v>749</v>
      </c>
      <c r="B618" s="4" t="s">
        <v>750</v>
      </c>
      <c r="C618" s="4" t="s">
        <v>749</v>
      </c>
      <c r="D618" s="4" t="s">
        <v>5442</v>
      </c>
      <c r="E618" s="4" t="s">
        <v>5443</v>
      </c>
      <c r="F618" s="4" t="s">
        <v>5442</v>
      </c>
    </row>
    <row r="619" spans="1:6" ht="14.4" thickBot="1" x14ac:dyDescent="0.35">
      <c r="A619" s="4" t="s">
        <v>749</v>
      </c>
      <c r="B619" s="4" t="s">
        <v>750</v>
      </c>
      <c r="C619" s="4" t="s">
        <v>749</v>
      </c>
      <c r="D619" s="4" t="s">
        <v>936</v>
      </c>
      <c r="E619" s="4" t="s">
        <v>937</v>
      </c>
      <c r="F619" s="4" t="s">
        <v>936</v>
      </c>
    </row>
    <row r="620" spans="1:6" ht="14.4" thickBot="1" x14ac:dyDescent="0.35">
      <c r="A620" s="4" t="s">
        <v>749</v>
      </c>
      <c r="B620" s="4" t="s">
        <v>750</v>
      </c>
      <c r="C620" s="4" t="s">
        <v>749</v>
      </c>
      <c r="D620" s="4" t="s">
        <v>2472</v>
      </c>
      <c r="E620" s="4" t="s">
        <v>2473</v>
      </c>
      <c r="F620" s="4" t="s">
        <v>2472</v>
      </c>
    </row>
    <row r="621" spans="1:6" ht="14.4" thickBot="1" x14ac:dyDescent="0.35">
      <c r="A621" s="4" t="s">
        <v>749</v>
      </c>
      <c r="B621" s="4" t="s">
        <v>750</v>
      </c>
      <c r="C621" s="4" t="s">
        <v>749</v>
      </c>
      <c r="D621" s="4" t="s">
        <v>4043</v>
      </c>
      <c r="E621" s="4" t="s">
        <v>4044</v>
      </c>
      <c r="F621" s="4" t="s">
        <v>4043</v>
      </c>
    </row>
    <row r="622" spans="1:6" ht="14.4" thickBot="1" x14ac:dyDescent="0.35">
      <c r="A622" s="4" t="s">
        <v>749</v>
      </c>
      <c r="B622" s="4" t="s">
        <v>750</v>
      </c>
      <c r="C622" s="4" t="s">
        <v>749</v>
      </c>
      <c r="D622" s="4" t="s">
        <v>3234</v>
      </c>
      <c r="E622" s="4" t="s">
        <v>3235</v>
      </c>
      <c r="F622" s="4" t="s">
        <v>3234</v>
      </c>
    </row>
    <row r="623" spans="1:6" ht="14.4" thickBot="1" x14ac:dyDescent="0.35">
      <c r="A623" s="4" t="s">
        <v>749</v>
      </c>
      <c r="B623" s="4" t="s">
        <v>750</v>
      </c>
      <c r="C623" s="4" t="s">
        <v>749</v>
      </c>
      <c r="D623" s="4" t="s">
        <v>4758</v>
      </c>
      <c r="E623" s="4" t="s">
        <v>4759</v>
      </c>
      <c r="F623" s="4" t="s">
        <v>4758</v>
      </c>
    </row>
    <row r="624" spans="1:6" ht="14.4" thickBot="1" x14ac:dyDescent="0.35">
      <c r="A624" s="4" t="s">
        <v>749</v>
      </c>
      <c r="B624" s="4" t="s">
        <v>750</v>
      </c>
      <c r="C624" s="4" t="s">
        <v>749</v>
      </c>
      <c r="D624" s="4" t="s">
        <v>5452</v>
      </c>
      <c r="E624" s="4" t="s">
        <v>5453</v>
      </c>
      <c r="F624" s="4" t="s">
        <v>5452</v>
      </c>
    </row>
    <row r="625" spans="1:6" ht="14.4" thickBot="1" x14ac:dyDescent="0.35">
      <c r="A625" s="4" t="s">
        <v>749</v>
      </c>
      <c r="B625" s="4" t="s">
        <v>750</v>
      </c>
      <c r="C625" s="4" t="s">
        <v>749</v>
      </c>
      <c r="D625" s="4" t="s">
        <v>948</v>
      </c>
      <c r="E625" s="4" t="s">
        <v>949</v>
      </c>
      <c r="F625" s="4" t="s">
        <v>948</v>
      </c>
    </row>
    <row r="626" spans="1:6" ht="14.4" thickBot="1" x14ac:dyDescent="0.35">
      <c r="A626" s="4" t="s">
        <v>749</v>
      </c>
      <c r="B626" s="4" t="s">
        <v>750</v>
      </c>
      <c r="C626" s="4" t="s">
        <v>749</v>
      </c>
      <c r="D626" s="4" t="s">
        <v>2482</v>
      </c>
      <c r="E626" s="4" t="s">
        <v>2483</v>
      </c>
      <c r="F626" s="4" t="s">
        <v>2482</v>
      </c>
    </row>
    <row r="627" spans="1:6" ht="14.4" thickBot="1" x14ac:dyDescent="0.35">
      <c r="A627" s="4" t="s">
        <v>749</v>
      </c>
      <c r="B627" s="4" t="s">
        <v>750</v>
      </c>
      <c r="C627" s="4" t="s">
        <v>749</v>
      </c>
      <c r="D627" s="4" t="s">
        <v>4053</v>
      </c>
      <c r="E627" s="4" t="s">
        <v>4054</v>
      </c>
      <c r="F627" s="4" t="s">
        <v>4053</v>
      </c>
    </row>
    <row r="628" spans="1:6" ht="14.4" thickBot="1" x14ac:dyDescent="0.35">
      <c r="A628" s="4" t="s">
        <v>749</v>
      </c>
      <c r="B628" s="4" t="s">
        <v>750</v>
      </c>
      <c r="C628" s="4" t="s">
        <v>749</v>
      </c>
      <c r="D628" s="4" t="s">
        <v>3246</v>
      </c>
      <c r="E628" s="4" t="s">
        <v>3247</v>
      </c>
      <c r="F628" s="4" t="s">
        <v>3246</v>
      </c>
    </row>
    <row r="629" spans="1:6" ht="14.4" thickBot="1" x14ac:dyDescent="0.35">
      <c r="A629" s="4" t="s">
        <v>749</v>
      </c>
      <c r="B629" s="4" t="s">
        <v>750</v>
      </c>
      <c r="C629" s="4" t="s">
        <v>749</v>
      </c>
      <c r="D629" s="4" t="s">
        <v>5454</v>
      </c>
      <c r="E629" s="4" t="s">
        <v>5455</v>
      </c>
      <c r="F629" s="4" t="s">
        <v>5454</v>
      </c>
    </row>
    <row r="630" spans="1:6" ht="14.4" thickBot="1" x14ac:dyDescent="0.35">
      <c r="A630" s="4" t="s">
        <v>749</v>
      </c>
      <c r="B630" s="4" t="s">
        <v>750</v>
      </c>
      <c r="C630" s="4" t="s">
        <v>749</v>
      </c>
      <c r="D630" s="4" t="s">
        <v>6150</v>
      </c>
      <c r="E630" s="4" t="s">
        <v>6151</v>
      </c>
      <c r="F630" s="4" t="s">
        <v>6150</v>
      </c>
    </row>
    <row r="631" spans="1:6" ht="14.4" thickBot="1" x14ac:dyDescent="0.35">
      <c r="A631" s="4" t="s">
        <v>749</v>
      </c>
      <c r="B631" s="4" t="s">
        <v>750</v>
      </c>
      <c r="C631" s="4" t="s">
        <v>749</v>
      </c>
      <c r="D631" s="4" t="s">
        <v>3248</v>
      </c>
      <c r="E631" s="4" t="s">
        <v>3249</v>
      </c>
      <c r="F631" s="4" t="s">
        <v>3248</v>
      </c>
    </row>
    <row r="632" spans="1:6" ht="14.4" thickBot="1" x14ac:dyDescent="0.35">
      <c r="A632" s="4" t="s">
        <v>749</v>
      </c>
      <c r="B632" s="4" t="s">
        <v>750</v>
      </c>
      <c r="C632" s="4" t="s">
        <v>749</v>
      </c>
      <c r="D632" s="4" t="s">
        <v>5323</v>
      </c>
      <c r="E632" s="4" t="s">
        <v>5324</v>
      </c>
      <c r="F632" s="4" t="s">
        <v>5323</v>
      </c>
    </row>
    <row r="633" spans="1:6" ht="14.4" thickBot="1" x14ac:dyDescent="0.35">
      <c r="A633" s="4" t="s">
        <v>749</v>
      </c>
      <c r="B633" s="4" t="s">
        <v>750</v>
      </c>
      <c r="C633" s="4" t="s">
        <v>749</v>
      </c>
      <c r="D633" s="4" t="s">
        <v>3911</v>
      </c>
      <c r="E633" s="4" t="s">
        <v>3912</v>
      </c>
      <c r="F633" s="4" t="s">
        <v>3911</v>
      </c>
    </row>
    <row r="634" spans="1:6" ht="14.4" thickBot="1" x14ac:dyDescent="0.35">
      <c r="A634" s="4" t="s">
        <v>749</v>
      </c>
      <c r="B634" s="4" t="s">
        <v>750</v>
      </c>
      <c r="C634" s="4" t="s">
        <v>749</v>
      </c>
      <c r="D634" s="4" t="s">
        <v>6154</v>
      </c>
      <c r="E634" s="4" t="s">
        <v>6155</v>
      </c>
      <c r="F634" s="4" t="s">
        <v>6154</v>
      </c>
    </row>
    <row r="635" spans="1:6" ht="14.4" thickBot="1" x14ac:dyDescent="0.35">
      <c r="A635" s="4" t="s">
        <v>749</v>
      </c>
      <c r="B635" s="4" t="s">
        <v>750</v>
      </c>
      <c r="C635" s="4" t="s">
        <v>749</v>
      </c>
      <c r="D635" s="4" t="s">
        <v>4766</v>
      </c>
      <c r="E635" s="4" t="s">
        <v>4767</v>
      </c>
      <c r="F635" s="4" t="s">
        <v>4766</v>
      </c>
    </row>
    <row r="636" spans="1:6" ht="14.4" thickBot="1" x14ac:dyDescent="0.35">
      <c r="A636" s="4" t="s">
        <v>749</v>
      </c>
      <c r="B636" s="4" t="s">
        <v>750</v>
      </c>
      <c r="C636" s="4" t="s">
        <v>749</v>
      </c>
      <c r="D636" s="4" t="s">
        <v>2480</v>
      </c>
      <c r="E636" s="4" t="s">
        <v>2481</v>
      </c>
      <c r="F636" s="4" t="s">
        <v>2480</v>
      </c>
    </row>
    <row r="637" spans="1:6" ht="14.4" thickBot="1" x14ac:dyDescent="0.35">
      <c r="A637" s="4" t="s">
        <v>749</v>
      </c>
      <c r="B637" s="4" t="s">
        <v>750</v>
      </c>
      <c r="C637" s="4" t="s">
        <v>749</v>
      </c>
      <c r="D637" s="4" t="s">
        <v>757</v>
      </c>
      <c r="E637" s="4" t="s">
        <v>758</v>
      </c>
      <c r="F637" s="4" t="s">
        <v>757</v>
      </c>
    </row>
    <row r="638" spans="1:6" ht="14.4" thickBot="1" x14ac:dyDescent="0.35">
      <c r="A638" s="4" t="s">
        <v>749</v>
      </c>
      <c r="B638" s="4" t="s">
        <v>750</v>
      </c>
      <c r="C638" s="4" t="s">
        <v>749</v>
      </c>
      <c r="D638" s="4" t="s">
        <v>4764</v>
      </c>
      <c r="E638" s="4" t="s">
        <v>4765</v>
      </c>
      <c r="F638" s="4" t="s">
        <v>4764</v>
      </c>
    </row>
    <row r="639" spans="1:6" ht="14.4" thickBot="1" x14ac:dyDescent="0.35">
      <c r="A639" s="4" t="s">
        <v>749</v>
      </c>
      <c r="B639" s="4" t="s">
        <v>750</v>
      </c>
      <c r="C639" s="4" t="s">
        <v>749</v>
      </c>
      <c r="D639" s="4" t="s">
        <v>3907</v>
      </c>
      <c r="E639" s="4" t="s">
        <v>3908</v>
      </c>
      <c r="F639" s="4" t="s">
        <v>3907</v>
      </c>
    </row>
    <row r="640" spans="1:6" ht="14.4" thickBot="1" x14ac:dyDescent="0.35">
      <c r="A640" s="4" t="s">
        <v>749</v>
      </c>
      <c r="B640" s="4" t="s">
        <v>750</v>
      </c>
      <c r="C640" s="4" t="s">
        <v>749</v>
      </c>
      <c r="D640" s="4" t="s">
        <v>4762</v>
      </c>
      <c r="E640" s="4" t="s">
        <v>4763</v>
      </c>
      <c r="F640" s="4" t="s">
        <v>4762</v>
      </c>
    </row>
    <row r="641" spans="1:6" ht="14.4" thickBot="1" x14ac:dyDescent="0.35">
      <c r="A641" s="4" t="s">
        <v>749</v>
      </c>
      <c r="B641" s="4" t="s">
        <v>750</v>
      </c>
      <c r="C641" s="4" t="s">
        <v>749</v>
      </c>
      <c r="D641" s="4" t="s">
        <v>952</v>
      </c>
      <c r="E641" s="4" t="s">
        <v>953</v>
      </c>
      <c r="F641" s="4" t="s">
        <v>952</v>
      </c>
    </row>
    <row r="642" spans="1:6" ht="14.4" thickBot="1" x14ac:dyDescent="0.35">
      <c r="A642" s="4" t="s">
        <v>749</v>
      </c>
      <c r="B642" s="4" t="s">
        <v>750</v>
      </c>
      <c r="C642" s="4" t="s">
        <v>749</v>
      </c>
      <c r="D642" s="4" t="s">
        <v>4760</v>
      </c>
      <c r="E642" s="4" t="s">
        <v>4761</v>
      </c>
      <c r="F642" s="4" t="s">
        <v>4760</v>
      </c>
    </row>
    <row r="643" spans="1:6" ht="14.4" thickBot="1" x14ac:dyDescent="0.35">
      <c r="A643" s="4" t="s">
        <v>749</v>
      </c>
      <c r="B643" s="4" t="s">
        <v>750</v>
      </c>
      <c r="C643" s="4" t="s">
        <v>749</v>
      </c>
      <c r="D643" s="4" t="s">
        <v>6152</v>
      </c>
      <c r="E643" s="4" t="s">
        <v>6153</v>
      </c>
      <c r="F643" s="4" t="s">
        <v>6152</v>
      </c>
    </row>
    <row r="644" spans="1:6" ht="14.4" thickBot="1" x14ac:dyDescent="0.35">
      <c r="A644" s="4" t="s">
        <v>749</v>
      </c>
      <c r="B644" s="4" t="s">
        <v>750</v>
      </c>
      <c r="C644" s="4" t="s">
        <v>749</v>
      </c>
      <c r="D644" s="4" t="s">
        <v>3250</v>
      </c>
      <c r="E644" s="4" t="s">
        <v>3251</v>
      </c>
      <c r="F644" s="4" t="s">
        <v>3250</v>
      </c>
    </row>
    <row r="645" spans="1:6" ht="14.4" thickBot="1" x14ac:dyDescent="0.35">
      <c r="A645" s="4" t="s">
        <v>749</v>
      </c>
      <c r="B645" s="4" t="s">
        <v>750</v>
      </c>
      <c r="C645" s="4" t="s">
        <v>749</v>
      </c>
      <c r="D645" s="4" t="s">
        <v>2468</v>
      </c>
      <c r="E645" s="4" t="s">
        <v>2469</v>
      </c>
      <c r="F645" s="4" t="s">
        <v>2468</v>
      </c>
    </row>
    <row r="646" spans="1:6" ht="14.4" thickBot="1" x14ac:dyDescent="0.35">
      <c r="A646" s="4" t="s">
        <v>749</v>
      </c>
      <c r="B646" s="4" t="s">
        <v>750</v>
      </c>
      <c r="C646" s="4" t="s">
        <v>749</v>
      </c>
      <c r="D646" s="4" t="s">
        <v>950</v>
      </c>
      <c r="E646" s="4" t="s">
        <v>951</v>
      </c>
      <c r="F646" s="4" t="s">
        <v>950</v>
      </c>
    </row>
    <row r="647" spans="1:6" ht="14.4" thickBot="1" x14ac:dyDescent="0.35">
      <c r="A647" s="4" t="s">
        <v>749</v>
      </c>
      <c r="B647" s="4" t="s">
        <v>750</v>
      </c>
      <c r="C647" s="4" t="s">
        <v>749</v>
      </c>
      <c r="D647" s="4" t="s">
        <v>5458</v>
      </c>
      <c r="E647" s="4" t="s">
        <v>5459</v>
      </c>
      <c r="F647" s="4" t="s">
        <v>5458</v>
      </c>
    </row>
    <row r="648" spans="1:6" ht="14.4" thickBot="1" x14ac:dyDescent="0.35">
      <c r="A648" s="4" t="s">
        <v>749</v>
      </c>
      <c r="B648" s="4" t="s">
        <v>750</v>
      </c>
      <c r="C648" s="4" t="s">
        <v>749</v>
      </c>
      <c r="D648" s="4" t="s">
        <v>4055</v>
      </c>
      <c r="E648" s="4" t="s">
        <v>4056</v>
      </c>
      <c r="F648" s="4" t="s">
        <v>4055</v>
      </c>
    </row>
    <row r="649" spans="1:6" ht="14.4" thickBot="1" x14ac:dyDescent="0.35">
      <c r="A649" s="4" t="s">
        <v>749</v>
      </c>
      <c r="B649" s="4" t="s">
        <v>750</v>
      </c>
      <c r="C649" s="4" t="s">
        <v>749</v>
      </c>
      <c r="D649" s="4" t="s">
        <v>1808</v>
      </c>
      <c r="E649" s="4" t="s">
        <v>1809</v>
      </c>
      <c r="F649" s="4" t="s">
        <v>1808</v>
      </c>
    </row>
    <row r="650" spans="1:6" ht="14.4" thickBot="1" x14ac:dyDescent="0.35">
      <c r="A650" s="4" t="s">
        <v>749</v>
      </c>
      <c r="B650" s="4" t="s">
        <v>750</v>
      </c>
      <c r="C650" s="4" t="s">
        <v>749</v>
      </c>
      <c r="D650" s="4" t="s">
        <v>5456</v>
      </c>
      <c r="E650" s="4" t="s">
        <v>5457</v>
      </c>
      <c r="F650" s="4" t="s">
        <v>5456</v>
      </c>
    </row>
    <row r="651" spans="1:6" ht="14.4" thickBot="1" x14ac:dyDescent="0.35">
      <c r="A651" s="4" t="s">
        <v>749</v>
      </c>
      <c r="B651" s="4" t="s">
        <v>750</v>
      </c>
      <c r="C651" s="4" t="s">
        <v>749</v>
      </c>
      <c r="D651" s="4" t="s">
        <v>946</v>
      </c>
      <c r="E651" s="4" t="s">
        <v>947</v>
      </c>
      <c r="F651" s="4" t="s">
        <v>946</v>
      </c>
    </row>
    <row r="652" spans="1:6" ht="14.4" thickBot="1" x14ac:dyDescent="0.35">
      <c r="A652" s="4" t="s">
        <v>749</v>
      </c>
      <c r="B652" s="4" t="s">
        <v>750</v>
      </c>
      <c r="C652" s="4" t="s">
        <v>749</v>
      </c>
      <c r="D652" s="4" t="s">
        <v>3244</v>
      </c>
      <c r="E652" s="4" t="s">
        <v>3245</v>
      </c>
      <c r="F652" s="4" t="s">
        <v>3244</v>
      </c>
    </row>
    <row r="653" spans="1:6" ht="14.4" thickBot="1" x14ac:dyDescent="0.35">
      <c r="A653" s="4" t="s">
        <v>749</v>
      </c>
      <c r="B653" s="4" t="s">
        <v>750</v>
      </c>
      <c r="C653" s="4" t="s">
        <v>749</v>
      </c>
      <c r="D653" s="4" t="s">
        <v>5313</v>
      </c>
      <c r="E653" s="4" t="s">
        <v>5314</v>
      </c>
      <c r="F653" s="4" t="s">
        <v>5313</v>
      </c>
    </row>
    <row r="654" spans="1:6" ht="14.4" thickBot="1" x14ac:dyDescent="0.35">
      <c r="A654" s="4" t="s">
        <v>749</v>
      </c>
      <c r="B654" s="4" t="s">
        <v>750</v>
      </c>
      <c r="C654" s="4" t="s">
        <v>749</v>
      </c>
      <c r="D654" s="4" t="s">
        <v>3909</v>
      </c>
      <c r="E654" s="4" t="s">
        <v>3910</v>
      </c>
      <c r="F654" s="4" t="s">
        <v>3909</v>
      </c>
    </row>
    <row r="655" spans="1:6" ht="14.4" thickBot="1" x14ac:dyDescent="0.35">
      <c r="A655" s="4" t="s">
        <v>749</v>
      </c>
      <c r="B655" s="4" t="s">
        <v>750</v>
      </c>
      <c r="C655" s="4" t="s">
        <v>749</v>
      </c>
      <c r="D655" s="4" t="s">
        <v>2348</v>
      </c>
      <c r="E655" s="4" t="s">
        <v>2349</v>
      </c>
      <c r="F655" s="4" t="s">
        <v>2348</v>
      </c>
    </row>
    <row r="656" spans="1:6" ht="14.4" thickBot="1" x14ac:dyDescent="0.35">
      <c r="A656" s="4" t="s">
        <v>749</v>
      </c>
      <c r="B656" s="4" t="s">
        <v>750</v>
      </c>
      <c r="C656" s="4" t="s">
        <v>749</v>
      </c>
      <c r="D656" s="4" t="s">
        <v>3111</v>
      </c>
      <c r="E656" s="4" t="s">
        <v>3112</v>
      </c>
      <c r="F656" s="4" t="s">
        <v>3111</v>
      </c>
    </row>
    <row r="657" spans="1:6" ht="14.4" thickBot="1" x14ac:dyDescent="0.35">
      <c r="A657" s="4" t="s">
        <v>749</v>
      </c>
      <c r="B657" s="4" t="s">
        <v>750</v>
      </c>
      <c r="C657" s="4" t="s">
        <v>749</v>
      </c>
      <c r="D657" s="4" t="s">
        <v>3117</v>
      </c>
      <c r="E657" s="4" t="s">
        <v>3118</v>
      </c>
      <c r="F657" s="4" t="s">
        <v>3117</v>
      </c>
    </row>
    <row r="658" spans="1:6" ht="14.4" thickBot="1" x14ac:dyDescent="0.35">
      <c r="A658" s="4" t="s">
        <v>749</v>
      </c>
      <c r="B658" s="4" t="s">
        <v>750</v>
      </c>
      <c r="C658" s="4" t="s">
        <v>749</v>
      </c>
      <c r="D658" s="4" t="s">
        <v>6024</v>
      </c>
      <c r="E658" s="4" t="s">
        <v>6025</v>
      </c>
      <c r="F658" s="4" t="s">
        <v>6024</v>
      </c>
    </row>
    <row r="659" spans="1:6" ht="14.4" thickBot="1" x14ac:dyDescent="0.35">
      <c r="A659" s="4" t="s">
        <v>749</v>
      </c>
      <c r="B659" s="4" t="s">
        <v>750</v>
      </c>
      <c r="C659" s="4" t="s">
        <v>749</v>
      </c>
      <c r="D659" s="4" t="s">
        <v>751</v>
      </c>
      <c r="E659" s="4" t="s">
        <v>752</v>
      </c>
      <c r="F659" s="4" t="s">
        <v>751</v>
      </c>
    </row>
    <row r="660" spans="1:6" ht="14.4" thickBot="1" x14ac:dyDescent="0.35">
      <c r="A660" s="4" t="s">
        <v>749</v>
      </c>
      <c r="B660" s="4" t="s">
        <v>750</v>
      </c>
      <c r="C660" s="4" t="s">
        <v>749</v>
      </c>
      <c r="D660" s="4" t="s">
        <v>761</v>
      </c>
      <c r="E660" s="4" t="s">
        <v>762</v>
      </c>
      <c r="F660" s="4" t="s">
        <v>761</v>
      </c>
    </row>
    <row r="661" spans="1:6" ht="14.4" thickBot="1" x14ac:dyDescent="0.35">
      <c r="A661" s="4" t="s">
        <v>749</v>
      </c>
      <c r="B661" s="4" t="s">
        <v>750</v>
      </c>
      <c r="C661" s="4" t="s">
        <v>749</v>
      </c>
      <c r="D661" s="4" t="s">
        <v>3122</v>
      </c>
      <c r="E661" s="4" t="s">
        <v>3123</v>
      </c>
      <c r="F661" s="4" t="s">
        <v>3122</v>
      </c>
    </row>
    <row r="662" spans="1:6" ht="14.4" thickBot="1" x14ac:dyDescent="0.35">
      <c r="A662" s="4" t="s">
        <v>749</v>
      </c>
      <c r="B662" s="4" t="s">
        <v>750</v>
      </c>
      <c r="C662" s="4" t="s">
        <v>749</v>
      </c>
      <c r="D662" s="4" t="s">
        <v>6022</v>
      </c>
      <c r="E662" s="4" t="s">
        <v>6023</v>
      </c>
      <c r="F662" s="4" t="s">
        <v>6022</v>
      </c>
    </row>
    <row r="663" spans="1:6" ht="14.4" thickBot="1" x14ac:dyDescent="0.35">
      <c r="A663" s="4" t="s">
        <v>749</v>
      </c>
      <c r="B663" s="4" t="s">
        <v>750</v>
      </c>
      <c r="C663" s="4" t="s">
        <v>749</v>
      </c>
      <c r="D663" s="4" t="s">
        <v>6030</v>
      </c>
      <c r="E663" s="4" t="s">
        <v>6031</v>
      </c>
      <c r="F663" s="4" t="s">
        <v>6030</v>
      </c>
    </row>
    <row r="664" spans="1:6" ht="14.4" thickBot="1" x14ac:dyDescent="0.35">
      <c r="A664" s="4" t="s">
        <v>749</v>
      </c>
      <c r="B664" s="4" t="s">
        <v>750</v>
      </c>
      <c r="C664" s="4" t="s">
        <v>749</v>
      </c>
      <c r="D664" s="4" t="s">
        <v>753</v>
      </c>
      <c r="E664" s="4" t="s">
        <v>754</v>
      </c>
      <c r="F664" s="4" t="s">
        <v>753</v>
      </c>
    </row>
    <row r="665" spans="1:6" ht="14.4" thickBot="1" x14ac:dyDescent="0.35">
      <c r="A665" s="4" t="s">
        <v>749</v>
      </c>
      <c r="B665" s="4" t="s">
        <v>750</v>
      </c>
      <c r="C665" s="4" t="s">
        <v>749</v>
      </c>
      <c r="D665" s="4" t="s">
        <v>3115</v>
      </c>
      <c r="E665" s="4" t="s">
        <v>3116</v>
      </c>
      <c r="F665" s="4" t="s">
        <v>3115</v>
      </c>
    </row>
    <row r="666" spans="1:6" ht="14.4" thickBot="1" x14ac:dyDescent="0.35">
      <c r="A666" s="4" t="s">
        <v>749</v>
      </c>
      <c r="B666" s="4" t="s">
        <v>750</v>
      </c>
      <c r="C666" s="4" t="s">
        <v>749</v>
      </c>
      <c r="D666" s="4" t="s">
        <v>2342</v>
      </c>
      <c r="E666" s="4" t="s">
        <v>2343</v>
      </c>
      <c r="F666" s="4" t="s">
        <v>2342</v>
      </c>
    </row>
    <row r="667" spans="1:6" ht="14.4" thickBot="1" x14ac:dyDescent="0.35">
      <c r="A667" s="4" t="s">
        <v>749</v>
      </c>
      <c r="B667" s="4" t="s">
        <v>750</v>
      </c>
      <c r="C667" s="4" t="s">
        <v>749</v>
      </c>
      <c r="D667" s="4" t="s">
        <v>759</v>
      </c>
      <c r="E667" s="4" t="s">
        <v>760</v>
      </c>
      <c r="F667" s="4" t="s">
        <v>759</v>
      </c>
    </row>
    <row r="668" spans="1:6" ht="14.4" thickBot="1" x14ac:dyDescent="0.35">
      <c r="A668" s="4" t="s">
        <v>749</v>
      </c>
      <c r="B668" s="4" t="s">
        <v>750</v>
      </c>
      <c r="C668" s="4" t="s">
        <v>749</v>
      </c>
      <c r="D668" s="4" t="s">
        <v>3905</v>
      </c>
      <c r="E668" s="4" t="s">
        <v>3906</v>
      </c>
      <c r="F668" s="4" t="s">
        <v>3905</v>
      </c>
    </row>
    <row r="669" spans="1:6" ht="14.4" thickBot="1" x14ac:dyDescent="0.35">
      <c r="A669" s="4" t="s">
        <v>749</v>
      </c>
      <c r="B669" s="4" t="s">
        <v>750</v>
      </c>
      <c r="C669" s="4" t="s">
        <v>749</v>
      </c>
      <c r="D669" s="4" t="s">
        <v>1806</v>
      </c>
      <c r="E669" s="4" t="s">
        <v>1807</v>
      </c>
      <c r="F669" s="4" t="s">
        <v>1806</v>
      </c>
    </row>
    <row r="670" spans="1:6" ht="14.4" thickBot="1" x14ac:dyDescent="0.35">
      <c r="A670" s="4" t="s">
        <v>749</v>
      </c>
      <c r="B670" s="4" t="s">
        <v>750</v>
      </c>
      <c r="C670" s="4" t="s">
        <v>749</v>
      </c>
      <c r="D670" s="4" t="s">
        <v>3107</v>
      </c>
      <c r="E670" s="4" t="s">
        <v>3108</v>
      </c>
      <c r="F670" s="4" t="s">
        <v>3107</v>
      </c>
    </row>
    <row r="671" spans="1:6" ht="14.4" thickBot="1" x14ac:dyDescent="0.35">
      <c r="A671" s="4" t="s">
        <v>749</v>
      </c>
      <c r="B671" s="4" t="s">
        <v>750</v>
      </c>
      <c r="C671" s="4" t="s">
        <v>749</v>
      </c>
      <c r="D671" s="4" t="s">
        <v>6136</v>
      </c>
      <c r="E671" s="4" t="s">
        <v>6137</v>
      </c>
      <c r="F671" s="4" t="s">
        <v>6136</v>
      </c>
    </row>
    <row r="672" spans="1:6" ht="14.4" thickBot="1" x14ac:dyDescent="0.35">
      <c r="A672" s="4" t="s">
        <v>749</v>
      </c>
      <c r="B672" s="4" t="s">
        <v>750</v>
      </c>
      <c r="C672" s="4" t="s">
        <v>749</v>
      </c>
      <c r="D672" s="4" t="s">
        <v>5444</v>
      </c>
      <c r="E672" s="4" t="s">
        <v>5445</v>
      </c>
      <c r="F672" s="4" t="s">
        <v>5444</v>
      </c>
    </row>
    <row r="673" spans="1:6" ht="14.4" thickBot="1" x14ac:dyDescent="0.35">
      <c r="A673" s="4" t="s">
        <v>749</v>
      </c>
      <c r="B673" s="4" t="s">
        <v>750</v>
      </c>
      <c r="C673" s="4" t="s">
        <v>749</v>
      </c>
      <c r="D673" s="4" t="s">
        <v>1666</v>
      </c>
      <c r="E673" s="4" t="s">
        <v>1667</v>
      </c>
      <c r="F673" s="4" t="s">
        <v>1666</v>
      </c>
    </row>
    <row r="674" spans="1:6" ht="14.4" thickBot="1" x14ac:dyDescent="0.35">
      <c r="A674" s="4" t="s">
        <v>749</v>
      </c>
      <c r="B674" s="4" t="s">
        <v>750</v>
      </c>
      <c r="C674" s="4" t="s">
        <v>749</v>
      </c>
      <c r="D674" s="4" t="s">
        <v>1662</v>
      </c>
      <c r="E674" s="4" t="s">
        <v>1663</v>
      </c>
      <c r="F674" s="4" t="s">
        <v>1662</v>
      </c>
    </row>
    <row r="675" spans="1:6" ht="14.4" thickBot="1" x14ac:dyDescent="0.35">
      <c r="A675" s="4" t="s">
        <v>749</v>
      </c>
      <c r="B675" s="4" t="s">
        <v>750</v>
      </c>
      <c r="C675" s="4" t="s">
        <v>749</v>
      </c>
      <c r="D675" s="4" t="s">
        <v>1664</v>
      </c>
      <c r="E675" s="4" t="s">
        <v>1665</v>
      </c>
      <c r="F675" s="4" t="s">
        <v>1664</v>
      </c>
    </row>
    <row r="676" spans="1:6" ht="14.4" thickBot="1" x14ac:dyDescent="0.35">
      <c r="A676" s="4" t="s">
        <v>749</v>
      </c>
      <c r="B676" s="4" t="s">
        <v>750</v>
      </c>
      <c r="C676" s="4" t="s">
        <v>749</v>
      </c>
      <c r="D676" s="4" t="s">
        <v>5309</v>
      </c>
      <c r="E676" s="4" t="s">
        <v>5310</v>
      </c>
      <c r="F676" s="4" t="s">
        <v>5309</v>
      </c>
    </row>
    <row r="677" spans="1:6" ht="14.4" thickBot="1" x14ac:dyDescent="0.35">
      <c r="A677" s="4" t="s">
        <v>749</v>
      </c>
      <c r="B677" s="4" t="s">
        <v>750</v>
      </c>
      <c r="C677" s="4" t="s">
        <v>749</v>
      </c>
      <c r="D677" s="4" t="s">
        <v>6028</v>
      </c>
      <c r="E677" s="4" t="s">
        <v>6029</v>
      </c>
      <c r="F677" s="4" t="s">
        <v>6028</v>
      </c>
    </row>
    <row r="678" spans="1:6" ht="14.4" thickBot="1" x14ac:dyDescent="0.35">
      <c r="A678" s="4" t="s">
        <v>749</v>
      </c>
      <c r="B678" s="4" t="s">
        <v>750</v>
      </c>
      <c r="C678" s="4" t="s">
        <v>749</v>
      </c>
      <c r="D678" s="4" t="s">
        <v>4756</v>
      </c>
      <c r="E678" s="4" t="s">
        <v>4757</v>
      </c>
      <c r="F678" s="4" t="s">
        <v>4756</v>
      </c>
    </row>
    <row r="679" spans="1:6" ht="14.4" thickBot="1" x14ac:dyDescent="0.35">
      <c r="A679" s="4" t="s">
        <v>749</v>
      </c>
      <c r="B679" s="4" t="s">
        <v>750</v>
      </c>
      <c r="C679" s="4" t="s">
        <v>749</v>
      </c>
      <c r="D679" s="4" t="s">
        <v>4754</v>
      </c>
      <c r="E679" s="4" t="s">
        <v>4755</v>
      </c>
      <c r="F679" s="4" t="s">
        <v>4754</v>
      </c>
    </row>
    <row r="680" spans="1:6" ht="14.4" thickBot="1" x14ac:dyDescent="0.35">
      <c r="A680" s="4" t="s">
        <v>749</v>
      </c>
      <c r="B680" s="4" t="s">
        <v>750</v>
      </c>
      <c r="C680" s="4" t="s">
        <v>749</v>
      </c>
      <c r="D680" s="4" t="s">
        <v>4752</v>
      </c>
      <c r="E680" s="4" t="s">
        <v>4753</v>
      </c>
      <c r="F680" s="4" t="s">
        <v>4752</v>
      </c>
    </row>
    <row r="681" spans="1:6" ht="14.4" thickBot="1" x14ac:dyDescent="0.35">
      <c r="A681" s="4" t="s">
        <v>749</v>
      </c>
      <c r="B681" s="4" t="s">
        <v>750</v>
      </c>
      <c r="C681" s="4" t="s">
        <v>749</v>
      </c>
      <c r="D681" s="4" t="s">
        <v>1816</v>
      </c>
      <c r="E681" s="4" t="s">
        <v>1817</v>
      </c>
      <c r="F681" s="4" t="s">
        <v>1816</v>
      </c>
    </row>
    <row r="682" spans="1:6" ht="14.4" thickBot="1" x14ac:dyDescent="0.35">
      <c r="A682" s="4" t="s">
        <v>749</v>
      </c>
      <c r="B682" s="4" t="s">
        <v>750</v>
      </c>
      <c r="C682" s="4" t="s">
        <v>749</v>
      </c>
      <c r="D682" s="4" t="s">
        <v>3236</v>
      </c>
      <c r="E682" s="4" t="s">
        <v>3237</v>
      </c>
      <c r="F682" s="4" t="s">
        <v>3236</v>
      </c>
    </row>
    <row r="683" spans="1:6" ht="14.4" thickBot="1" x14ac:dyDescent="0.35">
      <c r="A683" s="4" t="s">
        <v>749</v>
      </c>
      <c r="B683" s="4" t="s">
        <v>750</v>
      </c>
      <c r="C683" s="4" t="s">
        <v>749</v>
      </c>
      <c r="D683" s="4" t="s">
        <v>6148</v>
      </c>
      <c r="E683" s="4" t="s">
        <v>6149</v>
      </c>
      <c r="F683" s="4" t="s">
        <v>6148</v>
      </c>
    </row>
    <row r="684" spans="1:6" ht="14.4" thickBot="1" x14ac:dyDescent="0.35">
      <c r="A684" s="4" t="s">
        <v>749</v>
      </c>
      <c r="B684" s="4" t="s">
        <v>750</v>
      </c>
      <c r="C684" s="4" t="s">
        <v>749</v>
      </c>
      <c r="D684" s="4" t="s">
        <v>4051</v>
      </c>
      <c r="E684" s="4" t="s">
        <v>4052</v>
      </c>
      <c r="F684" s="4" t="s">
        <v>4051</v>
      </c>
    </row>
    <row r="685" spans="1:6" ht="14.4" thickBot="1" x14ac:dyDescent="0.35">
      <c r="A685" s="4" t="s">
        <v>749</v>
      </c>
      <c r="B685" s="4" t="s">
        <v>750</v>
      </c>
      <c r="C685" s="4" t="s">
        <v>749</v>
      </c>
      <c r="D685" s="4" t="s">
        <v>4750</v>
      </c>
      <c r="E685" s="4" t="s">
        <v>4751</v>
      </c>
      <c r="F685" s="4" t="s">
        <v>4750</v>
      </c>
    </row>
    <row r="686" spans="1:6" ht="14.4" thickBot="1" x14ac:dyDescent="0.35">
      <c r="A686" s="4" t="s">
        <v>749</v>
      </c>
      <c r="B686" s="4" t="s">
        <v>750</v>
      </c>
      <c r="C686" s="4" t="s">
        <v>749</v>
      </c>
      <c r="D686" s="4" t="s">
        <v>6146</v>
      </c>
      <c r="E686" s="4" t="s">
        <v>6147</v>
      </c>
      <c r="F686" s="4" t="s">
        <v>6146</v>
      </c>
    </row>
    <row r="687" spans="1:6" ht="14.4" thickBot="1" x14ac:dyDescent="0.35">
      <c r="A687" s="4" t="s">
        <v>749</v>
      </c>
      <c r="B687" s="4" t="s">
        <v>750</v>
      </c>
      <c r="C687" s="4" t="s">
        <v>749</v>
      </c>
      <c r="D687" s="4" t="s">
        <v>3242</v>
      </c>
      <c r="E687" s="4" t="s">
        <v>3243</v>
      </c>
      <c r="F687" s="4" t="s">
        <v>3242</v>
      </c>
    </row>
    <row r="688" spans="1:6" ht="14.4" thickBot="1" x14ac:dyDescent="0.35">
      <c r="A688" s="4" t="s">
        <v>749</v>
      </c>
      <c r="B688" s="4" t="s">
        <v>750</v>
      </c>
      <c r="C688" s="4" t="s">
        <v>749</v>
      </c>
      <c r="D688" s="4" t="s">
        <v>6144</v>
      </c>
      <c r="E688" s="4" t="s">
        <v>6145</v>
      </c>
      <c r="F688" s="4" t="s">
        <v>6144</v>
      </c>
    </row>
    <row r="689" spans="1:6" ht="14.4" thickBot="1" x14ac:dyDescent="0.35">
      <c r="A689" s="4" t="s">
        <v>749</v>
      </c>
      <c r="B689" s="4" t="s">
        <v>750</v>
      </c>
      <c r="C689" s="4" t="s">
        <v>749</v>
      </c>
      <c r="D689" s="4" t="s">
        <v>2478</v>
      </c>
      <c r="E689" s="4" t="s">
        <v>2479</v>
      </c>
      <c r="F689" s="4" t="s">
        <v>2478</v>
      </c>
    </row>
    <row r="690" spans="1:6" ht="14.4" thickBot="1" x14ac:dyDescent="0.35">
      <c r="A690" s="4" t="s">
        <v>749</v>
      </c>
      <c r="B690" s="4" t="s">
        <v>750</v>
      </c>
      <c r="C690" s="4" t="s">
        <v>749</v>
      </c>
      <c r="D690" s="4" t="s">
        <v>5448</v>
      </c>
      <c r="E690" s="4" t="s">
        <v>5449</v>
      </c>
      <c r="F690" s="4" t="s">
        <v>5448</v>
      </c>
    </row>
    <row r="691" spans="1:6" ht="14.4" thickBot="1" x14ac:dyDescent="0.35">
      <c r="A691" s="4" t="s">
        <v>749</v>
      </c>
      <c r="B691" s="4" t="s">
        <v>750</v>
      </c>
      <c r="C691" s="4" t="s">
        <v>749</v>
      </c>
      <c r="D691" s="4" t="s">
        <v>4748</v>
      </c>
      <c r="E691" s="4" t="s">
        <v>4749</v>
      </c>
      <c r="F691" s="4" t="s">
        <v>4748</v>
      </c>
    </row>
    <row r="692" spans="1:6" ht="14.4" thickBot="1" x14ac:dyDescent="0.35">
      <c r="A692" s="4" t="s">
        <v>749</v>
      </c>
      <c r="B692" s="4" t="s">
        <v>750</v>
      </c>
      <c r="C692" s="4" t="s">
        <v>749</v>
      </c>
      <c r="D692" s="4" t="s">
        <v>6142</v>
      </c>
      <c r="E692" s="4" t="s">
        <v>6143</v>
      </c>
      <c r="F692" s="4" t="s">
        <v>6142</v>
      </c>
    </row>
    <row r="693" spans="1:6" ht="14.4" thickBot="1" x14ac:dyDescent="0.35">
      <c r="A693" s="4" t="s">
        <v>749</v>
      </c>
      <c r="B693" s="4" t="s">
        <v>750</v>
      </c>
      <c r="C693" s="4" t="s">
        <v>749</v>
      </c>
      <c r="D693" s="4" t="s">
        <v>4049</v>
      </c>
      <c r="E693" s="4" t="s">
        <v>4050</v>
      </c>
      <c r="F693" s="4" t="s">
        <v>4049</v>
      </c>
    </row>
    <row r="694" spans="1:6" ht="14.4" thickBot="1" x14ac:dyDescent="0.35">
      <c r="A694" s="4" t="s">
        <v>749</v>
      </c>
      <c r="B694" s="4" t="s">
        <v>750</v>
      </c>
      <c r="C694" s="4" t="s">
        <v>749</v>
      </c>
      <c r="D694" s="4" t="s">
        <v>938</v>
      </c>
      <c r="E694" s="4" t="s">
        <v>939</v>
      </c>
      <c r="F694" s="4" t="s">
        <v>938</v>
      </c>
    </row>
    <row r="695" spans="1:6" ht="14.4" thickBot="1" x14ac:dyDescent="0.35">
      <c r="A695" s="4" t="s">
        <v>749</v>
      </c>
      <c r="B695" s="4" t="s">
        <v>750</v>
      </c>
      <c r="C695" s="4" t="s">
        <v>749</v>
      </c>
      <c r="D695" s="4" t="s">
        <v>944</v>
      </c>
      <c r="E695" s="4" t="s">
        <v>945</v>
      </c>
      <c r="F695" s="4" t="s">
        <v>944</v>
      </c>
    </row>
    <row r="696" spans="1:6" ht="14.4" thickBot="1" x14ac:dyDescent="0.35">
      <c r="A696" s="4" t="s">
        <v>749</v>
      </c>
      <c r="B696" s="4" t="s">
        <v>750</v>
      </c>
      <c r="C696" s="4" t="s">
        <v>749</v>
      </c>
      <c r="D696" s="4" t="s">
        <v>3240</v>
      </c>
      <c r="E696" s="4" t="s">
        <v>3241</v>
      </c>
      <c r="F696" s="4" t="s">
        <v>3240</v>
      </c>
    </row>
    <row r="697" spans="1:6" ht="14.4" thickBot="1" x14ac:dyDescent="0.35">
      <c r="A697" s="4" t="s">
        <v>749</v>
      </c>
      <c r="B697" s="4" t="s">
        <v>750</v>
      </c>
      <c r="C697" s="4" t="s">
        <v>749</v>
      </c>
      <c r="D697" s="4" t="s">
        <v>6140</v>
      </c>
      <c r="E697" s="4" t="s">
        <v>6141</v>
      </c>
      <c r="F697" s="4" t="s">
        <v>6140</v>
      </c>
    </row>
    <row r="698" spans="1:6" ht="14.4" thickBot="1" x14ac:dyDescent="0.35">
      <c r="A698" s="4" t="s">
        <v>749</v>
      </c>
      <c r="B698" s="4" t="s">
        <v>750</v>
      </c>
      <c r="C698" s="4" t="s">
        <v>749</v>
      </c>
      <c r="D698" s="4" t="s">
        <v>3238</v>
      </c>
      <c r="E698" s="4" t="s">
        <v>3239</v>
      </c>
      <c r="F698" s="4" t="s">
        <v>3238</v>
      </c>
    </row>
    <row r="699" spans="1:6" ht="14.4" thickBot="1" x14ac:dyDescent="0.35">
      <c r="A699" s="4" t="s">
        <v>749</v>
      </c>
      <c r="B699" s="4" t="s">
        <v>750</v>
      </c>
      <c r="C699" s="4" t="s">
        <v>749</v>
      </c>
      <c r="D699" s="4" t="s">
        <v>4768</v>
      </c>
      <c r="E699" s="4" t="s">
        <v>4769</v>
      </c>
      <c r="F699" s="4" t="s">
        <v>4768</v>
      </c>
    </row>
    <row r="700" spans="1:6" ht="14.4" thickBot="1" x14ac:dyDescent="0.35">
      <c r="A700" s="4" t="s">
        <v>749</v>
      </c>
      <c r="B700" s="4" t="s">
        <v>750</v>
      </c>
      <c r="C700" s="4" t="s">
        <v>749</v>
      </c>
      <c r="D700" s="4" t="s">
        <v>4045</v>
      </c>
      <c r="E700" s="4" t="s">
        <v>4046</v>
      </c>
      <c r="F700" s="4" t="s">
        <v>4045</v>
      </c>
    </row>
    <row r="701" spans="1:6" ht="14.4" thickBot="1" x14ac:dyDescent="0.35">
      <c r="A701" s="4" t="s">
        <v>749</v>
      </c>
      <c r="B701" s="4" t="s">
        <v>750</v>
      </c>
      <c r="C701" s="4" t="s">
        <v>749</v>
      </c>
      <c r="D701" s="4" t="s">
        <v>2474</v>
      </c>
      <c r="E701" s="4" t="s">
        <v>2475</v>
      </c>
      <c r="F701" s="4" t="s">
        <v>2474</v>
      </c>
    </row>
    <row r="702" spans="1:6" ht="14.4" thickBot="1" x14ac:dyDescent="0.35">
      <c r="A702" s="4" t="s">
        <v>749</v>
      </c>
      <c r="B702" s="4" t="s">
        <v>750</v>
      </c>
      <c r="C702" s="4" t="s">
        <v>749</v>
      </c>
      <c r="D702" s="4" t="s">
        <v>755</v>
      </c>
      <c r="E702" s="4" t="s">
        <v>756</v>
      </c>
      <c r="F702" s="4" t="s">
        <v>755</v>
      </c>
    </row>
    <row r="703" spans="1:6" ht="14.4" thickBot="1" x14ac:dyDescent="0.35">
      <c r="A703" s="4" t="s">
        <v>749</v>
      </c>
      <c r="B703" s="4" t="s">
        <v>750</v>
      </c>
      <c r="C703" s="4" t="s">
        <v>749</v>
      </c>
      <c r="D703" s="4" t="s">
        <v>2476</v>
      </c>
      <c r="E703" s="4" t="s">
        <v>2477</v>
      </c>
      <c r="F703" s="4" t="s">
        <v>2476</v>
      </c>
    </row>
    <row r="704" spans="1:6" ht="14.4" thickBot="1" x14ac:dyDescent="0.35">
      <c r="A704" s="4" t="s">
        <v>749</v>
      </c>
      <c r="B704" s="4" t="s">
        <v>750</v>
      </c>
      <c r="C704" s="4" t="s">
        <v>749</v>
      </c>
      <c r="D704" s="4" t="s">
        <v>3109</v>
      </c>
      <c r="E704" s="4" t="s">
        <v>3110</v>
      </c>
      <c r="F704" s="4" t="s">
        <v>3109</v>
      </c>
    </row>
    <row r="705" spans="1:6" ht="14.4" thickBot="1" x14ac:dyDescent="0.35">
      <c r="A705" s="4" t="s">
        <v>1314</v>
      </c>
      <c r="B705" s="4" t="s">
        <v>1315</v>
      </c>
      <c r="C705" s="4" t="s">
        <v>1314</v>
      </c>
      <c r="D705" s="4" t="s">
        <v>2830</v>
      </c>
      <c r="E705" s="4" t="s">
        <v>2831</v>
      </c>
      <c r="F705" s="4" t="s">
        <v>2830</v>
      </c>
    </row>
    <row r="706" spans="1:6" ht="14.4" thickBot="1" x14ac:dyDescent="0.35">
      <c r="A706" s="4" t="s">
        <v>1314</v>
      </c>
      <c r="B706" s="4" t="s">
        <v>1315</v>
      </c>
      <c r="C706" s="4" t="s">
        <v>1314</v>
      </c>
      <c r="D706" s="4" t="s">
        <v>1318</v>
      </c>
      <c r="E706" s="4" t="s">
        <v>1319</v>
      </c>
      <c r="F706" s="4" t="s">
        <v>1318</v>
      </c>
    </row>
    <row r="707" spans="1:6" ht="14.4" thickBot="1" x14ac:dyDescent="0.35">
      <c r="A707" s="4" t="s">
        <v>1314</v>
      </c>
      <c r="B707" s="4" t="s">
        <v>1315</v>
      </c>
      <c r="C707" s="4" t="s">
        <v>1314</v>
      </c>
      <c r="D707" s="4" t="s">
        <v>3578</v>
      </c>
      <c r="E707" s="4" t="s">
        <v>3579</v>
      </c>
      <c r="F707" s="4" t="s">
        <v>3578</v>
      </c>
    </row>
    <row r="708" spans="1:6" ht="14.4" thickBot="1" x14ac:dyDescent="0.35">
      <c r="A708" s="4" t="s">
        <v>1314</v>
      </c>
      <c r="B708" s="4" t="s">
        <v>1315</v>
      </c>
      <c r="C708" s="4" t="s">
        <v>1314</v>
      </c>
      <c r="D708" s="4" t="s">
        <v>5042</v>
      </c>
      <c r="E708" s="4" t="s">
        <v>5043</v>
      </c>
      <c r="F708" s="4" t="s">
        <v>5042</v>
      </c>
    </row>
    <row r="709" spans="1:6" ht="14.4" thickBot="1" x14ac:dyDescent="0.35">
      <c r="A709" s="4" t="s">
        <v>1314</v>
      </c>
      <c r="B709" s="4" t="s">
        <v>1315</v>
      </c>
      <c r="C709" s="4" t="s">
        <v>1314</v>
      </c>
      <c r="D709" s="4" t="s">
        <v>4376</v>
      </c>
      <c r="E709" s="4" t="s">
        <v>4377</v>
      </c>
      <c r="F709" s="4" t="s">
        <v>4376</v>
      </c>
    </row>
    <row r="710" spans="1:6" ht="14.4" thickBot="1" x14ac:dyDescent="0.35">
      <c r="A710" s="4" t="s">
        <v>1314</v>
      </c>
      <c r="B710" s="4" t="s">
        <v>1315</v>
      </c>
      <c r="C710" s="4" t="s">
        <v>1314</v>
      </c>
      <c r="D710" s="4" t="s">
        <v>1316</v>
      </c>
      <c r="E710" s="4" t="s">
        <v>1317</v>
      </c>
      <c r="F710" s="4" t="s">
        <v>1316</v>
      </c>
    </row>
    <row r="711" spans="1:6" ht="14.4" thickBot="1" x14ac:dyDescent="0.35">
      <c r="A711" s="4" t="s">
        <v>1314</v>
      </c>
      <c r="B711" s="4" t="s">
        <v>1315</v>
      </c>
      <c r="C711" s="4" t="s">
        <v>1314</v>
      </c>
      <c r="D711" s="4" t="s">
        <v>2832</v>
      </c>
      <c r="E711" s="4" t="s">
        <v>2833</v>
      </c>
      <c r="F711" s="4" t="s">
        <v>2832</v>
      </c>
    </row>
    <row r="712" spans="1:6" ht="14.4" thickBot="1" x14ac:dyDescent="0.35">
      <c r="A712" s="4" t="s">
        <v>399</v>
      </c>
      <c r="B712" s="4" t="s">
        <v>400</v>
      </c>
      <c r="C712" s="4" t="s">
        <v>399</v>
      </c>
      <c r="D712" s="4" t="s">
        <v>3580</v>
      </c>
      <c r="E712" s="4" t="s">
        <v>3581</v>
      </c>
      <c r="F712" s="4" t="s">
        <v>3580</v>
      </c>
    </row>
    <row r="713" spans="1:6" ht="14.4" thickBot="1" x14ac:dyDescent="0.35">
      <c r="A713" s="4" t="s">
        <v>399</v>
      </c>
      <c r="B713" s="4" t="s">
        <v>400</v>
      </c>
      <c r="C713" s="4" t="s">
        <v>399</v>
      </c>
      <c r="D713" s="4" t="s">
        <v>4378</v>
      </c>
      <c r="E713" s="4" t="s">
        <v>130</v>
      </c>
      <c r="F713" s="4" t="s">
        <v>4378</v>
      </c>
    </row>
    <row r="714" spans="1:6" ht="14.4" thickBot="1" x14ac:dyDescent="0.35">
      <c r="A714" s="4" t="s">
        <v>399</v>
      </c>
      <c r="B714" s="4" t="s">
        <v>400</v>
      </c>
      <c r="C714" s="4" t="s">
        <v>399</v>
      </c>
      <c r="D714" s="4" t="s">
        <v>1320</v>
      </c>
      <c r="E714" s="4" t="s">
        <v>1321</v>
      </c>
      <c r="F714" s="4" t="s">
        <v>1320</v>
      </c>
    </row>
    <row r="715" spans="1:6" ht="14.4" thickBot="1" x14ac:dyDescent="0.35">
      <c r="A715" s="4" t="s">
        <v>399</v>
      </c>
      <c r="B715" s="4" t="s">
        <v>400</v>
      </c>
      <c r="C715" s="4" t="s">
        <v>399</v>
      </c>
      <c r="D715" s="4" t="s">
        <v>401</v>
      </c>
      <c r="E715" s="4" t="s">
        <v>402</v>
      </c>
      <c r="F715" s="4" t="s">
        <v>401</v>
      </c>
    </row>
    <row r="716" spans="1:6" ht="14.4" thickBot="1" x14ac:dyDescent="0.35">
      <c r="A716" s="4" t="s">
        <v>399</v>
      </c>
      <c r="B716" s="4" t="s">
        <v>400</v>
      </c>
      <c r="C716" s="4" t="s">
        <v>399</v>
      </c>
      <c r="D716" s="4" t="s">
        <v>2118</v>
      </c>
      <c r="E716" s="4" t="s">
        <v>2119</v>
      </c>
      <c r="F716" s="4" t="s">
        <v>2118</v>
      </c>
    </row>
    <row r="717" spans="1:6" ht="14.4" thickBot="1" x14ac:dyDescent="0.35">
      <c r="A717" s="4" t="s">
        <v>399</v>
      </c>
      <c r="B717" s="4" t="s">
        <v>400</v>
      </c>
      <c r="C717" s="4" t="s">
        <v>399</v>
      </c>
      <c r="D717" s="4" t="s">
        <v>2116</v>
      </c>
      <c r="E717" s="4" t="s">
        <v>2117</v>
      </c>
      <c r="F717" s="4" t="s">
        <v>2116</v>
      </c>
    </row>
    <row r="718" spans="1:6" ht="14.4" thickBot="1" x14ac:dyDescent="0.35">
      <c r="A718" s="4" t="s">
        <v>399</v>
      </c>
      <c r="B718" s="4" t="s">
        <v>400</v>
      </c>
      <c r="C718" s="4" t="s">
        <v>399</v>
      </c>
      <c r="D718" s="4" t="s">
        <v>5044</v>
      </c>
      <c r="E718" s="4" t="s">
        <v>5045</v>
      </c>
      <c r="F718" s="4" t="s">
        <v>5044</v>
      </c>
    </row>
    <row r="719" spans="1:6" ht="14.4" thickBot="1" x14ac:dyDescent="0.35">
      <c r="A719" s="4" t="s">
        <v>399</v>
      </c>
      <c r="B719" s="4" t="s">
        <v>400</v>
      </c>
      <c r="C719" s="4" t="s">
        <v>399</v>
      </c>
      <c r="D719" s="4" t="s">
        <v>2834</v>
      </c>
      <c r="E719" s="4" t="s">
        <v>2835</v>
      </c>
      <c r="F719" s="4" t="s">
        <v>2834</v>
      </c>
    </row>
    <row r="720" spans="1:6" ht="14.4" thickBot="1" x14ac:dyDescent="0.35">
      <c r="A720" s="4" t="s">
        <v>404</v>
      </c>
      <c r="B720" s="4" t="s">
        <v>405</v>
      </c>
      <c r="C720" s="4" t="s">
        <v>404</v>
      </c>
      <c r="D720" s="4" t="s">
        <v>406</v>
      </c>
      <c r="E720" s="4" t="s">
        <v>407</v>
      </c>
      <c r="F720" s="4" t="s">
        <v>406</v>
      </c>
    </row>
    <row r="721" spans="1:6" ht="14.4" thickBot="1" x14ac:dyDescent="0.35">
      <c r="A721" s="4" t="s">
        <v>404</v>
      </c>
      <c r="B721" s="4" t="s">
        <v>405</v>
      </c>
      <c r="C721" s="4" t="s">
        <v>404</v>
      </c>
      <c r="D721" s="4" t="s">
        <v>3582</v>
      </c>
      <c r="E721" s="4" t="s">
        <v>3583</v>
      </c>
      <c r="F721" s="4" t="s">
        <v>3582</v>
      </c>
    </row>
    <row r="722" spans="1:6" ht="14.4" thickBot="1" x14ac:dyDescent="0.35">
      <c r="A722" s="4" t="s">
        <v>767</v>
      </c>
      <c r="B722" s="4" t="s">
        <v>768</v>
      </c>
      <c r="C722" s="4" t="s">
        <v>767</v>
      </c>
      <c r="D722" s="4" t="s">
        <v>3124</v>
      </c>
      <c r="E722" s="4" t="s">
        <v>3125</v>
      </c>
      <c r="F722" s="4" t="s">
        <v>3124</v>
      </c>
    </row>
    <row r="723" spans="1:6" ht="14.4" thickBot="1" x14ac:dyDescent="0.35">
      <c r="A723" s="4" t="s">
        <v>767</v>
      </c>
      <c r="B723" s="4" t="s">
        <v>768</v>
      </c>
      <c r="C723" s="4" t="s">
        <v>767</v>
      </c>
      <c r="D723" s="4" t="s">
        <v>769</v>
      </c>
      <c r="E723" s="4" t="s">
        <v>770</v>
      </c>
      <c r="F723" s="4" t="s">
        <v>769</v>
      </c>
    </row>
    <row r="724" spans="1:6" ht="14.4" thickBot="1" x14ac:dyDescent="0.35">
      <c r="A724" s="4" t="s">
        <v>1323</v>
      </c>
      <c r="B724" s="4" t="s">
        <v>1324</v>
      </c>
      <c r="C724" s="4" t="s">
        <v>1323</v>
      </c>
      <c r="D724" s="4" t="s">
        <v>1325</v>
      </c>
      <c r="E724" s="4" t="s">
        <v>1326</v>
      </c>
      <c r="F724" s="4" t="s">
        <v>1325</v>
      </c>
    </row>
    <row r="725" spans="1:6" ht="14.4" thickBot="1" x14ac:dyDescent="0.35">
      <c r="A725" s="4" t="s">
        <v>1323</v>
      </c>
      <c r="B725" s="4" t="s">
        <v>1324</v>
      </c>
      <c r="C725" s="4" t="s">
        <v>1323</v>
      </c>
      <c r="D725" s="4" t="s">
        <v>2120</v>
      </c>
      <c r="E725" s="4" t="s">
        <v>2121</v>
      </c>
      <c r="F725" s="4" t="s">
        <v>2120</v>
      </c>
    </row>
    <row r="726" spans="1:6" ht="14.4" thickBot="1" x14ac:dyDescent="0.35">
      <c r="A726" s="4" t="s">
        <v>1323</v>
      </c>
      <c r="B726" s="4" t="s">
        <v>1324</v>
      </c>
      <c r="C726" s="4" t="s">
        <v>1323</v>
      </c>
      <c r="D726" s="4" t="s">
        <v>5046</v>
      </c>
      <c r="E726" s="4" t="s">
        <v>5047</v>
      </c>
      <c r="F726" s="4" t="s">
        <v>5046</v>
      </c>
    </row>
    <row r="727" spans="1:6" ht="14.4" thickBot="1" x14ac:dyDescent="0.35">
      <c r="A727" s="4" t="s">
        <v>1323</v>
      </c>
      <c r="B727" s="4" t="s">
        <v>1324</v>
      </c>
      <c r="C727" s="4" t="s">
        <v>1323</v>
      </c>
      <c r="D727" s="4" t="s">
        <v>3584</v>
      </c>
      <c r="E727" s="4" t="s">
        <v>3585</v>
      </c>
      <c r="F727" s="4" t="s">
        <v>3584</v>
      </c>
    </row>
    <row r="728" spans="1:6" ht="14.4" thickBot="1" x14ac:dyDescent="0.35">
      <c r="A728" s="4" t="s">
        <v>1323</v>
      </c>
      <c r="B728" s="4" t="s">
        <v>1324</v>
      </c>
      <c r="C728" s="4" t="s">
        <v>1323</v>
      </c>
      <c r="D728" s="4" t="s">
        <v>2836</v>
      </c>
      <c r="E728" s="4" t="s">
        <v>2837</v>
      </c>
      <c r="F728" s="4" t="s">
        <v>2836</v>
      </c>
    </row>
    <row r="729" spans="1:6" ht="14.4" thickBot="1" x14ac:dyDescent="0.35">
      <c r="A729" s="4" t="s">
        <v>555</v>
      </c>
      <c r="B729" s="4" t="s">
        <v>556</v>
      </c>
      <c r="C729" s="4" t="s">
        <v>555</v>
      </c>
      <c r="D729" s="4" t="s">
        <v>5050</v>
      </c>
      <c r="E729" s="4" t="s">
        <v>5051</v>
      </c>
      <c r="F729" s="4" t="s">
        <v>5050</v>
      </c>
    </row>
    <row r="730" spans="1:6" ht="14.4" thickBot="1" x14ac:dyDescent="0.35">
      <c r="A730" s="4" t="s">
        <v>555</v>
      </c>
      <c r="B730" s="4" t="s">
        <v>556</v>
      </c>
      <c r="C730" s="4" t="s">
        <v>555</v>
      </c>
      <c r="D730" s="4" t="s">
        <v>4381</v>
      </c>
      <c r="E730" s="4" t="s">
        <v>4382</v>
      </c>
      <c r="F730" s="4" t="s">
        <v>4381</v>
      </c>
    </row>
    <row r="731" spans="1:6" ht="14.4" thickBot="1" x14ac:dyDescent="0.35">
      <c r="A731" s="4" t="s">
        <v>555</v>
      </c>
      <c r="B731" s="4" t="s">
        <v>556</v>
      </c>
      <c r="C731" s="4" t="s">
        <v>555</v>
      </c>
      <c r="D731" s="4" t="s">
        <v>5048</v>
      </c>
      <c r="E731" s="4" t="s">
        <v>5049</v>
      </c>
      <c r="F731" s="4" t="s">
        <v>5048</v>
      </c>
    </row>
    <row r="732" spans="1:6" ht="14.4" thickBot="1" x14ac:dyDescent="0.35">
      <c r="A732" s="4" t="s">
        <v>555</v>
      </c>
      <c r="B732" s="4" t="s">
        <v>556</v>
      </c>
      <c r="C732" s="4" t="s">
        <v>555</v>
      </c>
      <c r="D732" s="4" t="s">
        <v>557</v>
      </c>
      <c r="E732" s="4" t="s">
        <v>558</v>
      </c>
      <c r="F732" s="4" t="s">
        <v>557</v>
      </c>
    </row>
    <row r="733" spans="1:6" ht="14.4" thickBot="1" x14ac:dyDescent="0.35">
      <c r="A733" s="4" t="s">
        <v>555</v>
      </c>
      <c r="B733" s="4" t="s">
        <v>556</v>
      </c>
      <c r="C733" s="4" t="s">
        <v>555</v>
      </c>
      <c r="D733" s="4" t="s">
        <v>4379</v>
      </c>
      <c r="E733" s="4" t="s">
        <v>4380</v>
      </c>
      <c r="F733" s="4" t="s">
        <v>4379</v>
      </c>
    </row>
    <row r="734" spans="1:6" ht="14.4" thickBot="1" x14ac:dyDescent="0.35">
      <c r="A734" s="4" t="s">
        <v>555</v>
      </c>
      <c r="B734" s="4" t="s">
        <v>556</v>
      </c>
      <c r="C734" s="4" t="s">
        <v>555</v>
      </c>
      <c r="D734" s="4" t="s">
        <v>1327</v>
      </c>
      <c r="E734" s="4" t="s">
        <v>1328</v>
      </c>
      <c r="F734" s="4" t="s">
        <v>1327</v>
      </c>
    </row>
    <row r="735" spans="1:6" ht="14.4" thickBot="1" x14ac:dyDescent="0.35">
      <c r="A735" s="4" t="s">
        <v>771</v>
      </c>
      <c r="B735" s="4" t="s">
        <v>772</v>
      </c>
      <c r="C735" s="4" t="s">
        <v>771</v>
      </c>
      <c r="D735" s="4" t="s">
        <v>1818</v>
      </c>
      <c r="E735" s="4" t="s">
        <v>1819</v>
      </c>
      <c r="F735" s="4" t="s">
        <v>1818</v>
      </c>
    </row>
    <row r="736" spans="1:6" ht="14.4" thickBot="1" x14ac:dyDescent="0.35">
      <c r="A736" s="4" t="s">
        <v>771</v>
      </c>
      <c r="B736" s="4" t="s">
        <v>772</v>
      </c>
      <c r="C736" s="4" t="s">
        <v>771</v>
      </c>
      <c r="D736" s="4" t="s">
        <v>773</v>
      </c>
      <c r="E736" s="4" t="s">
        <v>774</v>
      </c>
      <c r="F736" s="4" t="s">
        <v>773</v>
      </c>
    </row>
    <row r="737" spans="1:6" ht="14.4" thickBot="1" x14ac:dyDescent="0.35">
      <c r="A737" s="4" t="s">
        <v>771</v>
      </c>
      <c r="B737" s="4" t="s">
        <v>772</v>
      </c>
      <c r="C737" s="4" t="s">
        <v>771</v>
      </c>
      <c r="D737" s="4" t="s">
        <v>2354</v>
      </c>
      <c r="E737" s="4" t="s">
        <v>2355</v>
      </c>
      <c r="F737" s="4" t="s">
        <v>2354</v>
      </c>
    </row>
    <row r="738" spans="1:6" ht="14.4" thickBot="1" x14ac:dyDescent="0.35">
      <c r="A738" s="4" t="s">
        <v>3805</v>
      </c>
      <c r="B738" s="4" t="s">
        <v>3806</v>
      </c>
      <c r="C738" s="4" t="s">
        <v>3805</v>
      </c>
      <c r="D738" s="4" t="s">
        <v>5929</v>
      </c>
      <c r="E738" s="4" t="s">
        <v>5930</v>
      </c>
      <c r="F738" s="4" t="s">
        <v>5929</v>
      </c>
    </row>
    <row r="739" spans="1:6" ht="14.4" thickBot="1" x14ac:dyDescent="0.35">
      <c r="A739" s="4" t="s">
        <v>3805</v>
      </c>
      <c r="B739" s="4" t="s">
        <v>3806</v>
      </c>
      <c r="C739" s="4" t="s">
        <v>3805</v>
      </c>
      <c r="D739" s="4" t="s">
        <v>3809</v>
      </c>
      <c r="E739" s="4" t="s">
        <v>3810</v>
      </c>
      <c r="F739" s="4" t="s">
        <v>3809</v>
      </c>
    </row>
    <row r="740" spans="1:6" ht="14.4" thickBot="1" x14ac:dyDescent="0.35">
      <c r="A740" s="4" t="s">
        <v>3805</v>
      </c>
      <c r="B740" s="4" t="s">
        <v>3806</v>
      </c>
      <c r="C740" s="4" t="s">
        <v>3805</v>
      </c>
      <c r="D740" s="4" t="s">
        <v>4555</v>
      </c>
      <c r="E740" s="4" t="s">
        <v>4556</v>
      </c>
      <c r="F740" s="4" t="s">
        <v>4555</v>
      </c>
    </row>
    <row r="741" spans="1:6" ht="14.4" thickBot="1" x14ac:dyDescent="0.35">
      <c r="A741" s="4" t="s">
        <v>3805</v>
      </c>
      <c r="B741" s="4" t="s">
        <v>3806</v>
      </c>
      <c r="C741" s="4" t="s">
        <v>3805</v>
      </c>
      <c r="D741" s="4" t="s">
        <v>3807</v>
      </c>
      <c r="E741" s="4" t="s">
        <v>3808</v>
      </c>
      <c r="F741" s="4" t="s">
        <v>3807</v>
      </c>
    </row>
    <row r="742" spans="1:6" ht="14.4" thickBot="1" x14ac:dyDescent="0.35">
      <c r="A742" s="4" t="s">
        <v>1859</v>
      </c>
      <c r="B742" s="4" t="s">
        <v>1860</v>
      </c>
      <c r="C742" s="4" t="s">
        <v>1859</v>
      </c>
      <c r="D742" s="4" t="s">
        <v>4706</v>
      </c>
      <c r="E742" s="4" t="s">
        <v>4707</v>
      </c>
      <c r="F742" s="4" t="s">
        <v>4706</v>
      </c>
    </row>
    <row r="743" spans="1:6" ht="14.4" thickBot="1" x14ac:dyDescent="0.35">
      <c r="A743" s="4" t="s">
        <v>1859</v>
      </c>
      <c r="B743" s="4" t="s">
        <v>1860</v>
      </c>
      <c r="C743" s="4" t="s">
        <v>1859</v>
      </c>
      <c r="D743" s="4" t="s">
        <v>1861</v>
      </c>
      <c r="E743" s="4" t="s">
        <v>1862</v>
      </c>
      <c r="F743" s="4" t="s">
        <v>1861</v>
      </c>
    </row>
    <row r="744" spans="1:6" ht="14.4" thickBot="1" x14ac:dyDescent="0.35">
      <c r="A744" s="4" t="s">
        <v>3811</v>
      </c>
      <c r="B744" s="4" t="s">
        <v>3812</v>
      </c>
      <c r="C744" s="4" t="s">
        <v>3811</v>
      </c>
      <c r="D744" s="4" t="s">
        <v>3813</v>
      </c>
      <c r="E744" s="4" t="s">
        <v>3814</v>
      </c>
      <c r="F744" s="4" t="s">
        <v>3813</v>
      </c>
    </row>
    <row r="745" spans="1:6" ht="14.4" thickBot="1" x14ac:dyDescent="0.35">
      <c r="A745" s="4" t="s">
        <v>3811</v>
      </c>
      <c r="B745" s="4" t="s">
        <v>3812</v>
      </c>
      <c r="C745" s="4" t="s">
        <v>3811</v>
      </c>
      <c r="D745" s="4" t="s">
        <v>5252</v>
      </c>
      <c r="E745" s="4" t="s">
        <v>5253</v>
      </c>
      <c r="F745" s="4" t="s">
        <v>5252</v>
      </c>
    </row>
    <row r="746" spans="1:6" ht="14.4" thickBot="1" x14ac:dyDescent="0.35">
      <c r="A746" s="4" t="s">
        <v>3811</v>
      </c>
      <c r="B746" s="4" t="s">
        <v>3812</v>
      </c>
      <c r="C746" s="4" t="s">
        <v>3811</v>
      </c>
      <c r="D746" s="4" t="s">
        <v>5931</v>
      </c>
      <c r="E746" s="4" t="s">
        <v>5932</v>
      </c>
      <c r="F746" s="4" t="s">
        <v>5931</v>
      </c>
    </row>
    <row r="747" spans="1:6" ht="14.4" thickBot="1" x14ac:dyDescent="0.35">
      <c r="A747" s="4" t="s">
        <v>479</v>
      </c>
      <c r="B747" s="4" t="s">
        <v>663</v>
      </c>
      <c r="C747" s="4" t="s">
        <v>479</v>
      </c>
      <c r="D747" s="4" t="s">
        <v>3815</v>
      </c>
      <c r="E747" s="4" t="s">
        <v>3816</v>
      </c>
      <c r="F747" s="4" t="s">
        <v>3815</v>
      </c>
    </row>
    <row r="748" spans="1:6" ht="14.4" thickBot="1" x14ac:dyDescent="0.35">
      <c r="A748" s="4" t="s">
        <v>479</v>
      </c>
      <c r="B748" s="4" t="s">
        <v>663</v>
      </c>
      <c r="C748" s="4" t="s">
        <v>479</v>
      </c>
      <c r="D748" s="4" t="s">
        <v>5933</v>
      </c>
      <c r="E748" s="4" t="s">
        <v>5934</v>
      </c>
      <c r="F748" s="4" t="s">
        <v>5933</v>
      </c>
    </row>
    <row r="749" spans="1:6" ht="14.4" thickBot="1" x14ac:dyDescent="0.35">
      <c r="A749" s="4" t="s">
        <v>479</v>
      </c>
      <c r="B749" s="4" t="s">
        <v>663</v>
      </c>
      <c r="C749" s="4" t="s">
        <v>479</v>
      </c>
      <c r="D749" s="4" t="s">
        <v>3049</v>
      </c>
      <c r="E749" s="4" t="s">
        <v>3050</v>
      </c>
      <c r="F749" s="4" t="s">
        <v>3049</v>
      </c>
    </row>
    <row r="750" spans="1:6" ht="14.4" thickBot="1" x14ac:dyDescent="0.35">
      <c r="A750" s="4" t="s">
        <v>479</v>
      </c>
      <c r="B750" s="4" t="s">
        <v>663</v>
      </c>
      <c r="C750" s="4" t="s">
        <v>479</v>
      </c>
      <c r="D750" s="4" t="s">
        <v>664</v>
      </c>
      <c r="E750" s="4" t="s">
        <v>665</v>
      </c>
      <c r="F750" s="4" t="s">
        <v>664</v>
      </c>
    </row>
    <row r="751" spans="1:6" ht="14.4" thickBot="1" x14ac:dyDescent="0.35">
      <c r="A751" s="4" t="s">
        <v>1914</v>
      </c>
      <c r="B751" s="4" t="s">
        <v>3818</v>
      </c>
      <c r="C751" s="4" t="s">
        <v>1914</v>
      </c>
      <c r="D751" s="4" t="s">
        <v>3819</v>
      </c>
      <c r="E751" s="4" t="s">
        <v>3820</v>
      </c>
      <c r="F751" s="4" t="s">
        <v>3819</v>
      </c>
    </row>
    <row r="752" spans="1:6" ht="14.4" thickBot="1" x14ac:dyDescent="0.35">
      <c r="A752" s="4" t="s">
        <v>1914</v>
      </c>
      <c r="B752" s="4" t="s">
        <v>3818</v>
      </c>
      <c r="C752" s="4" t="s">
        <v>1914</v>
      </c>
      <c r="D752" s="4" t="s">
        <v>4557</v>
      </c>
      <c r="E752" s="4" t="s">
        <v>4558</v>
      </c>
      <c r="F752" s="4" t="s">
        <v>4557</v>
      </c>
    </row>
    <row r="753" spans="1:6" ht="14.4" thickBot="1" x14ac:dyDescent="0.35">
      <c r="A753" s="4" t="s">
        <v>1914</v>
      </c>
      <c r="B753" s="4" t="s">
        <v>3818</v>
      </c>
      <c r="C753" s="4" t="s">
        <v>1914</v>
      </c>
      <c r="D753" s="4" t="s">
        <v>4559</v>
      </c>
      <c r="E753" s="4" t="s">
        <v>4560</v>
      </c>
      <c r="F753" s="4" t="s">
        <v>4559</v>
      </c>
    </row>
    <row r="754" spans="1:6" ht="14.4" thickBot="1" x14ac:dyDescent="0.35">
      <c r="A754" s="4" t="s">
        <v>776</v>
      </c>
      <c r="B754" s="4" t="s">
        <v>777</v>
      </c>
      <c r="C754" s="4" t="s">
        <v>776</v>
      </c>
      <c r="D754" s="4" t="s">
        <v>4638</v>
      </c>
      <c r="E754" s="4" t="s">
        <v>4639</v>
      </c>
      <c r="F754" s="4" t="s">
        <v>4638</v>
      </c>
    </row>
    <row r="755" spans="1:6" ht="14.4" thickBot="1" x14ac:dyDescent="0.35">
      <c r="A755" s="4" t="s">
        <v>776</v>
      </c>
      <c r="B755" s="4" t="s">
        <v>777</v>
      </c>
      <c r="C755" s="4" t="s">
        <v>776</v>
      </c>
      <c r="D755" s="4" t="s">
        <v>3128</v>
      </c>
      <c r="E755" s="4" t="s">
        <v>3129</v>
      </c>
      <c r="F755" s="4" t="s">
        <v>3128</v>
      </c>
    </row>
    <row r="756" spans="1:6" ht="14.4" thickBot="1" x14ac:dyDescent="0.35">
      <c r="A756" s="4" t="s">
        <v>776</v>
      </c>
      <c r="B756" s="4" t="s">
        <v>777</v>
      </c>
      <c r="C756" s="4" t="s">
        <v>776</v>
      </c>
      <c r="D756" s="4" t="s">
        <v>5329</v>
      </c>
      <c r="E756" s="4" t="s">
        <v>5330</v>
      </c>
      <c r="F756" s="4" t="s">
        <v>5329</v>
      </c>
    </row>
    <row r="757" spans="1:6" ht="14.4" thickBot="1" x14ac:dyDescent="0.35">
      <c r="A757" s="4" t="s">
        <v>776</v>
      </c>
      <c r="B757" s="4" t="s">
        <v>777</v>
      </c>
      <c r="C757" s="4" t="s">
        <v>776</v>
      </c>
      <c r="D757" s="4" t="s">
        <v>5327</v>
      </c>
      <c r="E757" s="4" t="s">
        <v>5328</v>
      </c>
      <c r="F757" s="4" t="s">
        <v>5327</v>
      </c>
    </row>
    <row r="758" spans="1:6" ht="14.4" thickBot="1" x14ac:dyDescent="0.35">
      <c r="A758" s="4" t="s">
        <v>776</v>
      </c>
      <c r="B758" s="4" t="s">
        <v>777</v>
      </c>
      <c r="C758" s="4" t="s">
        <v>776</v>
      </c>
      <c r="D758" s="4" t="s">
        <v>4057</v>
      </c>
      <c r="E758" s="4" t="s">
        <v>4058</v>
      </c>
      <c r="F758" s="4" t="s">
        <v>4057</v>
      </c>
    </row>
    <row r="759" spans="1:6" ht="14.4" thickBot="1" x14ac:dyDescent="0.35">
      <c r="A759" s="4" t="s">
        <v>776</v>
      </c>
      <c r="B759" s="4" t="s">
        <v>777</v>
      </c>
      <c r="C759" s="4" t="s">
        <v>776</v>
      </c>
      <c r="D759" s="4" t="s">
        <v>1822</v>
      </c>
      <c r="E759" s="4" t="s">
        <v>1823</v>
      </c>
      <c r="F759" s="4" t="s">
        <v>1822</v>
      </c>
    </row>
    <row r="760" spans="1:6" ht="14.4" thickBot="1" x14ac:dyDescent="0.35">
      <c r="A760" s="4" t="s">
        <v>776</v>
      </c>
      <c r="B760" s="4" t="s">
        <v>777</v>
      </c>
      <c r="C760" s="4" t="s">
        <v>776</v>
      </c>
      <c r="D760" s="4" t="s">
        <v>778</v>
      </c>
      <c r="E760" s="4" t="s">
        <v>779</v>
      </c>
      <c r="F760" s="4" t="s">
        <v>778</v>
      </c>
    </row>
    <row r="761" spans="1:6" ht="14.4" thickBot="1" x14ac:dyDescent="0.35">
      <c r="A761" s="4" t="s">
        <v>776</v>
      </c>
      <c r="B761" s="4" t="s">
        <v>777</v>
      </c>
      <c r="C761" s="4" t="s">
        <v>776</v>
      </c>
      <c r="D761" s="4" t="s">
        <v>5325</v>
      </c>
      <c r="E761" s="4" t="s">
        <v>5326</v>
      </c>
      <c r="F761" s="4" t="s">
        <v>5325</v>
      </c>
    </row>
    <row r="762" spans="1:6" ht="14.4" thickBot="1" x14ac:dyDescent="0.35">
      <c r="A762" s="4" t="s">
        <v>776</v>
      </c>
      <c r="B762" s="4" t="s">
        <v>777</v>
      </c>
      <c r="C762" s="4" t="s">
        <v>776</v>
      </c>
      <c r="D762" s="4" t="s">
        <v>3921</v>
      </c>
      <c r="E762" s="4" t="s">
        <v>3922</v>
      </c>
      <c r="F762" s="4" t="s">
        <v>3921</v>
      </c>
    </row>
    <row r="763" spans="1:6" ht="14.4" thickBot="1" x14ac:dyDescent="0.35">
      <c r="A763" s="4" t="s">
        <v>776</v>
      </c>
      <c r="B763" s="4" t="s">
        <v>777</v>
      </c>
      <c r="C763" s="4" t="s">
        <v>776</v>
      </c>
      <c r="D763" s="4" t="s">
        <v>780</v>
      </c>
      <c r="E763" s="4" t="s">
        <v>781</v>
      </c>
      <c r="F763" s="4" t="s">
        <v>780</v>
      </c>
    </row>
    <row r="764" spans="1:6" ht="14.4" thickBot="1" x14ac:dyDescent="0.35">
      <c r="A764" s="4" t="s">
        <v>776</v>
      </c>
      <c r="B764" s="4" t="s">
        <v>777</v>
      </c>
      <c r="C764" s="4" t="s">
        <v>776</v>
      </c>
      <c r="D764" s="4" t="s">
        <v>3919</v>
      </c>
      <c r="E764" s="4" t="s">
        <v>3920</v>
      </c>
      <c r="F764" s="4" t="s">
        <v>3919</v>
      </c>
    </row>
    <row r="765" spans="1:6" ht="14.4" thickBot="1" x14ac:dyDescent="0.35">
      <c r="A765" s="4" t="s">
        <v>776</v>
      </c>
      <c r="B765" s="4" t="s">
        <v>777</v>
      </c>
      <c r="C765" s="4" t="s">
        <v>776</v>
      </c>
      <c r="D765" s="4" t="s">
        <v>2356</v>
      </c>
      <c r="E765" s="4" t="s">
        <v>2357</v>
      </c>
      <c r="F765" s="4" t="s">
        <v>2356</v>
      </c>
    </row>
    <row r="766" spans="1:6" ht="14.4" thickBot="1" x14ac:dyDescent="0.35">
      <c r="A766" s="4" t="s">
        <v>776</v>
      </c>
      <c r="B766" s="4" t="s">
        <v>777</v>
      </c>
      <c r="C766" s="4" t="s">
        <v>776</v>
      </c>
      <c r="D766" s="4" t="s">
        <v>3126</v>
      </c>
      <c r="E766" s="4" t="s">
        <v>3127</v>
      </c>
      <c r="F766" s="4" t="s">
        <v>3126</v>
      </c>
    </row>
    <row r="767" spans="1:6" ht="14.4" thickBot="1" x14ac:dyDescent="0.35">
      <c r="A767" s="4" t="s">
        <v>776</v>
      </c>
      <c r="B767" s="4" t="s">
        <v>777</v>
      </c>
      <c r="C767" s="4" t="s">
        <v>776</v>
      </c>
      <c r="D767" s="4" t="s">
        <v>6040</v>
      </c>
      <c r="E767" s="4" t="s">
        <v>6041</v>
      </c>
      <c r="F767" s="4" t="s">
        <v>6040</v>
      </c>
    </row>
    <row r="768" spans="1:6" ht="14.4" thickBot="1" x14ac:dyDescent="0.35">
      <c r="A768" s="4" t="s">
        <v>776</v>
      </c>
      <c r="B768" s="4" t="s">
        <v>777</v>
      </c>
      <c r="C768" s="4" t="s">
        <v>776</v>
      </c>
      <c r="D768" s="4" t="s">
        <v>1672</v>
      </c>
      <c r="E768" s="4" t="s">
        <v>1673</v>
      </c>
      <c r="F768" s="4" t="s">
        <v>1672</v>
      </c>
    </row>
    <row r="769" spans="1:6" ht="14.4" thickBot="1" x14ac:dyDescent="0.35">
      <c r="A769" s="4" t="s">
        <v>776</v>
      </c>
      <c r="B769" s="4" t="s">
        <v>777</v>
      </c>
      <c r="C769" s="4" t="s">
        <v>776</v>
      </c>
      <c r="D769" s="4" t="s">
        <v>1826</v>
      </c>
      <c r="E769" s="4" t="s">
        <v>1827</v>
      </c>
      <c r="F769" s="4" t="s">
        <v>1826</v>
      </c>
    </row>
    <row r="770" spans="1:6" ht="14.4" thickBot="1" x14ac:dyDescent="0.35">
      <c r="A770" s="4" t="s">
        <v>776</v>
      </c>
      <c r="B770" s="4" t="s">
        <v>777</v>
      </c>
      <c r="C770" s="4" t="s">
        <v>776</v>
      </c>
      <c r="D770" s="4" t="s">
        <v>6156</v>
      </c>
      <c r="E770" s="4" t="s">
        <v>6157</v>
      </c>
      <c r="F770" s="4" t="s">
        <v>6156</v>
      </c>
    </row>
    <row r="771" spans="1:6" ht="14.4" thickBot="1" x14ac:dyDescent="0.35">
      <c r="A771" s="4" t="s">
        <v>776</v>
      </c>
      <c r="B771" s="4" t="s">
        <v>777</v>
      </c>
      <c r="C771" s="4" t="s">
        <v>776</v>
      </c>
      <c r="D771" s="4" t="s">
        <v>1824</v>
      </c>
      <c r="E771" s="4" t="s">
        <v>1825</v>
      </c>
      <c r="F771" s="4" t="s">
        <v>1824</v>
      </c>
    </row>
    <row r="772" spans="1:6" ht="14.4" thickBot="1" x14ac:dyDescent="0.35">
      <c r="A772" s="4" t="s">
        <v>776</v>
      </c>
      <c r="B772" s="4" t="s">
        <v>777</v>
      </c>
      <c r="C772" s="4" t="s">
        <v>776</v>
      </c>
      <c r="D772" s="4" t="s">
        <v>5460</v>
      </c>
      <c r="E772" s="4" t="s">
        <v>5461</v>
      </c>
      <c r="F772" s="4" t="s">
        <v>5460</v>
      </c>
    </row>
    <row r="773" spans="1:6" ht="14.4" thickBot="1" x14ac:dyDescent="0.35">
      <c r="A773" s="4" t="s">
        <v>776</v>
      </c>
      <c r="B773" s="4" t="s">
        <v>777</v>
      </c>
      <c r="C773" s="4" t="s">
        <v>776</v>
      </c>
      <c r="D773" s="4" t="s">
        <v>1674</v>
      </c>
      <c r="E773" s="4" t="s">
        <v>1675</v>
      </c>
      <c r="F773" s="4" t="s">
        <v>1674</v>
      </c>
    </row>
    <row r="774" spans="1:6" ht="14.4" thickBot="1" x14ac:dyDescent="0.35">
      <c r="A774" s="4" t="s">
        <v>776</v>
      </c>
      <c r="B774" s="4" t="s">
        <v>777</v>
      </c>
      <c r="C774" s="4" t="s">
        <v>776</v>
      </c>
      <c r="D774" s="4" t="s">
        <v>6036</v>
      </c>
      <c r="E774" s="4" t="s">
        <v>6037</v>
      </c>
      <c r="F774" s="4" t="s">
        <v>6036</v>
      </c>
    </row>
    <row r="775" spans="1:6" ht="14.4" thickBot="1" x14ac:dyDescent="0.35">
      <c r="A775" s="4" t="s">
        <v>776</v>
      </c>
      <c r="B775" s="4" t="s">
        <v>777</v>
      </c>
      <c r="C775" s="4" t="s">
        <v>776</v>
      </c>
      <c r="D775" s="4" t="s">
        <v>6038</v>
      </c>
      <c r="E775" s="4" t="s">
        <v>6039</v>
      </c>
      <c r="F775" s="4" t="s">
        <v>6038</v>
      </c>
    </row>
    <row r="776" spans="1:6" ht="14.4" thickBot="1" x14ac:dyDescent="0.35">
      <c r="A776" s="4" t="s">
        <v>776</v>
      </c>
      <c r="B776" s="4" t="s">
        <v>777</v>
      </c>
      <c r="C776" s="4" t="s">
        <v>776</v>
      </c>
      <c r="D776" s="4" t="s">
        <v>1670</v>
      </c>
      <c r="E776" s="4" t="s">
        <v>1671</v>
      </c>
      <c r="F776" s="4" t="s">
        <v>1670</v>
      </c>
    </row>
    <row r="777" spans="1:6" ht="14.4" thickBot="1" x14ac:dyDescent="0.35">
      <c r="A777" s="4" t="s">
        <v>776</v>
      </c>
      <c r="B777" s="4" t="s">
        <v>777</v>
      </c>
      <c r="C777" s="4" t="s">
        <v>776</v>
      </c>
      <c r="D777" s="4" t="s">
        <v>1820</v>
      </c>
      <c r="E777" s="4" t="s">
        <v>1821</v>
      </c>
      <c r="F777" s="4" t="s">
        <v>1820</v>
      </c>
    </row>
    <row r="778" spans="1:6" ht="14.4" thickBot="1" x14ac:dyDescent="0.35">
      <c r="A778" s="4" t="s">
        <v>776</v>
      </c>
      <c r="B778" s="4" t="s">
        <v>777</v>
      </c>
      <c r="C778" s="4" t="s">
        <v>776</v>
      </c>
      <c r="D778" s="4" t="s">
        <v>954</v>
      </c>
      <c r="E778" s="4" t="s">
        <v>955</v>
      </c>
      <c r="F778" s="4" t="s">
        <v>954</v>
      </c>
    </row>
    <row r="779" spans="1:6" ht="14.4" thickBot="1" x14ac:dyDescent="0.35">
      <c r="A779" s="4" t="s">
        <v>667</v>
      </c>
      <c r="B779" s="4" t="s">
        <v>668</v>
      </c>
      <c r="C779" s="4" t="s">
        <v>667</v>
      </c>
      <c r="D779" s="4" t="s">
        <v>461</v>
      </c>
      <c r="E779" s="4" t="s">
        <v>1616</v>
      </c>
      <c r="F779" s="4" t="s">
        <v>461</v>
      </c>
    </row>
    <row r="780" spans="1:6" ht="14.4" thickBot="1" x14ac:dyDescent="0.35">
      <c r="A780" s="4" t="s">
        <v>667</v>
      </c>
      <c r="B780" s="4" t="s">
        <v>668</v>
      </c>
      <c r="C780" s="4" t="s">
        <v>667</v>
      </c>
      <c r="D780" s="4" t="s">
        <v>473</v>
      </c>
      <c r="E780" s="4" t="s">
        <v>5970</v>
      </c>
      <c r="F780" s="4" t="s">
        <v>473</v>
      </c>
    </row>
    <row r="781" spans="1:6" ht="14.4" thickBot="1" x14ac:dyDescent="0.35">
      <c r="A781" s="4" t="s">
        <v>667</v>
      </c>
      <c r="B781" s="4" t="s">
        <v>668</v>
      </c>
      <c r="C781" s="4" t="s">
        <v>667</v>
      </c>
      <c r="D781" s="4" t="s">
        <v>5280</v>
      </c>
      <c r="E781" s="4" t="s">
        <v>5281</v>
      </c>
      <c r="F781" s="4" t="s">
        <v>5280</v>
      </c>
    </row>
    <row r="782" spans="1:6" ht="14.4" thickBot="1" x14ac:dyDescent="0.35">
      <c r="A782" s="4" t="s">
        <v>667</v>
      </c>
      <c r="B782" s="4" t="s">
        <v>668</v>
      </c>
      <c r="C782" s="4" t="s">
        <v>667</v>
      </c>
      <c r="D782" s="4" t="s">
        <v>1594</v>
      </c>
      <c r="E782" s="4" t="s">
        <v>1595</v>
      </c>
      <c r="F782" s="4" t="s">
        <v>1594</v>
      </c>
    </row>
    <row r="783" spans="1:6" ht="14.4" thickBot="1" x14ac:dyDescent="0.35">
      <c r="A783" s="4" t="s">
        <v>667</v>
      </c>
      <c r="B783" s="4" t="s">
        <v>668</v>
      </c>
      <c r="C783" s="4" t="s">
        <v>667</v>
      </c>
      <c r="D783" s="4" t="s">
        <v>450</v>
      </c>
      <c r="E783" s="4" t="s">
        <v>4595</v>
      </c>
      <c r="F783" s="4" t="s">
        <v>450</v>
      </c>
    </row>
    <row r="784" spans="1:6" ht="14.4" thickBot="1" x14ac:dyDescent="0.35">
      <c r="A784" s="4" t="s">
        <v>667</v>
      </c>
      <c r="B784" s="4" t="s">
        <v>668</v>
      </c>
      <c r="C784" s="4" t="s">
        <v>667</v>
      </c>
      <c r="D784" s="4" t="s">
        <v>5985</v>
      </c>
      <c r="E784" s="4" t="s">
        <v>5986</v>
      </c>
      <c r="F784" s="4" t="s">
        <v>5985</v>
      </c>
    </row>
    <row r="785" spans="1:6" ht="14.4" thickBot="1" x14ac:dyDescent="0.35">
      <c r="A785" s="4" t="s">
        <v>667</v>
      </c>
      <c r="B785" s="4" t="s">
        <v>668</v>
      </c>
      <c r="C785" s="4" t="s">
        <v>667</v>
      </c>
      <c r="D785" s="4" t="s">
        <v>3865</v>
      </c>
      <c r="E785" s="4" t="s">
        <v>3866</v>
      </c>
      <c r="F785" s="4" t="s">
        <v>3865</v>
      </c>
    </row>
    <row r="786" spans="1:6" ht="14.4" thickBot="1" x14ac:dyDescent="0.35">
      <c r="A786" s="4" t="s">
        <v>667</v>
      </c>
      <c r="B786" s="4" t="s">
        <v>668</v>
      </c>
      <c r="C786" s="4" t="s">
        <v>667</v>
      </c>
      <c r="D786" s="4" t="s">
        <v>3869</v>
      </c>
      <c r="E786" s="4" t="s">
        <v>3870</v>
      </c>
      <c r="F786" s="4" t="s">
        <v>3869</v>
      </c>
    </row>
    <row r="787" spans="1:6" ht="14.4" thickBot="1" x14ac:dyDescent="0.35">
      <c r="A787" s="4" t="s">
        <v>667</v>
      </c>
      <c r="B787" s="4" t="s">
        <v>668</v>
      </c>
      <c r="C787" s="4" t="s">
        <v>667</v>
      </c>
      <c r="D787" s="4" t="s">
        <v>767</v>
      </c>
      <c r="E787" s="4" t="s">
        <v>5290</v>
      </c>
      <c r="F787" s="4" t="s">
        <v>767</v>
      </c>
    </row>
    <row r="788" spans="1:6" ht="14.4" thickBot="1" x14ac:dyDescent="0.35">
      <c r="A788" s="4" t="s">
        <v>667</v>
      </c>
      <c r="B788" s="4" t="s">
        <v>668</v>
      </c>
      <c r="C788" s="4" t="s">
        <v>667</v>
      </c>
      <c r="D788" s="4" t="s">
        <v>3090</v>
      </c>
      <c r="E788" s="4" t="s">
        <v>3091</v>
      </c>
      <c r="F788" s="4" t="s">
        <v>3090</v>
      </c>
    </row>
    <row r="789" spans="1:6" ht="14.4" thickBot="1" x14ac:dyDescent="0.35">
      <c r="A789" s="4" t="s">
        <v>667</v>
      </c>
      <c r="B789" s="4" t="s">
        <v>668</v>
      </c>
      <c r="C789" s="4" t="s">
        <v>667</v>
      </c>
      <c r="D789" s="4" t="s">
        <v>3088</v>
      </c>
      <c r="E789" s="4" t="s">
        <v>3089</v>
      </c>
      <c r="F789" s="4" t="s">
        <v>3088</v>
      </c>
    </row>
    <row r="790" spans="1:6" ht="14.4" thickBot="1" x14ac:dyDescent="0.35">
      <c r="A790" s="4" t="s">
        <v>667</v>
      </c>
      <c r="B790" s="4" t="s">
        <v>668</v>
      </c>
      <c r="C790" s="4" t="s">
        <v>667</v>
      </c>
      <c r="D790" s="4" t="s">
        <v>614</v>
      </c>
      <c r="E790" s="4" t="s">
        <v>2303</v>
      </c>
      <c r="F790" s="4" t="s">
        <v>614</v>
      </c>
    </row>
    <row r="791" spans="1:6" ht="14.4" thickBot="1" x14ac:dyDescent="0.35">
      <c r="A791" s="4" t="s">
        <v>667</v>
      </c>
      <c r="B791" s="4" t="s">
        <v>668</v>
      </c>
      <c r="C791" s="4" t="s">
        <v>667</v>
      </c>
      <c r="D791" s="4" t="s">
        <v>3821</v>
      </c>
      <c r="E791" s="4" t="s">
        <v>3822</v>
      </c>
      <c r="F791" s="4" t="s">
        <v>3821</v>
      </c>
    </row>
    <row r="792" spans="1:6" ht="14.4" thickBot="1" x14ac:dyDescent="0.35">
      <c r="A792" s="4" t="s">
        <v>667</v>
      </c>
      <c r="B792" s="4" t="s">
        <v>668</v>
      </c>
      <c r="C792" s="4" t="s">
        <v>667</v>
      </c>
      <c r="D792" s="4" t="s">
        <v>1614</v>
      </c>
      <c r="E792" s="4" t="s">
        <v>1615</v>
      </c>
      <c r="F792" s="4" t="s">
        <v>1614</v>
      </c>
    </row>
    <row r="793" spans="1:6" ht="14.4" thickBot="1" x14ac:dyDescent="0.35">
      <c r="A793" s="4" t="s">
        <v>667</v>
      </c>
      <c r="B793" s="4" t="s">
        <v>668</v>
      </c>
      <c r="C793" s="4" t="s">
        <v>667</v>
      </c>
      <c r="D793" s="4" t="s">
        <v>3057</v>
      </c>
      <c r="E793" s="4" t="s">
        <v>3058</v>
      </c>
      <c r="F793" s="4" t="s">
        <v>3057</v>
      </c>
    </row>
    <row r="794" spans="1:6" ht="14.4" thickBot="1" x14ac:dyDescent="0.35">
      <c r="A794" s="4" t="s">
        <v>667</v>
      </c>
      <c r="B794" s="4" t="s">
        <v>668</v>
      </c>
      <c r="C794" s="4" t="s">
        <v>667</v>
      </c>
      <c r="D794" s="4" t="s">
        <v>3867</v>
      </c>
      <c r="E794" s="4" t="s">
        <v>3868</v>
      </c>
      <c r="F794" s="4" t="s">
        <v>3867</v>
      </c>
    </row>
    <row r="795" spans="1:6" ht="14.4" thickBot="1" x14ac:dyDescent="0.35">
      <c r="A795" s="4" t="s">
        <v>667</v>
      </c>
      <c r="B795" s="4" t="s">
        <v>668</v>
      </c>
      <c r="C795" s="4" t="s">
        <v>667</v>
      </c>
      <c r="D795" s="4" t="s">
        <v>6096</v>
      </c>
      <c r="E795" s="4" t="s">
        <v>6097</v>
      </c>
      <c r="F795" s="4" t="s">
        <v>6096</v>
      </c>
    </row>
    <row r="796" spans="1:6" ht="14.4" thickBot="1" x14ac:dyDescent="0.35">
      <c r="A796" s="4" t="s">
        <v>667</v>
      </c>
      <c r="B796" s="4" t="s">
        <v>668</v>
      </c>
      <c r="C796" s="4" t="s">
        <v>667</v>
      </c>
      <c r="D796" s="4" t="s">
        <v>677</v>
      </c>
      <c r="E796" s="4" t="s">
        <v>678</v>
      </c>
      <c r="F796" s="4" t="s">
        <v>677</v>
      </c>
    </row>
    <row r="797" spans="1:6" ht="14.4" thickBot="1" x14ac:dyDescent="0.35">
      <c r="A797" s="4" t="s">
        <v>667</v>
      </c>
      <c r="B797" s="4" t="s">
        <v>668</v>
      </c>
      <c r="C797" s="4" t="s">
        <v>667</v>
      </c>
      <c r="D797" s="4" t="s">
        <v>3863</v>
      </c>
      <c r="E797" s="4" t="s">
        <v>3864</v>
      </c>
      <c r="F797" s="4" t="s">
        <v>3863</v>
      </c>
    </row>
    <row r="798" spans="1:6" ht="14.4" thickBot="1" x14ac:dyDescent="0.35">
      <c r="A798" s="4" t="s">
        <v>667</v>
      </c>
      <c r="B798" s="4" t="s">
        <v>668</v>
      </c>
      <c r="C798" s="4" t="s">
        <v>667</v>
      </c>
      <c r="D798" s="4" t="s">
        <v>1619</v>
      </c>
      <c r="E798" s="4" t="s">
        <v>1620</v>
      </c>
      <c r="F798" s="4" t="s">
        <v>1619</v>
      </c>
    </row>
    <row r="799" spans="1:6" ht="14.4" thickBot="1" x14ac:dyDescent="0.35">
      <c r="A799" s="4" t="s">
        <v>667</v>
      </c>
      <c r="B799" s="4" t="s">
        <v>668</v>
      </c>
      <c r="C799" s="4" t="s">
        <v>667</v>
      </c>
      <c r="D799" s="4" t="s">
        <v>4714</v>
      </c>
      <c r="E799" s="4" t="s">
        <v>4715</v>
      </c>
      <c r="F799" s="4" t="s">
        <v>4714</v>
      </c>
    </row>
    <row r="800" spans="1:6" ht="14.4" thickBot="1" x14ac:dyDescent="0.35">
      <c r="A800" s="4" t="s">
        <v>667</v>
      </c>
      <c r="B800" s="4" t="s">
        <v>668</v>
      </c>
      <c r="C800" s="4" t="s">
        <v>667</v>
      </c>
      <c r="D800" s="4" t="s">
        <v>5950</v>
      </c>
      <c r="E800" s="4" t="s">
        <v>5951</v>
      </c>
      <c r="F800" s="4" t="s">
        <v>5950</v>
      </c>
    </row>
    <row r="801" spans="1:6" ht="14.4" thickBot="1" x14ac:dyDescent="0.35">
      <c r="A801" s="4" t="s">
        <v>667</v>
      </c>
      <c r="B801" s="4" t="s">
        <v>668</v>
      </c>
      <c r="C801" s="4" t="s">
        <v>667</v>
      </c>
      <c r="D801" s="4" t="s">
        <v>5409</v>
      </c>
      <c r="E801" s="4" t="s">
        <v>5410</v>
      </c>
      <c r="F801" s="4" t="s">
        <v>5409</v>
      </c>
    </row>
    <row r="802" spans="1:6" ht="14.4" thickBot="1" x14ac:dyDescent="0.35">
      <c r="A802" s="4" t="s">
        <v>667</v>
      </c>
      <c r="B802" s="4" t="s">
        <v>668</v>
      </c>
      <c r="C802" s="4" t="s">
        <v>667</v>
      </c>
      <c r="D802" s="4" t="s">
        <v>2405</v>
      </c>
      <c r="E802" s="4" t="s">
        <v>5285</v>
      </c>
      <c r="F802" s="4" t="s">
        <v>2405</v>
      </c>
    </row>
    <row r="803" spans="1:6" ht="14.4" thickBot="1" x14ac:dyDescent="0.35">
      <c r="A803" s="4" t="s">
        <v>667</v>
      </c>
      <c r="B803" s="4" t="s">
        <v>668</v>
      </c>
      <c r="C803" s="4" t="s">
        <v>667</v>
      </c>
      <c r="D803" s="4" t="s">
        <v>3839</v>
      </c>
      <c r="E803" s="4" t="s">
        <v>3840</v>
      </c>
      <c r="F803" s="4" t="s">
        <v>3839</v>
      </c>
    </row>
    <row r="804" spans="1:6" ht="14.4" thickBot="1" x14ac:dyDescent="0.35">
      <c r="A804" s="4" t="s">
        <v>667</v>
      </c>
      <c r="B804" s="4" t="s">
        <v>668</v>
      </c>
      <c r="C804" s="4" t="s">
        <v>667</v>
      </c>
      <c r="D804" s="4" t="s">
        <v>715</v>
      </c>
      <c r="E804" s="4" t="s">
        <v>716</v>
      </c>
      <c r="F804" s="4" t="s">
        <v>715</v>
      </c>
    </row>
    <row r="805" spans="1:6" ht="14.4" thickBot="1" x14ac:dyDescent="0.35">
      <c r="A805" s="4" t="s">
        <v>667</v>
      </c>
      <c r="B805" s="4" t="s">
        <v>668</v>
      </c>
      <c r="C805" s="4" t="s">
        <v>667</v>
      </c>
      <c r="D805" s="4" t="s">
        <v>3053</v>
      </c>
      <c r="E805" s="4" t="s">
        <v>3054</v>
      </c>
      <c r="F805" s="4" t="s">
        <v>3053</v>
      </c>
    </row>
    <row r="806" spans="1:6" ht="14.4" thickBot="1" x14ac:dyDescent="0.35">
      <c r="A806" s="4" t="s">
        <v>667</v>
      </c>
      <c r="B806" s="4" t="s">
        <v>668</v>
      </c>
      <c r="C806" s="4" t="s">
        <v>667</v>
      </c>
      <c r="D806" s="4" t="s">
        <v>2437</v>
      </c>
      <c r="E806" s="4" t="s">
        <v>2438</v>
      </c>
      <c r="F806" s="4" t="s">
        <v>2437</v>
      </c>
    </row>
    <row r="807" spans="1:6" ht="14.4" thickBot="1" x14ac:dyDescent="0.35">
      <c r="A807" s="4" t="s">
        <v>667</v>
      </c>
      <c r="B807" s="4" t="s">
        <v>668</v>
      </c>
      <c r="C807" s="4" t="s">
        <v>667</v>
      </c>
      <c r="D807" s="4" t="s">
        <v>2301</v>
      </c>
      <c r="E807" s="4" t="s">
        <v>2302</v>
      </c>
      <c r="F807" s="4" t="s">
        <v>2301</v>
      </c>
    </row>
    <row r="808" spans="1:6" ht="14.4" thickBot="1" x14ac:dyDescent="0.35">
      <c r="A808" s="4" t="s">
        <v>667</v>
      </c>
      <c r="B808" s="4" t="s">
        <v>668</v>
      </c>
      <c r="C808" s="4" t="s">
        <v>667</v>
      </c>
      <c r="D808" s="4" t="s">
        <v>1606</v>
      </c>
      <c r="E808" s="4" t="s">
        <v>1607</v>
      </c>
      <c r="F808" s="4" t="s">
        <v>1606</v>
      </c>
    </row>
    <row r="809" spans="1:6" ht="14.4" thickBot="1" x14ac:dyDescent="0.35">
      <c r="A809" s="4" t="s">
        <v>667</v>
      </c>
      <c r="B809" s="4" t="s">
        <v>668</v>
      </c>
      <c r="C809" s="4" t="s">
        <v>667</v>
      </c>
      <c r="D809" s="4" t="s">
        <v>4597</v>
      </c>
      <c r="E809" s="4" t="s">
        <v>4598</v>
      </c>
      <c r="F809" s="4" t="s">
        <v>4597</v>
      </c>
    </row>
    <row r="810" spans="1:6" ht="14.4" thickBot="1" x14ac:dyDescent="0.35">
      <c r="A810" s="4" t="s">
        <v>667</v>
      </c>
      <c r="B810" s="4" t="s">
        <v>668</v>
      </c>
      <c r="C810" s="4" t="s">
        <v>667</v>
      </c>
      <c r="D810" s="4" t="s">
        <v>695</v>
      </c>
      <c r="E810" s="4" t="s">
        <v>696</v>
      </c>
      <c r="F810" s="4" t="s">
        <v>695</v>
      </c>
    </row>
    <row r="811" spans="1:6" ht="14.4" thickBot="1" x14ac:dyDescent="0.35">
      <c r="A811" s="4" t="s">
        <v>667</v>
      </c>
      <c r="B811" s="4" t="s">
        <v>668</v>
      </c>
      <c r="C811" s="4" t="s">
        <v>667</v>
      </c>
      <c r="D811" s="4" t="s">
        <v>3861</v>
      </c>
      <c r="E811" s="4" t="s">
        <v>3862</v>
      </c>
      <c r="F811" s="4" t="s">
        <v>3861</v>
      </c>
    </row>
    <row r="812" spans="1:6" ht="14.4" thickBot="1" x14ac:dyDescent="0.35">
      <c r="A812" s="4" t="s">
        <v>667</v>
      </c>
      <c r="B812" s="4" t="s">
        <v>668</v>
      </c>
      <c r="C812" s="4" t="s">
        <v>667</v>
      </c>
      <c r="D812" s="4" t="s">
        <v>4596</v>
      </c>
      <c r="E812" s="4" t="s">
        <v>98</v>
      </c>
      <c r="F812" s="4" t="s">
        <v>4596</v>
      </c>
    </row>
    <row r="813" spans="1:6" ht="14.4" thickBot="1" x14ac:dyDescent="0.35">
      <c r="A813" s="4" t="s">
        <v>667</v>
      </c>
      <c r="B813" s="4" t="s">
        <v>668</v>
      </c>
      <c r="C813" s="4" t="s">
        <v>667</v>
      </c>
      <c r="D813" s="4" t="s">
        <v>5284</v>
      </c>
      <c r="E813" s="4" t="s">
        <v>1313</v>
      </c>
      <c r="F813" s="4" t="s">
        <v>5284</v>
      </c>
    </row>
    <row r="814" spans="1:6" ht="14.4" thickBot="1" x14ac:dyDescent="0.35">
      <c r="A814" s="4" t="s">
        <v>667</v>
      </c>
      <c r="B814" s="4" t="s">
        <v>668</v>
      </c>
      <c r="C814" s="4" t="s">
        <v>667</v>
      </c>
      <c r="D814" s="4" t="s">
        <v>1756</v>
      </c>
      <c r="E814" s="4" t="s">
        <v>1757</v>
      </c>
      <c r="F814" s="4" t="s">
        <v>1756</v>
      </c>
    </row>
    <row r="815" spans="1:6" ht="14.4" thickBot="1" x14ac:dyDescent="0.35">
      <c r="A815" s="4" t="s">
        <v>667</v>
      </c>
      <c r="B815" s="4" t="s">
        <v>668</v>
      </c>
      <c r="C815" s="4" t="s">
        <v>667</v>
      </c>
      <c r="D815" s="4" t="s">
        <v>5288</v>
      </c>
      <c r="E815" s="4" t="s">
        <v>5289</v>
      </c>
      <c r="F815" s="4" t="s">
        <v>5288</v>
      </c>
    </row>
    <row r="816" spans="1:6" ht="14.4" thickBot="1" x14ac:dyDescent="0.35">
      <c r="A816" s="4" t="s">
        <v>667</v>
      </c>
      <c r="B816" s="4" t="s">
        <v>668</v>
      </c>
      <c r="C816" s="4" t="s">
        <v>667</v>
      </c>
      <c r="D816" s="4" t="s">
        <v>2316</v>
      </c>
      <c r="E816" s="4" t="s">
        <v>2317</v>
      </c>
      <c r="F816" s="4" t="s">
        <v>2316</v>
      </c>
    </row>
    <row r="817" spans="1:6" ht="14.4" thickBot="1" x14ac:dyDescent="0.35">
      <c r="A817" s="4" t="s">
        <v>667</v>
      </c>
      <c r="B817" s="4" t="s">
        <v>668</v>
      </c>
      <c r="C817" s="4" t="s">
        <v>667</v>
      </c>
      <c r="D817" s="4" t="s">
        <v>675</v>
      </c>
      <c r="E817" s="4" t="s">
        <v>676</v>
      </c>
      <c r="F817" s="4" t="s">
        <v>675</v>
      </c>
    </row>
    <row r="818" spans="1:6" ht="14.4" thickBot="1" x14ac:dyDescent="0.35">
      <c r="A818" s="4" t="s">
        <v>667</v>
      </c>
      <c r="B818" s="4" t="s">
        <v>668</v>
      </c>
      <c r="C818" s="4" t="s">
        <v>667</v>
      </c>
      <c r="D818" s="4" t="s">
        <v>701</v>
      </c>
      <c r="E818" s="4" t="s">
        <v>702</v>
      </c>
      <c r="F818" s="4" t="s">
        <v>701</v>
      </c>
    </row>
    <row r="819" spans="1:6" ht="14.4" thickBot="1" x14ac:dyDescent="0.35">
      <c r="A819" s="4" t="s">
        <v>667</v>
      </c>
      <c r="B819" s="4" t="s">
        <v>668</v>
      </c>
      <c r="C819" s="4" t="s">
        <v>667</v>
      </c>
      <c r="D819" s="4" t="s">
        <v>5416</v>
      </c>
      <c r="E819" s="4" t="s">
        <v>5417</v>
      </c>
      <c r="F819" s="4" t="s">
        <v>5416</v>
      </c>
    </row>
    <row r="820" spans="1:6" ht="14.4" thickBot="1" x14ac:dyDescent="0.35">
      <c r="A820" s="4" t="s">
        <v>667</v>
      </c>
      <c r="B820" s="4" t="s">
        <v>668</v>
      </c>
      <c r="C820" s="4" t="s">
        <v>667</v>
      </c>
      <c r="D820" s="4" t="s">
        <v>3063</v>
      </c>
      <c r="E820" s="4" t="s">
        <v>3064</v>
      </c>
      <c r="F820" s="4" t="s">
        <v>3063</v>
      </c>
    </row>
    <row r="821" spans="1:6" ht="14.4" thickBot="1" x14ac:dyDescent="0.35">
      <c r="A821" s="4" t="s">
        <v>667</v>
      </c>
      <c r="B821" s="4" t="s">
        <v>668</v>
      </c>
      <c r="C821" s="4" t="s">
        <v>667</v>
      </c>
      <c r="D821" s="4" t="s">
        <v>673</v>
      </c>
      <c r="E821" s="4" t="s">
        <v>674</v>
      </c>
      <c r="F821" s="4" t="s">
        <v>673</v>
      </c>
    </row>
    <row r="822" spans="1:6" ht="14.4" thickBot="1" x14ac:dyDescent="0.35">
      <c r="A822" s="4" t="s">
        <v>667</v>
      </c>
      <c r="B822" s="4" t="s">
        <v>668</v>
      </c>
      <c r="C822" s="4" t="s">
        <v>667</v>
      </c>
      <c r="D822" s="4" t="s">
        <v>691</v>
      </c>
      <c r="E822" s="4" t="s">
        <v>692</v>
      </c>
      <c r="F822" s="4" t="s">
        <v>691</v>
      </c>
    </row>
    <row r="823" spans="1:6" ht="14.4" thickBot="1" x14ac:dyDescent="0.35">
      <c r="A823" s="4" t="s">
        <v>667</v>
      </c>
      <c r="B823" s="4" t="s">
        <v>668</v>
      </c>
      <c r="C823" s="4" t="s">
        <v>667</v>
      </c>
      <c r="D823" s="4" t="s">
        <v>3849</v>
      </c>
      <c r="E823" s="4" t="s">
        <v>3850</v>
      </c>
      <c r="F823" s="4" t="s">
        <v>3849</v>
      </c>
    </row>
    <row r="824" spans="1:6" ht="14.4" thickBot="1" x14ac:dyDescent="0.35">
      <c r="A824" s="4" t="s">
        <v>667</v>
      </c>
      <c r="B824" s="4" t="s">
        <v>668</v>
      </c>
      <c r="C824" s="4" t="s">
        <v>667</v>
      </c>
      <c r="D824" s="4" t="s">
        <v>5270</v>
      </c>
      <c r="E824" s="4" t="s">
        <v>5271</v>
      </c>
      <c r="F824" s="4" t="s">
        <v>5270</v>
      </c>
    </row>
    <row r="825" spans="1:6" ht="14.4" thickBot="1" x14ac:dyDescent="0.35">
      <c r="A825" s="4" t="s">
        <v>667</v>
      </c>
      <c r="B825" s="4" t="s">
        <v>668</v>
      </c>
      <c r="C825" s="4" t="s">
        <v>667</v>
      </c>
      <c r="D825" s="4" t="s">
        <v>5948</v>
      </c>
      <c r="E825" s="4" t="s">
        <v>5949</v>
      </c>
      <c r="F825" s="4" t="s">
        <v>5948</v>
      </c>
    </row>
    <row r="826" spans="1:6" ht="14.4" thickBot="1" x14ac:dyDescent="0.35">
      <c r="A826" s="4" t="s">
        <v>667</v>
      </c>
      <c r="B826" s="4" t="s">
        <v>668</v>
      </c>
      <c r="C826" s="4" t="s">
        <v>667</v>
      </c>
      <c r="D826" s="4" t="s">
        <v>4567</v>
      </c>
      <c r="E826" s="4" t="s">
        <v>4568</v>
      </c>
      <c r="F826" s="4" t="s">
        <v>4567</v>
      </c>
    </row>
    <row r="827" spans="1:6" ht="14.4" thickBot="1" x14ac:dyDescent="0.35">
      <c r="A827" s="4" t="s">
        <v>667</v>
      </c>
      <c r="B827" s="4" t="s">
        <v>668</v>
      </c>
      <c r="C827" s="4" t="s">
        <v>667</v>
      </c>
      <c r="D827" s="4" t="s">
        <v>1617</v>
      </c>
      <c r="E827" s="4" t="s">
        <v>1618</v>
      </c>
      <c r="F827" s="4" t="s">
        <v>1617</v>
      </c>
    </row>
    <row r="828" spans="1:6" ht="14.4" thickBot="1" x14ac:dyDescent="0.35">
      <c r="A828" s="4" t="s">
        <v>667</v>
      </c>
      <c r="B828" s="4" t="s">
        <v>668</v>
      </c>
      <c r="C828" s="4" t="s">
        <v>667</v>
      </c>
      <c r="D828" s="4" t="s">
        <v>1592</v>
      </c>
      <c r="E828" s="4" t="s">
        <v>1593</v>
      </c>
      <c r="F828" s="4" t="s">
        <v>1592</v>
      </c>
    </row>
    <row r="829" spans="1:6" ht="14.4" thickBot="1" x14ac:dyDescent="0.35">
      <c r="A829" s="4" t="s">
        <v>667</v>
      </c>
      <c r="B829" s="4" t="s">
        <v>668</v>
      </c>
      <c r="C829" s="4" t="s">
        <v>667</v>
      </c>
      <c r="D829" s="4" t="s">
        <v>1588</v>
      </c>
      <c r="E829" s="4" t="s">
        <v>1589</v>
      </c>
      <c r="F829" s="4" t="s">
        <v>1588</v>
      </c>
    </row>
    <row r="830" spans="1:6" ht="14.4" thickBot="1" x14ac:dyDescent="0.35">
      <c r="A830" s="4" t="s">
        <v>667</v>
      </c>
      <c r="B830" s="4" t="s">
        <v>668</v>
      </c>
      <c r="C830" s="4" t="s">
        <v>667</v>
      </c>
      <c r="D830" s="4" t="s">
        <v>3841</v>
      </c>
      <c r="E830" s="4" t="s">
        <v>3842</v>
      </c>
      <c r="F830" s="4" t="s">
        <v>3841</v>
      </c>
    </row>
    <row r="831" spans="1:6" ht="14.4" thickBot="1" x14ac:dyDescent="0.35">
      <c r="A831" s="4" t="s">
        <v>667</v>
      </c>
      <c r="B831" s="4" t="s">
        <v>668</v>
      </c>
      <c r="C831" s="4" t="s">
        <v>667</v>
      </c>
      <c r="D831" s="4" t="s">
        <v>5971</v>
      </c>
      <c r="E831" s="4" t="s">
        <v>5972</v>
      </c>
      <c r="F831" s="4" t="s">
        <v>5971</v>
      </c>
    </row>
    <row r="832" spans="1:6" ht="14.4" thickBot="1" x14ac:dyDescent="0.35">
      <c r="A832" s="4" t="s">
        <v>667</v>
      </c>
      <c r="B832" s="4" t="s">
        <v>668</v>
      </c>
      <c r="C832" s="4" t="s">
        <v>667</v>
      </c>
      <c r="D832" s="4" t="s">
        <v>4593</v>
      </c>
      <c r="E832" s="4" t="s">
        <v>4594</v>
      </c>
      <c r="F832" s="4" t="s">
        <v>4593</v>
      </c>
    </row>
    <row r="833" spans="1:6" ht="14.4" thickBot="1" x14ac:dyDescent="0.35">
      <c r="A833" s="4" t="s">
        <v>667</v>
      </c>
      <c r="B833" s="4" t="s">
        <v>668</v>
      </c>
      <c r="C833" s="4" t="s">
        <v>667</v>
      </c>
      <c r="D833" s="4" t="s">
        <v>3082</v>
      </c>
      <c r="E833" s="4" t="s">
        <v>3083</v>
      </c>
      <c r="F833" s="4" t="s">
        <v>3082</v>
      </c>
    </row>
    <row r="834" spans="1:6" ht="14.4" thickBot="1" x14ac:dyDescent="0.35">
      <c r="A834" s="4" t="s">
        <v>667</v>
      </c>
      <c r="B834" s="4" t="s">
        <v>668</v>
      </c>
      <c r="C834" s="4" t="s">
        <v>667</v>
      </c>
      <c r="D834" s="4" t="s">
        <v>4573</v>
      </c>
      <c r="E834" s="4" t="s">
        <v>4574</v>
      </c>
      <c r="F834" s="4" t="s">
        <v>4573</v>
      </c>
    </row>
    <row r="835" spans="1:6" ht="14.4" thickBot="1" x14ac:dyDescent="0.35">
      <c r="A835" s="4" t="s">
        <v>667</v>
      </c>
      <c r="B835" s="4" t="s">
        <v>668</v>
      </c>
      <c r="C835" s="4" t="s">
        <v>667</v>
      </c>
      <c r="D835" s="4" t="s">
        <v>3835</v>
      </c>
      <c r="E835" s="4" t="s">
        <v>3836</v>
      </c>
      <c r="F835" s="4" t="s">
        <v>3835</v>
      </c>
    </row>
    <row r="836" spans="1:6" ht="14.4" thickBot="1" x14ac:dyDescent="0.35">
      <c r="A836" s="4" t="s">
        <v>667</v>
      </c>
      <c r="B836" s="4" t="s">
        <v>668</v>
      </c>
      <c r="C836" s="4" t="s">
        <v>667</v>
      </c>
      <c r="D836" s="4" t="s">
        <v>149</v>
      </c>
      <c r="E836" s="4" t="s">
        <v>2298</v>
      </c>
      <c r="F836" s="4" t="s">
        <v>149</v>
      </c>
    </row>
    <row r="837" spans="1:6" ht="14.4" thickBot="1" x14ac:dyDescent="0.35">
      <c r="A837" s="4" t="s">
        <v>667</v>
      </c>
      <c r="B837" s="4" t="s">
        <v>668</v>
      </c>
      <c r="C837" s="4" t="s">
        <v>667</v>
      </c>
      <c r="D837" s="4" t="s">
        <v>5262</v>
      </c>
      <c r="E837" s="4" t="s">
        <v>5263</v>
      </c>
      <c r="F837" s="4" t="s">
        <v>5262</v>
      </c>
    </row>
    <row r="838" spans="1:6" ht="14.4" thickBot="1" x14ac:dyDescent="0.35">
      <c r="A838" s="4" t="s">
        <v>667</v>
      </c>
      <c r="B838" s="4" t="s">
        <v>668</v>
      </c>
      <c r="C838" s="4" t="s">
        <v>667</v>
      </c>
      <c r="D838" s="4" t="s">
        <v>5956</v>
      </c>
      <c r="E838" s="4" t="s">
        <v>5957</v>
      </c>
      <c r="F838" s="4" t="s">
        <v>5956</v>
      </c>
    </row>
    <row r="839" spans="1:6" ht="14.4" thickBot="1" x14ac:dyDescent="0.35">
      <c r="A839" s="4" t="s">
        <v>667</v>
      </c>
      <c r="B839" s="4" t="s">
        <v>668</v>
      </c>
      <c r="C839" s="4" t="s">
        <v>667</v>
      </c>
      <c r="D839" s="4" t="s">
        <v>3837</v>
      </c>
      <c r="E839" s="4" t="s">
        <v>3838</v>
      </c>
      <c r="F839" s="4" t="s">
        <v>3837</v>
      </c>
    </row>
    <row r="840" spans="1:6" ht="14.4" thickBot="1" x14ac:dyDescent="0.35">
      <c r="A840" s="4" t="s">
        <v>667</v>
      </c>
      <c r="B840" s="4" t="s">
        <v>668</v>
      </c>
      <c r="C840" s="4" t="s">
        <v>667</v>
      </c>
      <c r="D840" s="4" t="s">
        <v>4569</v>
      </c>
      <c r="E840" s="4" t="s">
        <v>4570</v>
      </c>
      <c r="F840" s="4" t="s">
        <v>4569</v>
      </c>
    </row>
    <row r="841" spans="1:6" ht="14.4" thickBot="1" x14ac:dyDescent="0.35">
      <c r="A841" s="4" t="s">
        <v>667</v>
      </c>
      <c r="B841" s="4" t="s">
        <v>668</v>
      </c>
      <c r="C841" s="4" t="s">
        <v>667</v>
      </c>
      <c r="D841" s="4" t="s">
        <v>5964</v>
      </c>
      <c r="E841" s="4" t="s">
        <v>5965</v>
      </c>
      <c r="F841" s="4" t="s">
        <v>5964</v>
      </c>
    </row>
    <row r="842" spans="1:6" ht="14.4" thickBot="1" x14ac:dyDescent="0.35">
      <c r="A842" s="4" t="s">
        <v>667</v>
      </c>
      <c r="B842" s="4" t="s">
        <v>668</v>
      </c>
      <c r="C842" s="4" t="s">
        <v>667</v>
      </c>
      <c r="D842" s="4" t="s">
        <v>3055</v>
      </c>
      <c r="E842" s="4" t="s">
        <v>3056</v>
      </c>
      <c r="F842" s="4" t="s">
        <v>3055</v>
      </c>
    </row>
    <row r="843" spans="1:6" ht="14.4" thickBot="1" x14ac:dyDescent="0.35">
      <c r="A843" s="4" t="s">
        <v>667</v>
      </c>
      <c r="B843" s="4" t="s">
        <v>668</v>
      </c>
      <c r="C843" s="4" t="s">
        <v>667</v>
      </c>
      <c r="D843" s="4" t="s">
        <v>3843</v>
      </c>
      <c r="E843" s="4" t="s">
        <v>3844</v>
      </c>
      <c r="F843" s="4" t="s">
        <v>3843</v>
      </c>
    </row>
    <row r="844" spans="1:6" ht="14.4" thickBot="1" x14ac:dyDescent="0.35">
      <c r="A844" s="4" t="s">
        <v>667</v>
      </c>
      <c r="B844" s="4" t="s">
        <v>668</v>
      </c>
      <c r="C844" s="4" t="s">
        <v>667</v>
      </c>
      <c r="D844" s="4" t="s">
        <v>5952</v>
      </c>
      <c r="E844" s="4" t="s">
        <v>5953</v>
      </c>
      <c r="F844" s="4" t="s">
        <v>5952</v>
      </c>
    </row>
    <row r="845" spans="1:6" ht="14.4" thickBot="1" x14ac:dyDescent="0.35">
      <c r="A845" s="4" t="s">
        <v>667</v>
      </c>
      <c r="B845" s="4" t="s">
        <v>668</v>
      </c>
      <c r="C845" s="4" t="s">
        <v>667</v>
      </c>
      <c r="D845" s="4" t="s">
        <v>2306</v>
      </c>
      <c r="E845" s="4" t="s">
        <v>2307</v>
      </c>
      <c r="F845" s="4" t="s">
        <v>2306</v>
      </c>
    </row>
    <row r="846" spans="1:6" ht="14.4" thickBot="1" x14ac:dyDescent="0.35">
      <c r="A846" s="4" t="s">
        <v>667</v>
      </c>
      <c r="B846" s="4" t="s">
        <v>668</v>
      </c>
      <c r="C846" s="4" t="s">
        <v>667</v>
      </c>
      <c r="D846" s="4" t="s">
        <v>3829</v>
      </c>
      <c r="E846" s="4" t="s">
        <v>3830</v>
      </c>
      <c r="F846" s="4" t="s">
        <v>3829</v>
      </c>
    </row>
    <row r="847" spans="1:6" ht="14.4" thickBot="1" x14ac:dyDescent="0.35">
      <c r="A847" s="4" t="s">
        <v>667</v>
      </c>
      <c r="B847" s="4" t="s">
        <v>668</v>
      </c>
      <c r="C847" s="4" t="s">
        <v>667</v>
      </c>
      <c r="D847" s="4" t="s">
        <v>2319</v>
      </c>
      <c r="E847" s="4" t="s">
        <v>2320</v>
      </c>
      <c r="F847" s="4" t="s">
        <v>2319</v>
      </c>
    </row>
    <row r="848" spans="1:6" ht="14.4" thickBot="1" x14ac:dyDescent="0.35">
      <c r="A848" s="4" t="s">
        <v>667</v>
      </c>
      <c r="B848" s="4" t="s">
        <v>668</v>
      </c>
      <c r="C848" s="4" t="s">
        <v>667</v>
      </c>
      <c r="D848" s="4" t="s">
        <v>5414</v>
      </c>
      <c r="E848" s="4" t="s">
        <v>5415</v>
      </c>
      <c r="F848" s="4" t="s">
        <v>5414</v>
      </c>
    </row>
    <row r="849" spans="1:6" ht="14.4" thickBot="1" x14ac:dyDescent="0.35">
      <c r="A849" s="4" t="s">
        <v>667</v>
      </c>
      <c r="B849" s="4" t="s">
        <v>668</v>
      </c>
      <c r="C849" s="4" t="s">
        <v>667</v>
      </c>
      <c r="D849" s="4" t="s">
        <v>908</v>
      </c>
      <c r="E849" s="4" t="s">
        <v>909</v>
      </c>
      <c r="F849" s="4" t="s">
        <v>908</v>
      </c>
    </row>
    <row r="850" spans="1:6" ht="14.4" thickBot="1" x14ac:dyDescent="0.35">
      <c r="A850" s="4" t="s">
        <v>667</v>
      </c>
      <c r="B850" s="4" t="s">
        <v>668</v>
      </c>
      <c r="C850" s="4" t="s">
        <v>667</v>
      </c>
      <c r="D850" s="4" t="s">
        <v>679</v>
      </c>
      <c r="E850" s="4" t="s">
        <v>680</v>
      </c>
      <c r="F850" s="4" t="s">
        <v>679</v>
      </c>
    </row>
    <row r="851" spans="1:6" ht="14.4" thickBot="1" x14ac:dyDescent="0.35">
      <c r="A851" s="4" t="s">
        <v>667</v>
      </c>
      <c r="B851" s="4" t="s">
        <v>668</v>
      </c>
      <c r="C851" s="4" t="s">
        <v>667</v>
      </c>
      <c r="D851" s="4" t="s">
        <v>3086</v>
      </c>
      <c r="E851" s="4" t="s">
        <v>3087</v>
      </c>
      <c r="F851" s="4" t="s">
        <v>3086</v>
      </c>
    </row>
    <row r="852" spans="1:6" ht="14.4" thickBot="1" x14ac:dyDescent="0.35">
      <c r="A852" s="4" t="s">
        <v>667</v>
      </c>
      <c r="B852" s="4" t="s">
        <v>668</v>
      </c>
      <c r="C852" s="4" t="s">
        <v>667</v>
      </c>
      <c r="D852" s="4" t="s">
        <v>5287</v>
      </c>
      <c r="E852" s="4" t="s">
        <v>3359</v>
      </c>
      <c r="F852" s="4" t="s">
        <v>5287</v>
      </c>
    </row>
    <row r="853" spans="1:6" ht="14.4" thickBot="1" x14ac:dyDescent="0.35">
      <c r="A853" s="4" t="s">
        <v>667</v>
      </c>
      <c r="B853" s="4" t="s">
        <v>668</v>
      </c>
      <c r="C853" s="4" t="s">
        <v>667</v>
      </c>
      <c r="D853" s="4" t="s">
        <v>2318</v>
      </c>
      <c r="E853" s="4" t="s">
        <v>659</v>
      </c>
      <c r="F853" s="4" t="s">
        <v>2318</v>
      </c>
    </row>
    <row r="854" spans="1:6" ht="14.4" thickBot="1" x14ac:dyDescent="0.35">
      <c r="A854" s="4" t="s">
        <v>667</v>
      </c>
      <c r="B854" s="4" t="s">
        <v>668</v>
      </c>
      <c r="C854" s="4" t="s">
        <v>667</v>
      </c>
      <c r="D854" s="4" t="s">
        <v>5268</v>
      </c>
      <c r="E854" s="4" t="s">
        <v>5269</v>
      </c>
      <c r="F854" s="4" t="s">
        <v>5268</v>
      </c>
    </row>
    <row r="855" spans="1:6" ht="14.4" thickBot="1" x14ac:dyDescent="0.35">
      <c r="A855" s="4" t="s">
        <v>667</v>
      </c>
      <c r="B855" s="4" t="s">
        <v>668</v>
      </c>
      <c r="C855" s="4" t="s">
        <v>667</v>
      </c>
      <c r="D855" s="4" t="s">
        <v>723</v>
      </c>
      <c r="E855" s="4" t="s">
        <v>724</v>
      </c>
      <c r="F855" s="4" t="s">
        <v>723</v>
      </c>
    </row>
    <row r="856" spans="1:6" ht="14.4" thickBot="1" x14ac:dyDescent="0.35">
      <c r="A856" s="4" t="s">
        <v>667</v>
      </c>
      <c r="B856" s="4" t="s">
        <v>668</v>
      </c>
      <c r="C856" s="4" t="s">
        <v>667</v>
      </c>
      <c r="D856" s="4" t="s">
        <v>3094</v>
      </c>
      <c r="E856" s="4" t="s">
        <v>3095</v>
      </c>
      <c r="F856" s="4" t="s">
        <v>3094</v>
      </c>
    </row>
    <row r="857" spans="1:6" ht="14.4" thickBot="1" x14ac:dyDescent="0.35">
      <c r="A857" s="4" t="s">
        <v>667</v>
      </c>
      <c r="B857" s="4" t="s">
        <v>668</v>
      </c>
      <c r="C857" s="4" t="s">
        <v>667</v>
      </c>
      <c r="D857" s="4" t="s">
        <v>681</v>
      </c>
      <c r="E857" s="4" t="s">
        <v>682</v>
      </c>
      <c r="F857" s="4" t="s">
        <v>681</v>
      </c>
    </row>
    <row r="858" spans="1:6" ht="14.4" thickBot="1" x14ac:dyDescent="0.35">
      <c r="A858" s="4" t="s">
        <v>667</v>
      </c>
      <c r="B858" s="4" t="s">
        <v>668</v>
      </c>
      <c r="C858" s="4" t="s">
        <v>667</v>
      </c>
      <c r="D858" s="4" t="s">
        <v>40</v>
      </c>
      <c r="E858" s="4" t="s">
        <v>5411</v>
      </c>
      <c r="F858" s="4" t="s">
        <v>40</v>
      </c>
    </row>
    <row r="859" spans="1:6" ht="14.4" thickBot="1" x14ac:dyDescent="0.35">
      <c r="A859" s="4" t="s">
        <v>667</v>
      </c>
      <c r="B859" s="4" t="s">
        <v>668</v>
      </c>
      <c r="C859" s="4" t="s">
        <v>667</v>
      </c>
      <c r="D859" s="4" t="s">
        <v>902</v>
      </c>
      <c r="E859" s="4" t="s">
        <v>903</v>
      </c>
      <c r="F859" s="4" t="s">
        <v>902</v>
      </c>
    </row>
    <row r="860" spans="1:6" ht="14.4" thickBot="1" x14ac:dyDescent="0.35">
      <c r="A860" s="4" t="s">
        <v>667</v>
      </c>
      <c r="B860" s="4" t="s">
        <v>668</v>
      </c>
      <c r="C860" s="4" t="s">
        <v>667</v>
      </c>
      <c r="D860" s="4" t="s">
        <v>713</v>
      </c>
      <c r="E860" s="4" t="s">
        <v>714</v>
      </c>
      <c r="F860" s="4" t="s">
        <v>713</v>
      </c>
    </row>
    <row r="861" spans="1:6" ht="14.4" thickBot="1" x14ac:dyDescent="0.35">
      <c r="A861" s="4" t="s">
        <v>667</v>
      </c>
      <c r="B861" s="4" t="s">
        <v>668</v>
      </c>
      <c r="C861" s="4" t="s">
        <v>667</v>
      </c>
      <c r="D861" s="4" t="s">
        <v>3190</v>
      </c>
      <c r="E861" s="4" t="s">
        <v>3191</v>
      </c>
      <c r="F861" s="4" t="s">
        <v>3190</v>
      </c>
    </row>
    <row r="862" spans="1:6" ht="14.4" thickBot="1" x14ac:dyDescent="0.35">
      <c r="A862" s="4" t="s">
        <v>667</v>
      </c>
      <c r="B862" s="4" t="s">
        <v>668</v>
      </c>
      <c r="C862" s="4" t="s">
        <v>667</v>
      </c>
      <c r="D862" s="4" t="s">
        <v>4710</v>
      </c>
      <c r="E862" s="4" t="s">
        <v>4711</v>
      </c>
      <c r="F862" s="4" t="s">
        <v>4710</v>
      </c>
    </row>
    <row r="863" spans="1:6" ht="14.4" thickBot="1" x14ac:dyDescent="0.35">
      <c r="A863" s="4" t="s">
        <v>667</v>
      </c>
      <c r="B863" s="4" t="s">
        <v>668</v>
      </c>
      <c r="C863" s="4" t="s">
        <v>667</v>
      </c>
      <c r="D863" s="4" t="s">
        <v>669</v>
      </c>
      <c r="E863" s="4" t="s">
        <v>670</v>
      </c>
      <c r="F863" s="4" t="s">
        <v>669</v>
      </c>
    </row>
    <row r="864" spans="1:6" ht="14.4" thickBot="1" x14ac:dyDescent="0.35">
      <c r="A864" s="4" t="s">
        <v>667</v>
      </c>
      <c r="B864" s="4" t="s">
        <v>668</v>
      </c>
      <c r="C864" s="4" t="s">
        <v>667</v>
      </c>
      <c r="D864" s="4" t="s">
        <v>3192</v>
      </c>
      <c r="E864" s="4" t="s">
        <v>3193</v>
      </c>
      <c r="F864" s="4" t="s">
        <v>3192</v>
      </c>
    </row>
    <row r="865" spans="1:6" ht="14.4" thickBot="1" x14ac:dyDescent="0.35">
      <c r="A865" s="4" t="s">
        <v>667</v>
      </c>
      <c r="B865" s="4" t="s">
        <v>668</v>
      </c>
      <c r="C865" s="4" t="s">
        <v>667</v>
      </c>
      <c r="D865" s="4" t="s">
        <v>3051</v>
      </c>
      <c r="E865" s="4" t="s">
        <v>3052</v>
      </c>
      <c r="F865" s="4" t="s">
        <v>3051</v>
      </c>
    </row>
    <row r="866" spans="1:6" ht="14.4" thickBot="1" x14ac:dyDescent="0.35">
      <c r="A866" s="4" t="s">
        <v>667</v>
      </c>
      <c r="B866" s="4" t="s">
        <v>668</v>
      </c>
      <c r="C866" s="4" t="s">
        <v>667</v>
      </c>
      <c r="D866" s="4" t="s">
        <v>1020</v>
      </c>
      <c r="E866" s="4" t="s">
        <v>5286</v>
      </c>
      <c r="F866" s="4" t="s">
        <v>1020</v>
      </c>
    </row>
    <row r="867" spans="1:6" ht="14.4" thickBot="1" x14ac:dyDescent="0.35">
      <c r="A867" s="4" t="s">
        <v>667</v>
      </c>
      <c r="B867" s="4" t="s">
        <v>668</v>
      </c>
      <c r="C867" s="4" t="s">
        <v>667</v>
      </c>
      <c r="D867" s="4" t="s">
        <v>2323</v>
      </c>
      <c r="E867" s="4" t="s">
        <v>2324</v>
      </c>
      <c r="F867" s="4" t="s">
        <v>2323</v>
      </c>
    </row>
    <row r="868" spans="1:6" ht="14.4" thickBot="1" x14ac:dyDescent="0.35">
      <c r="A868" s="4" t="s">
        <v>667</v>
      </c>
      <c r="B868" s="4" t="s">
        <v>668</v>
      </c>
      <c r="C868" s="4" t="s">
        <v>667</v>
      </c>
      <c r="D868" s="4" t="s">
        <v>4708</v>
      </c>
      <c r="E868" s="4" t="s">
        <v>4709</v>
      </c>
      <c r="F868" s="4" t="s">
        <v>4708</v>
      </c>
    </row>
    <row r="869" spans="1:6" ht="14.4" thickBot="1" x14ac:dyDescent="0.35">
      <c r="A869" s="4" t="s">
        <v>667</v>
      </c>
      <c r="B869" s="4" t="s">
        <v>668</v>
      </c>
      <c r="C869" s="4" t="s">
        <v>667</v>
      </c>
      <c r="D869" s="4" t="s">
        <v>721</v>
      </c>
      <c r="E869" s="4" t="s">
        <v>722</v>
      </c>
      <c r="F869" s="4" t="s">
        <v>721</v>
      </c>
    </row>
    <row r="870" spans="1:6" ht="14.4" thickBot="1" x14ac:dyDescent="0.35">
      <c r="A870" s="4" t="s">
        <v>667</v>
      </c>
      <c r="B870" s="4" t="s">
        <v>668</v>
      </c>
      <c r="C870" s="4" t="s">
        <v>667</v>
      </c>
      <c r="D870" s="4" t="s">
        <v>3069</v>
      </c>
      <c r="E870" s="4" t="s">
        <v>3070</v>
      </c>
      <c r="F870" s="4" t="s">
        <v>3069</v>
      </c>
    </row>
    <row r="871" spans="1:6" ht="14.4" thickBot="1" x14ac:dyDescent="0.35">
      <c r="A871" s="4" t="s">
        <v>667</v>
      </c>
      <c r="B871" s="4" t="s">
        <v>668</v>
      </c>
      <c r="C871" s="4" t="s">
        <v>667</v>
      </c>
      <c r="D871" s="4" t="s">
        <v>1625</v>
      </c>
      <c r="E871" s="4" t="s">
        <v>1626</v>
      </c>
      <c r="F871" s="4" t="s">
        <v>1625</v>
      </c>
    </row>
    <row r="872" spans="1:6" ht="14.4" thickBot="1" x14ac:dyDescent="0.35">
      <c r="A872" s="4" t="s">
        <v>667</v>
      </c>
      <c r="B872" s="4" t="s">
        <v>668</v>
      </c>
      <c r="C872" s="4" t="s">
        <v>667</v>
      </c>
      <c r="D872" s="4" t="s">
        <v>5291</v>
      </c>
      <c r="E872" s="4" t="s">
        <v>5292</v>
      </c>
      <c r="F872" s="4" t="s">
        <v>5291</v>
      </c>
    </row>
    <row r="873" spans="1:6" ht="14.4" thickBot="1" x14ac:dyDescent="0.35">
      <c r="A873" s="4" t="s">
        <v>667</v>
      </c>
      <c r="B873" s="4" t="s">
        <v>668</v>
      </c>
      <c r="C873" s="4" t="s">
        <v>667</v>
      </c>
      <c r="D873" s="4" t="s">
        <v>725</v>
      </c>
      <c r="E873" s="4" t="s">
        <v>726</v>
      </c>
      <c r="F873" s="4" t="s">
        <v>725</v>
      </c>
    </row>
    <row r="874" spans="1:6" ht="14.4" thickBot="1" x14ac:dyDescent="0.35">
      <c r="A874" s="4" t="s">
        <v>667</v>
      </c>
      <c r="B874" s="4" t="s">
        <v>668</v>
      </c>
      <c r="C874" s="4" t="s">
        <v>667</v>
      </c>
      <c r="D874" s="4" t="s">
        <v>3845</v>
      </c>
      <c r="E874" s="4" t="s">
        <v>3846</v>
      </c>
      <c r="F874" s="4" t="s">
        <v>3845</v>
      </c>
    </row>
    <row r="875" spans="1:6" ht="14.4" thickBot="1" x14ac:dyDescent="0.35">
      <c r="A875" s="4" t="s">
        <v>667</v>
      </c>
      <c r="B875" s="4" t="s">
        <v>668</v>
      </c>
      <c r="C875" s="4" t="s">
        <v>667</v>
      </c>
      <c r="D875" s="4" t="s">
        <v>1621</v>
      </c>
      <c r="E875" s="4" t="s">
        <v>1622</v>
      </c>
      <c r="F875" s="4" t="s">
        <v>1621</v>
      </c>
    </row>
    <row r="876" spans="1:6" ht="14.4" thickBot="1" x14ac:dyDescent="0.35">
      <c r="A876" s="4" t="s">
        <v>667</v>
      </c>
      <c r="B876" s="4" t="s">
        <v>668</v>
      </c>
      <c r="C876" s="4" t="s">
        <v>667</v>
      </c>
      <c r="D876" s="4" t="s">
        <v>3075</v>
      </c>
      <c r="E876" s="4" t="s">
        <v>3076</v>
      </c>
      <c r="F876" s="4" t="s">
        <v>3075</v>
      </c>
    </row>
    <row r="877" spans="1:6" ht="14.4" thickBot="1" x14ac:dyDescent="0.35">
      <c r="A877" s="4" t="s">
        <v>667</v>
      </c>
      <c r="B877" s="4" t="s">
        <v>668</v>
      </c>
      <c r="C877" s="4" t="s">
        <v>667</v>
      </c>
      <c r="D877" s="4" t="s">
        <v>906</v>
      </c>
      <c r="E877" s="4" t="s">
        <v>907</v>
      </c>
      <c r="F877" s="4" t="s">
        <v>906</v>
      </c>
    </row>
    <row r="878" spans="1:6" ht="14.4" thickBot="1" x14ac:dyDescent="0.35">
      <c r="A878" s="4" t="s">
        <v>667</v>
      </c>
      <c r="B878" s="4" t="s">
        <v>668</v>
      </c>
      <c r="C878" s="4" t="s">
        <v>667</v>
      </c>
      <c r="D878" s="4" t="s">
        <v>5412</v>
      </c>
      <c r="E878" s="4" t="s">
        <v>5413</v>
      </c>
      <c r="F878" s="4" t="s">
        <v>5412</v>
      </c>
    </row>
    <row r="879" spans="1:6" ht="14.4" thickBot="1" x14ac:dyDescent="0.35">
      <c r="A879" s="4" t="s">
        <v>667</v>
      </c>
      <c r="B879" s="4" t="s">
        <v>668</v>
      </c>
      <c r="C879" s="4" t="s">
        <v>667</v>
      </c>
      <c r="D879" s="4" t="s">
        <v>1758</v>
      </c>
      <c r="E879" s="4" t="s">
        <v>1759</v>
      </c>
      <c r="F879" s="4" t="s">
        <v>1758</v>
      </c>
    </row>
    <row r="880" spans="1:6" ht="14.4" thickBot="1" x14ac:dyDescent="0.35">
      <c r="A880" s="4" t="s">
        <v>667</v>
      </c>
      <c r="B880" s="4" t="s">
        <v>668</v>
      </c>
      <c r="C880" s="4" t="s">
        <v>667</v>
      </c>
      <c r="D880" s="4" t="s">
        <v>1760</v>
      </c>
      <c r="E880" s="4" t="s">
        <v>1761</v>
      </c>
      <c r="F880" s="4" t="s">
        <v>1760</v>
      </c>
    </row>
    <row r="881" spans="1:6" ht="14.4" thickBot="1" x14ac:dyDescent="0.35">
      <c r="A881" s="4" t="s">
        <v>667</v>
      </c>
      <c r="B881" s="4" t="s">
        <v>668</v>
      </c>
      <c r="C881" s="4" t="s">
        <v>667</v>
      </c>
      <c r="D881" s="4" t="s">
        <v>2304</v>
      </c>
      <c r="E881" s="4" t="s">
        <v>2305</v>
      </c>
      <c r="F881" s="4" t="s">
        <v>2304</v>
      </c>
    </row>
    <row r="882" spans="1:6" ht="14.4" thickBot="1" x14ac:dyDescent="0.35">
      <c r="A882" s="4" t="s">
        <v>667</v>
      </c>
      <c r="B882" s="4" t="s">
        <v>668</v>
      </c>
      <c r="C882" s="4" t="s">
        <v>667</v>
      </c>
      <c r="D882" s="4" t="s">
        <v>4585</v>
      </c>
      <c r="E882" s="4" t="s">
        <v>4586</v>
      </c>
      <c r="F882" s="4" t="s">
        <v>4585</v>
      </c>
    </row>
    <row r="883" spans="1:6" ht="14.4" thickBot="1" x14ac:dyDescent="0.35">
      <c r="A883" s="4" t="s">
        <v>667</v>
      </c>
      <c r="B883" s="4" t="s">
        <v>668</v>
      </c>
      <c r="C883" s="4" t="s">
        <v>667</v>
      </c>
      <c r="D883" s="4" t="s">
        <v>5254</v>
      </c>
      <c r="E883" s="4" t="s">
        <v>5255</v>
      </c>
      <c r="F883" s="4" t="s">
        <v>5254</v>
      </c>
    </row>
    <row r="884" spans="1:6" ht="14.4" thickBot="1" x14ac:dyDescent="0.35">
      <c r="A884" s="4" t="s">
        <v>667</v>
      </c>
      <c r="B884" s="4" t="s">
        <v>668</v>
      </c>
      <c r="C884" s="4" t="s">
        <v>667</v>
      </c>
      <c r="D884" s="4" t="s">
        <v>3825</v>
      </c>
      <c r="E884" s="4" t="s">
        <v>3826</v>
      </c>
      <c r="F884" s="4" t="s">
        <v>3825</v>
      </c>
    </row>
    <row r="885" spans="1:6" ht="14.4" thickBot="1" x14ac:dyDescent="0.35">
      <c r="A885" s="4" t="s">
        <v>667</v>
      </c>
      <c r="B885" s="4" t="s">
        <v>668</v>
      </c>
      <c r="C885" s="4" t="s">
        <v>667</v>
      </c>
      <c r="D885" s="4" t="s">
        <v>2308</v>
      </c>
      <c r="E885" s="4" t="s">
        <v>2309</v>
      </c>
      <c r="F885" s="4" t="s">
        <v>2308</v>
      </c>
    </row>
    <row r="886" spans="1:6" ht="14.4" thickBot="1" x14ac:dyDescent="0.35">
      <c r="A886" s="4" t="s">
        <v>667</v>
      </c>
      <c r="B886" s="4" t="s">
        <v>668</v>
      </c>
      <c r="C886" s="4" t="s">
        <v>667</v>
      </c>
      <c r="D886" s="4" t="s">
        <v>5935</v>
      </c>
      <c r="E886" s="4" t="s">
        <v>781</v>
      </c>
      <c r="F886" s="4" t="s">
        <v>5935</v>
      </c>
    </row>
    <row r="887" spans="1:6" ht="14.4" thickBot="1" x14ac:dyDescent="0.35">
      <c r="A887" s="4" t="s">
        <v>667</v>
      </c>
      <c r="B887" s="4" t="s">
        <v>668</v>
      </c>
      <c r="C887" s="4" t="s">
        <v>667</v>
      </c>
      <c r="D887" s="4" t="s">
        <v>3873</v>
      </c>
      <c r="E887" s="4" t="s">
        <v>3874</v>
      </c>
      <c r="F887" s="4" t="s">
        <v>3873</v>
      </c>
    </row>
    <row r="888" spans="1:6" ht="14.4" thickBot="1" x14ac:dyDescent="0.35">
      <c r="A888" s="4" t="s">
        <v>667</v>
      </c>
      <c r="B888" s="4" t="s">
        <v>668</v>
      </c>
      <c r="C888" s="4" t="s">
        <v>667</v>
      </c>
      <c r="D888" s="4" t="s">
        <v>3871</v>
      </c>
      <c r="E888" s="4" t="s">
        <v>3872</v>
      </c>
      <c r="F888" s="4" t="s">
        <v>3871</v>
      </c>
    </row>
    <row r="889" spans="1:6" ht="14.4" thickBot="1" x14ac:dyDescent="0.35">
      <c r="A889" s="4" t="s">
        <v>667</v>
      </c>
      <c r="B889" s="4" t="s">
        <v>668</v>
      </c>
      <c r="C889" s="4" t="s">
        <v>667</v>
      </c>
      <c r="D889" s="4" t="s">
        <v>4599</v>
      </c>
      <c r="E889" s="4" t="s">
        <v>4600</v>
      </c>
      <c r="F889" s="4" t="s">
        <v>4599</v>
      </c>
    </row>
    <row r="890" spans="1:6" ht="14.4" thickBot="1" x14ac:dyDescent="0.35">
      <c r="A890" s="4" t="s">
        <v>667</v>
      </c>
      <c r="B890" s="4" t="s">
        <v>668</v>
      </c>
      <c r="C890" s="4" t="s">
        <v>667</v>
      </c>
      <c r="D890" s="4" t="s">
        <v>4589</v>
      </c>
      <c r="E890" s="4" t="s">
        <v>4590</v>
      </c>
      <c r="F890" s="4" t="s">
        <v>4589</v>
      </c>
    </row>
    <row r="891" spans="1:6" ht="14.4" thickBot="1" x14ac:dyDescent="0.35">
      <c r="A891" s="4" t="s">
        <v>667</v>
      </c>
      <c r="B891" s="4" t="s">
        <v>668</v>
      </c>
      <c r="C891" s="4" t="s">
        <v>667</v>
      </c>
      <c r="D891" s="4" t="s">
        <v>4604</v>
      </c>
      <c r="E891" s="4" t="s">
        <v>4605</v>
      </c>
      <c r="F891" s="4" t="s">
        <v>4604</v>
      </c>
    </row>
    <row r="892" spans="1:6" ht="14.4" thickBot="1" x14ac:dyDescent="0.35">
      <c r="A892" s="4" t="s">
        <v>667</v>
      </c>
      <c r="B892" s="4" t="s">
        <v>668</v>
      </c>
      <c r="C892" s="4" t="s">
        <v>667</v>
      </c>
      <c r="D892" s="4" t="s">
        <v>689</v>
      </c>
      <c r="E892" s="4" t="s">
        <v>690</v>
      </c>
      <c r="F892" s="4" t="s">
        <v>689</v>
      </c>
    </row>
    <row r="893" spans="1:6" ht="14.4" thickBot="1" x14ac:dyDescent="0.35">
      <c r="A893" s="4" t="s">
        <v>667</v>
      </c>
      <c r="B893" s="4" t="s">
        <v>668</v>
      </c>
      <c r="C893" s="4" t="s">
        <v>667</v>
      </c>
      <c r="D893" s="4" t="s">
        <v>3061</v>
      </c>
      <c r="E893" s="4" t="s">
        <v>3062</v>
      </c>
      <c r="F893" s="4" t="s">
        <v>3061</v>
      </c>
    </row>
    <row r="894" spans="1:6" ht="14.4" thickBot="1" x14ac:dyDescent="0.35">
      <c r="A894" s="4" t="s">
        <v>667</v>
      </c>
      <c r="B894" s="4" t="s">
        <v>668</v>
      </c>
      <c r="C894" s="4" t="s">
        <v>667</v>
      </c>
      <c r="D894" s="4" t="s">
        <v>5983</v>
      </c>
      <c r="E894" s="4" t="s">
        <v>5984</v>
      </c>
      <c r="F894" s="4" t="s">
        <v>5983</v>
      </c>
    </row>
    <row r="895" spans="1:6" ht="14.4" thickBot="1" x14ac:dyDescent="0.35">
      <c r="A895" s="4" t="s">
        <v>667</v>
      </c>
      <c r="B895" s="4" t="s">
        <v>668</v>
      </c>
      <c r="C895" s="4" t="s">
        <v>667</v>
      </c>
      <c r="D895" s="4" t="s">
        <v>5975</v>
      </c>
      <c r="E895" s="4" t="s">
        <v>5976</v>
      </c>
      <c r="F895" s="4" t="s">
        <v>5975</v>
      </c>
    </row>
    <row r="896" spans="1:6" ht="14.4" thickBot="1" x14ac:dyDescent="0.35">
      <c r="A896" s="4" t="s">
        <v>667</v>
      </c>
      <c r="B896" s="4" t="s">
        <v>668</v>
      </c>
      <c r="C896" s="4" t="s">
        <v>667</v>
      </c>
      <c r="D896" s="4" t="s">
        <v>1600</v>
      </c>
      <c r="E896" s="4" t="s">
        <v>1601</v>
      </c>
      <c r="F896" s="4" t="s">
        <v>1600</v>
      </c>
    </row>
    <row r="897" spans="1:6" ht="14.4" thickBot="1" x14ac:dyDescent="0.35">
      <c r="A897" s="4" t="s">
        <v>667</v>
      </c>
      <c r="B897" s="4" t="s">
        <v>668</v>
      </c>
      <c r="C897" s="4" t="s">
        <v>667</v>
      </c>
      <c r="D897" s="4" t="s">
        <v>3206</v>
      </c>
      <c r="E897" s="4" t="s">
        <v>3207</v>
      </c>
      <c r="F897" s="4" t="s">
        <v>3206</v>
      </c>
    </row>
    <row r="898" spans="1:6" ht="14.4" thickBot="1" x14ac:dyDescent="0.35">
      <c r="A898" s="4" t="s">
        <v>667</v>
      </c>
      <c r="B898" s="4" t="s">
        <v>668</v>
      </c>
      <c r="C898" s="4" t="s">
        <v>667</v>
      </c>
      <c r="D898" s="4" t="s">
        <v>6114</v>
      </c>
      <c r="E898" s="4" t="s">
        <v>6115</v>
      </c>
      <c r="F898" s="4" t="s">
        <v>6114</v>
      </c>
    </row>
    <row r="899" spans="1:6" ht="14.4" thickBot="1" x14ac:dyDescent="0.35">
      <c r="A899" s="4" t="s">
        <v>667</v>
      </c>
      <c r="B899" s="4" t="s">
        <v>668</v>
      </c>
      <c r="C899" s="4" t="s">
        <v>667</v>
      </c>
      <c r="D899" s="4" t="s">
        <v>5405</v>
      </c>
      <c r="E899" s="4" t="s">
        <v>5406</v>
      </c>
      <c r="F899" s="4" t="s">
        <v>5405</v>
      </c>
    </row>
    <row r="900" spans="1:6" ht="14.4" thickBot="1" x14ac:dyDescent="0.35">
      <c r="A900" s="4" t="s">
        <v>667</v>
      </c>
      <c r="B900" s="4" t="s">
        <v>668</v>
      </c>
      <c r="C900" s="4" t="s">
        <v>667</v>
      </c>
      <c r="D900" s="4" t="s">
        <v>4033</v>
      </c>
      <c r="E900" s="4" t="s">
        <v>4034</v>
      </c>
      <c r="F900" s="4" t="s">
        <v>4033</v>
      </c>
    </row>
    <row r="901" spans="1:6" ht="14.4" thickBot="1" x14ac:dyDescent="0.35">
      <c r="A901" s="4" t="s">
        <v>667</v>
      </c>
      <c r="B901" s="4" t="s">
        <v>668</v>
      </c>
      <c r="C901" s="4" t="s">
        <v>667</v>
      </c>
      <c r="D901" s="4" t="s">
        <v>926</v>
      </c>
      <c r="E901" s="4" t="s">
        <v>927</v>
      </c>
      <c r="F901" s="4" t="s">
        <v>926</v>
      </c>
    </row>
    <row r="902" spans="1:6" ht="14.4" thickBot="1" x14ac:dyDescent="0.35">
      <c r="A902" s="4" t="s">
        <v>667</v>
      </c>
      <c r="B902" s="4" t="s">
        <v>668</v>
      </c>
      <c r="C902" s="4" t="s">
        <v>667</v>
      </c>
      <c r="D902" s="4" t="s">
        <v>1782</v>
      </c>
      <c r="E902" s="4" t="s">
        <v>1783</v>
      </c>
      <c r="F902" s="4" t="s">
        <v>1782</v>
      </c>
    </row>
    <row r="903" spans="1:6" ht="14.4" thickBot="1" x14ac:dyDescent="0.35">
      <c r="A903" s="4" t="s">
        <v>667</v>
      </c>
      <c r="B903" s="4" t="s">
        <v>668</v>
      </c>
      <c r="C903" s="4" t="s">
        <v>667</v>
      </c>
      <c r="D903" s="4" t="s">
        <v>6124</v>
      </c>
      <c r="E903" s="4" t="s">
        <v>6125</v>
      </c>
      <c r="F903" s="4" t="s">
        <v>6124</v>
      </c>
    </row>
    <row r="904" spans="1:6" ht="14.4" thickBot="1" x14ac:dyDescent="0.35">
      <c r="A904" s="4" t="s">
        <v>667</v>
      </c>
      <c r="B904" s="4" t="s">
        <v>668</v>
      </c>
      <c r="C904" s="4" t="s">
        <v>667</v>
      </c>
      <c r="D904" s="4" t="s">
        <v>4005</v>
      </c>
      <c r="E904" s="4" t="s">
        <v>4006</v>
      </c>
      <c r="F904" s="4" t="s">
        <v>4005</v>
      </c>
    </row>
    <row r="905" spans="1:6" ht="14.4" thickBot="1" x14ac:dyDescent="0.35">
      <c r="A905" s="4" t="s">
        <v>667</v>
      </c>
      <c r="B905" s="4" t="s">
        <v>668</v>
      </c>
      <c r="C905" s="4" t="s">
        <v>667</v>
      </c>
      <c r="D905" s="4" t="s">
        <v>4734</v>
      </c>
      <c r="E905" s="4" t="s">
        <v>4735</v>
      </c>
      <c r="F905" s="4" t="s">
        <v>4734</v>
      </c>
    </row>
    <row r="906" spans="1:6" ht="14.4" thickBot="1" x14ac:dyDescent="0.35">
      <c r="A906" s="4" t="s">
        <v>667</v>
      </c>
      <c r="B906" s="4" t="s">
        <v>668</v>
      </c>
      <c r="C906" s="4" t="s">
        <v>667</v>
      </c>
      <c r="D906" s="4" t="s">
        <v>1780</v>
      </c>
      <c r="E906" s="4" t="s">
        <v>1781</v>
      </c>
      <c r="F906" s="4" t="s">
        <v>1780</v>
      </c>
    </row>
    <row r="907" spans="1:6" ht="14.4" thickBot="1" x14ac:dyDescent="0.35">
      <c r="A907" s="4" t="s">
        <v>667</v>
      </c>
      <c r="B907" s="4" t="s">
        <v>668</v>
      </c>
      <c r="C907" s="4" t="s">
        <v>667</v>
      </c>
      <c r="D907" s="4" t="s">
        <v>4732</v>
      </c>
      <c r="E907" s="4" t="s">
        <v>4733</v>
      </c>
      <c r="F907" s="4" t="s">
        <v>4732</v>
      </c>
    </row>
    <row r="908" spans="1:6" ht="14.4" thickBot="1" x14ac:dyDescent="0.35">
      <c r="A908" s="4" t="s">
        <v>667</v>
      </c>
      <c r="B908" s="4" t="s">
        <v>668</v>
      </c>
      <c r="C908" s="4" t="s">
        <v>667</v>
      </c>
      <c r="D908" s="4" t="s">
        <v>3216</v>
      </c>
      <c r="E908" s="4" t="s">
        <v>3217</v>
      </c>
      <c r="F908" s="4" t="s">
        <v>3216</v>
      </c>
    </row>
    <row r="909" spans="1:6" ht="14.4" thickBot="1" x14ac:dyDescent="0.35">
      <c r="A909" s="4" t="s">
        <v>667</v>
      </c>
      <c r="B909" s="4" t="s">
        <v>668</v>
      </c>
      <c r="C909" s="4" t="s">
        <v>667</v>
      </c>
      <c r="D909" s="4" t="s">
        <v>1586</v>
      </c>
      <c r="E909" s="4" t="s">
        <v>1587</v>
      </c>
      <c r="F909" s="4" t="s">
        <v>1586</v>
      </c>
    </row>
    <row r="910" spans="1:6" ht="14.4" thickBot="1" x14ac:dyDescent="0.35">
      <c r="A910" s="4" t="s">
        <v>667</v>
      </c>
      <c r="B910" s="4" t="s">
        <v>668</v>
      </c>
      <c r="C910" s="4" t="s">
        <v>667</v>
      </c>
      <c r="D910" s="4" t="s">
        <v>924</v>
      </c>
      <c r="E910" s="4" t="s">
        <v>925</v>
      </c>
      <c r="F910" s="4" t="s">
        <v>924</v>
      </c>
    </row>
    <row r="911" spans="1:6" ht="14.4" thickBot="1" x14ac:dyDescent="0.35">
      <c r="A911" s="4" t="s">
        <v>667</v>
      </c>
      <c r="B911" s="4" t="s">
        <v>668</v>
      </c>
      <c r="C911" s="4" t="s">
        <v>667</v>
      </c>
      <c r="D911" s="4" t="s">
        <v>4730</v>
      </c>
      <c r="E911" s="4" t="s">
        <v>4731</v>
      </c>
      <c r="F911" s="4" t="s">
        <v>4730</v>
      </c>
    </row>
    <row r="912" spans="1:6" ht="14.4" thickBot="1" x14ac:dyDescent="0.35">
      <c r="A912" s="4" t="s">
        <v>667</v>
      </c>
      <c r="B912" s="4" t="s">
        <v>668</v>
      </c>
      <c r="C912" s="4" t="s">
        <v>667</v>
      </c>
      <c r="D912" s="4" t="s">
        <v>4009</v>
      </c>
      <c r="E912" s="4" t="s">
        <v>4010</v>
      </c>
      <c r="F912" s="4" t="s">
        <v>4009</v>
      </c>
    </row>
    <row r="913" spans="1:6" ht="14.4" thickBot="1" x14ac:dyDescent="0.35">
      <c r="A913" s="4" t="s">
        <v>667</v>
      </c>
      <c r="B913" s="4" t="s">
        <v>668</v>
      </c>
      <c r="C913" s="4" t="s">
        <v>667</v>
      </c>
      <c r="D913" s="4" t="s">
        <v>2447</v>
      </c>
      <c r="E913" s="4" t="s">
        <v>2448</v>
      </c>
      <c r="F913" s="4" t="s">
        <v>2447</v>
      </c>
    </row>
    <row r="914" spans="1:6" ht="14.4" thickBot="1" x14ac:dyDescent="0.35">
      <c r="A914" s="4" t="s">
        <v>667</v>
      </c>
      <c r="B914" s="4" t="s">
        <v>668</v>
      </c>
      <c r="C914" s="4" t="s">
        <v>667</v>
      </c>
      <c r="D914" s="4" t="s">
        <v>1778</v>
      </c>
      <c r="E914" s="4" t="s">
        <v>1779</v>
      </c>
      <c r="F914" s="4" t="s">
        <v>1778</v>
      </c>
    </row>
    <row r="915" spans="1:6" ht="14.4" thickBot="1" x14ac:dyDescent="0.35">
      <c r="A915" s="4" t="s">
        <v>667</v>
      </c>
      <c r="B915" s="4" t="s">
        <v>668</v>
      </c>
      <c r="C915" s="4" t="s">
        <v>667</v>
      </c>
      <c r="D915" s="4" t="s">
        <v>1776</v>
      </c>
      <c r="E915" s="4" t="s">
        <v>1777</v>
      </c>
      <c r="F915" s="4" t="s">
        <v>1776</v>
      </c>
    </row>
    <row r="916" spans="1:6" ht="14.4" thickBot="1" x14ac:dyDescent="0.35">
      <c r="A916" s="4" t="s">
        <v>667</v>
      </c>
      <c r="B916" s="4" t="s">
        <v>668</v>
      </c>
      <c r="C916" s="4" t="s">
        <v>667</v>
      </c>
      <c r="D916" s="4" t="s">
        <v>6118</v>
      </c>
      <c r="E916" s="4" t="s">
        <v>6119</v>
      </c>
      <c r="F916" s="4" t="s">
        <v>6118</v>
      </c>
    </row>
    <row r="917" spans="1:6" ht="14.4" thickBot="1" x14ac:dyDescent="0.35">
      <c r="A917" s="4" t="s">
        <v>667</v>
      </c>
      <c r="B917" s="4" t="s">
        <v>668</v>
      </c>
      <c r="C917" s="4" t="s">
        <v>667</v>
      </c>
      <c r="D917" s="4" t="s">
        <v>920</v>
      </c>
      <c r="E917" s="4" t="s">
        <v>921</v>
      </c>
      <c r="F917" s="4" t="s">
        <v>920</v>
      </c>
    </row>
    <row r="918" spans="1:6" ht="14.4" thickBot="1" x14ac:dyDescent="0.35">
      <c r="A918" s="4" t="s">
        <v>667</v>
      </c>
      <c r="B918" s="4" t="s">
        <v>668</v>
      </c>
      <c r="C918" s="4" t="s">
        <v>667</v>
      </c>
      <c r="D918" s="4" t="s">
        <v>3210</v>
      </c>
      <c r="E918" s="4" t="s">
        <v>3211</v>
      </c>
      <c r="F918" s="4" t="s">
        <v>3210</v>
      </c>
    </row>
    <row r="919" spans="1:6" ht="14.4" thickBot="1" x14ac:dyDescent="0.35">
      <c r="A919" s="4" t="s">
        <v>667</v>
      </c>
      <c r="B919" s="4" t="s">
        <v>668</v>
      </c>
      <c r="C919" s="4" t="s">
        <v>667</v>
      </c>
      <c r="D919" s="4" t="s">
        <v>5420</v>
      </c>
      <c r="E919" s="4" t="s">
        <v>5421</v>
      </c>
      <c r="F919" s="4" t="s">
        <v>5420</v>
      </c>
    </row>
    <row r="920" spans="1:6" ht="14.4" thickBot="1" x14ac:dyDescent="0.35">
      <c r="A920" s="4" t="s">
        <v>667</v>
      </c>
      <c r="B920" s="4" t="s">
        <v>668</v>
      </c>
      <c r="C920" s="4" t="s">
        <v>667</v>
      </c>
      <c r="D920" s="4" t="s">
        <v>6116</v>
      </c>
      <c r="E920" s="4" t="s">
        <v>6117</v>
      </c>
      <c r="F920" s="4" t="s">
        <v>6116</v>
      </c>
    </row>
    <row r="921" spans="1:6" ht="14.4" thickBot="1" x14ac:dyDescent="0.35">
      <c r="A921" s="4" t="s">
        <v>667</v>
      </c>
      <c r="B921" s="4" t="s">
        <v>668</v>
      </c>
      <c r="C921" s="4" t="s">
        <v>667</v>
      </c>
      <c r="D921" s="4" t="s">
        <v>1774</v>
      </c>
      <c r="E921" s="4" t="s">
        <v>1775</v>
      </c>
      <c r="F921" s="4" t="s">
        <v>1774</v>
      </c>
    </row>
    <row r="922" spans="1:6" ht="14.4" thickBot="1" x14ac:dyDescent="0.35">
      <c r="A922" s="4" t="s">
        <v>667</v>
      </c>
      <c r="B922" s="4" t="s">
        <v>668</v>
      </c>
      <c r="C922" s="4" t="s">
        <v>667</v>
      </c>
      <c r="D922" s="4" t="s">
        <v>4029</v>
      </c>
      <c r="E922" s="4" t="s">
        <v>4030</v>
      </c>
      <c r="F922" s="4" t="s">
        <v>4029</v>
      </c>
    </row>
    <row r="923" spans="1:6" ht="14.4" thickBot="1" x14ac:dyDescent="0.35">
      <c r="A923" s="4" t="s">
        <v>667</v>
      </c>
      <c r="B923" s="4" t="s">
        <v>668</v>
      </c>
      <c r="C923" s="4" t="s">
        <v>667</v>
      </c>
      <c r="D923" s="4" t="s">
        <v>3204</v>
      </c>
      <c r="E923" s="4" t="s">
        <v>3205</v>
      </c>
      <c r="F923" s="4" t="s">
        <v>3204</v>
      </c>
    </row>
    <row r="924" spans="1:6" ht="14.4" thickBot="1" x14ac:dyDescent="0.35">
      <c r="A924" s="4" t="s">
        <v>667</v>
      </c>
      <c r="B924" s="4" t="s">
        <v>668</v>
      </c>
      <c r="C924" s="4" t="s">
        <v>667</v>
      </c>
      <c r="D924" s="4" t="s">
        <v>4027</v>
      </c>
      <c r="E924" s="4" t="s">
        <v>4028</v>
      </c>
      <c r="F924" s="4" t="s">
        <v>4027</v>
      </c>
    </row>
    <row r="925" spans="1:6" ht="14.4" thickBot="1" x14ac:dyDescent="0.35">
      <c r="A925" s="4" t="s">
        <v>667</v>
      </c>
      <c r="B925" s="4" t="s">
        <v>668</v>
      </c>
      <c r="C925" s="4" t="s">
        <v>667</v>
      </c>
      <c r="D925" s="4" t="s">
        <v>3202</v>
      </c>
      <c r="E925" s="4" t="s">
        <v>3203</v>
      </c>
      <c r="F925" s="4" t="s">
        <v>3202</v>
      </c>
    </row>
    <row r="926" spans="1:6" ht="14.4" thickBot="1" x14ac:dyDescent="0.35">
      <c r="A926" s="4" t="s">
        <v>667</v>
      </c>
      <c r="B926" s="4" t="s">
        <v>668</v>
      </c>
      <c r="C926" s="4" t="s">
        <v>667</v>
      </c>
      <c r="D926" s="4" t="s">
        <v>2445</v>
      </c>
      <c r="E926" s="4" t="s">
        <v>2446</v>
      </c>
      <c r="F926" s="4" t="s">
        <v>2445</v>
      </c>
    </row>
    <row r="927" spans="1:6" ht="14.4" thickBot="1" x14ac:dyDescent="0.35">
      <c r="A927" s="4" t="s">
        <v>667</v>
      </c>
      <c r="B927" s="4" t="s">
        <v>668</v>
      </c>
      <c r="C927" s="4" t="s">
        <v>667</v>
      </c>
      <c r="D927" s="4" t="s">
        <v>918</v>
      </c>
      <c r="E927" s="4" t="s">
        <v>919</v>
      </c>
      <c r="F927" s="4" t="s">
        <v>918</v>
      </c>
    </row>
    <row r="928" spans="1:6" ht="14.4" thickBot="1" x14ac:dyDescent="0.35">
      <c r="A928" s="4" t="s">
        <v>667</v>
      </c>
      <c r="B928" s="4" t="s">
        <v>668</v>
      </c>
      <c r="C928" s="4" t="s">
        <v>667</v>
      </c>
      <c r="D928" s="4" t="s">
        <v>4025</v>
      </c>
      <c r="E928" s="4" t="s">
        <v>4026</v>
      </c>
      <c r="F928" s="4" t="s">
        <v>4025</v>
      </c>
    </row>
    <row r="929" spans="1:6" ht="14.4" thickBot="1" x14ac:dyDescent="0.35">
      <c r="A929" s="4" t="s">
        <v>667</v>
      </c>
      <c r="B929" s="4" t="s">
        <v>668</v>
      </c>
      <c r="C929" s="4" t="s">
        <v>667</v>
      </c>
      <c r="D929" s="4" t="s">
        <v>1772</v>
      </c>
      <c r="E929" s="4" t="s">
        <v>1773</v>
      </c>
      <c r="F929" s="4" t="s">
        <v>1772</v>
      </c>
    </row>
    <row r="930" spans="1:6" ht="14.4" thickBot="1" x14ac:dyDescent="0.35">
      <c r="A930" s="4" t="s">
        <v>667</v>
      </c>
      <c r="B930" s="4" t="s">
        <v>668</v>
      </c>
      <c r="C930" s="4" t="s">
        <v>667</v>
      </c>
      <c r="D930" s="4" t="s">
        <v>1770</v>
      </c>
      <c r="E930" s="4" t="s">
        <v>1771</v>
      </c>
      <c r="F930" s="4" t="s">
        <v>1770</v>
      </c>
    </row>
    <row r="931" spans="1:6" ht="14.4" thickBot="1" x14ac:dyDescent="0.35">
      <c r="A931" s="4" t="s">
        <v>667</v>
      </c>
      <c r="B931" s="4" t="s">
        <v>668</v>
      </c>
      <c r="C931" s="4" t="s">
        <v>667</v>
      </c>
      <c r="D931" s="4" t="s">
        <v>896</v>
      </c>
      <c r="E931" s="4" t="s">
        <v>897</v>
      </c>
      <c r="F931" s="4" t="s">
        <v>896</v>
      </c>
    </row>
    <row r="932" spans="1:6" ht="14.4" thickBot="1" x14ac:dyDescent="0.35">
      <c r="A932" s="4" t="s">
        <v>667</v>
      </c>
      <c r="B932" s="4" t="s">
        <v>668</v>
      </c>
      <c r="C932" s="4" t="s">
        <v>667</v>
      </c>
      <c r="D932" s="4" t="s">
        <v>3200</v>
      </c>
      <c r="E932" s="4" t="s">
        <v>3201</v>
      </c>
      <c r="F932" s="4" t="s">
        <v>3200</v>
      </c>
    </row>
    <row r="933" spans="1:6" ht="14.4" thickBot="1" x14ac:dyDescent="0.35">
      <c r="A933" s="4" t="s">
        <v>667</v>
      </c>
      <c r="B933" s="4" t="s">
        <v>668</v>
      </c>
      <c r="C933" s="4" t="s">
        <v>667</v>
      </c>
      <c r="D933" s="4" t="s">
        <v>890</v>
      </c>
      <c r="E933" s="4" t="s">
        <v>891</v>
      </c>
      <c r="F933" s="4" t="s">
        <v>890</v>
      </c>
    </row>
    <row r="934" spans="1:6" ht="14.4" thickBot="1" x14ac:dyDescent="0.35">
      <c r="A934" s="4" t="s">
        <v>667</v>
      </c>
      <c r="B934" s="4" t="s">
        <v>668</v>
      </c>
      <c r="C934" s="4" t="s">
        <v>667</v>
      </c>
      <c r="D934" s="4" t="s">
        <v>2443</v>
      </c>
      <c r="E934" s="4" t="s">
        <v>2444</v>
      </c>
      <c r="F934" s="4" t="s">
        <v>2443</v>
      </c>
    </row>
    <row r="935" spans="1:6" ht="14.4" thickBot="1" x14ac:dyDescent="0.35">
      <c r="A935" s="4" t="s">
        <v>667</v>
      </c>
      <c r="B935" s="4" t="s">
        <v>668</v>
      </c>
      <c r="C935" s="4" t="s">
        <v>667</v>
      </c>
      <c r="D935" s="4" t="s">
        <v>1768</v>
      </c>
      <c r="E935" s="4" t="s">
        <v>1769</v>
      </c>
      <c r="F935" s="4" t="s">
        <v>1768</v>
      </c>
    </row>
    <row r="936" spans="1:6" ht="14.4" thickBot="1" x14ac:dyDescent="0.35">
      <c r="A936" s="4" t="s">
        <v>667</v>
      </c>
      <c r="B936" s="4" t="s">
        <v>668</v>
      </c>
      <c r="C936" s="4" t="s">
        <v>667</v>
      </c>
      <c r="D936" s="4" t="s">
        <v>4023</v>
      </c>
      <c r="E936" s="4" t="s">
        <v>4024</v>
      </c>
      <c r="F936" s="4" t="s">
        <v>4023</v>
      </c>
    </row>
    <row r="937" spans="1:6" ht="14.4" thickBot="1" x14ac:dyDescent="0.35">
      <c r="A937" s="4" t="s">
        <v>667</v>
      </c>
      <c r="B937" s="4" t="s">
        <v>668</v>
      </c>
      <c r="C937" s="4" t="s">
        <v>667</v>
      </c>
      <c r="D937" s="4" t="s">
        <v>2441</v>
      </c>
      <c r="E937" s="4" t="s">
        <v>2442</v>
      </c>
      <c r="F937" s="4" t="s">
        <v>2441</v>
      </c>
    </row>
    <row r="938" spans="1:6" ht="14.4" thickBot="1" x14ac:dyDescent="0.35">
      <c r="A938" s="4" t="s">
        <v>667</v>
      </c>
      <c r="B938" s="4" t="s">
        <v>668</v>
      </c>
      <c r="C938" s="4" t="s">
        <v>667</v>
      </c>
      <c r="D938" s="4" t="s">
        <v>916</v>
      </c>
      <c r="E938" s="4" t="s">
        <v>917</v>
      </c>
      <c r="F938" s="4" t="s">
        <v>916</v>
      </c>
    </row>
    <row r="939" spans="1:6" ht="14.4" thickBot="1" x14ac:dyDescent="0.35">
      <c r="A939" s="4" t="s">
        <v>667</v>
      </c>
      <c r="B939" s="4" t="s">
        <v>668</v>
      </c>
      <c r="C939" s="4" t="s">
        <v>667</v>
      </c>
      <c r="D939" s="4" t="s">
        <v>5418</v>
      </c>
      <c r="E939" s="4" t="s">
        <v>5419</v>
      </c>
      <c r="F939" s="4" t="s">
        <v>5418</v>
      </c>
    </row>
    <row r="940" spans="1:6" ht="14.4" thickBot="1" x14ac:dyDescent="0.35">
      <c r="A940" s="4" t="s">
        <v>667</v>
      </c>
      <c r="B940" s="4" t="s">
        <v>668</v>
      </c>
      <c r="C940" s="4" t="s">
        <v>667</v>
      </c>
      <c r="D940" s="4" t="s">
        <v>4720</v>
      </c>
      <c r="E940" s="4" t="s">
        <v>4721</v>
      </c>
      <c r="F940" s="4" t="s">
        <v>4720</v>
      </c>
    </row>
    <row r="941" spans="1:6" ht="14.4" thickBot="1" x14ac:dyDescent="0.35">
      <c r="A941" s="4" t="s">
        <v>667</v>
      </c>
      <c r="B941" s="4" t="s">
        <v>668</v>
      </c>
      <c r="C941" s="4" t="s">
        <v>667</v>
      </c>
      <c r="D941" s="4" t="s">
        <v>6094</v>
      </c>
      <c r="E941" s="4" t="s">
        <v>6095</v>
      </c>
      <c r="F941" s="4" t="s">
        <v>6094</v>
      </c>
    </row>
    <row r="942" spans="1:6" ht="14.4" thickBot="1" x14ac:dyDescent="0.35">
      <c r="A942" s="4" t="s">
        <v>667</v>
      </c>
      <c r="B942" s="4" t="s">
        <v>668</v>
      </c>
      <c r="C942" s="4" t="s">
        <v>667</v>
      </c>
      <c r="D942" s="4" t="s">
        <v>4021</v>
      </c>
      <c r="E942" s="4" t="s">
        <v>4022</v>
      </c>
      <c r="F942" s="4" t="s">
        <v>4021</v>
      </c>
    </row>
    <row r="943" spans="1:6" ht="14.4" thickBot="1" x14ac:dyDescent="0.35">
      <c r="A943" s="4" t="s">
        <v>667</v>
      </c>
      <c r="B943" s="4" t="s">
        <v>668</v>
      </c>
      <c r="C943" s="4" t="s">
        <v>667</v>
      </c>
      <c r="D943" s="4" t="s">
        <v>1766</v>
      </c>
      <c r="E943" s="4" t="s">
        <v>1767</v>
      </c>
      <c r="F943" s="4" t="s">
        <v>1766</v>
      </c>
    </row>
    <row r="944" spans="1:6" ht="14.4" thickBot="1" x14ac:dyDescent="0.35">
      <c r="A944" s="4" t="s">
        <v>667</v>
      </c>
      <c r="B944" s="4" t="s">
        <v>668</v>
      </c>
      <c r="C944" s="4" t="s">
        <v>667</v>
      </c>
      <c r="D944" s="4" t="s">
        <v>6112</v>
      </c>
      <c r="E944" s="4" t="s">
        <v>6113</v>
      </c>
      <c r="F944" s="4" t="s">
        <v>6112</v>
      </c>
    </row>
    <row r="945" spans="1:6" ht="14.4" thickBot="1" x14ac:dyDescent="0.35">
      <c r="A945" s="4" t="s">
        <v>667</v>
      </c>
      <c r="B945" s="4" t="s">
        <v>668</v>
      </c>
      <c r="C945" s="4" t="s">
        <v>667</v>
      </c>
      <c r="D945" s="4" t="s">
        <v>6122</v>
      </c>
      <c r="E945" s="4" t="s">
        <v>6123</v>
      </c>
      <c r="F945" s="4" t="s">
        <v>6122</v>
      </c>
    </row>
    <row r="946" spans="1:6" ht="14.4" thickBot="1" x14ac:dyDescent="0.35">
      <c r="A946" s="4" t="s">
        <v>667</v>
      </c>
      <c r="B946" s="4" t="s">
        <v>668</v>
      </c>
      <c r="C946" s="4" t="s">
        <v>667</v>
      </c>
      <c r="D946" s="4" t="s">
        <v>4575</v>
      </c>
      <c r="E946" s="4" t="s">
        <v>4576</v>
      </c>
      <c r="F946" s="4" t="s">
        <v>4575</v>
      </c>
    </row>
    <row r="947" spans="1:6" ht="14.4" thickBot="1" x14ac:dyDescent="0.35">
      <c r="A947" s="4" t="s">
        <v>667</v>
      </c>
      <c r="B947" s="4" t="s">
        <v>668</v>
      </c>
      <c r="C947" s="4" t="s">
        <v>667</v>
      </c>
      <c r="D947" s="4" t="s">
        <v>3831</v>
      </c>
      <c r="E947" s="4" t="s">
        <v>3832</v>
      </c>
      <c r="F947" s="4" t="s">
        <v>3831</v>
      </c>
    </row>
    <row r="948" spans="1:6" ht="14.4" thickBot="1" x14ac:dyDescent="0.35">
      <c r="A948" s="4" t="s">
        <v>667</v>
      </c>
      <c r="B948" s="4" t="s">
        <v>668</v>
      </c>
      <c r="C948" s="4" t="s">
        <v>667</v>
      </c>
      <c r="D948" s="4" t="s">
        <v>2453</v>
      </c>
      <c r="E948" s="4" t="s">
        <v>2454</v>
      </c>
      <c r="F948" s="4" t="s">
        <v>2453</v>
      </c>
    </row>
    <row r="949" spans="1:6" ht="14.4" thickBot="1" x14ac:dyDescent="0.35">
      <c r="A949" s="4" t="s">
        <v>667</v>
      </c>
      <c r="B949" s="4" t="s">
        <v>668</v>
      </c>
      <c r="C949" s="4" t="s">
        <v>667</v>
      </c>
      <c r="D949" s="4" t="s">
        <v>5424</v>
      </c>
      <c r="E949" s="4" t="s">
        <v>5425</v>
      </c>
      <c r="F949" s="4" t="s">
        <v>5424</v>
      </c>
    </row>
    <row r="950" spans="1:6" ht="14.4" thickBot="1" x14ac:dyDescent="0.35">
      <c r="A950" s="4" t="s">
        <v>667</v>
      </c>
      <c r="B950" s="4" t="s">
        <v>668</v>
      </c>
      <c r="C950" s="4" t="s">
        <v>667</v>
      </c>
      <c r="D950" s="4" t="s">
        <v>4728</v>
      </c>
      <c r="E950" s="4" t="s">
        <v>4729</v>
      </c>
      <c r="F950" s="4" t="s">
        <v>4728</v>
      </c>
    </row>
    <row r="951" spans="1:6" ht="14.4" thickBot="1" x14ac:dyDescent="0.35">
      <c r="A951" s="4" t="s">
        <v>667</v>
      </c>
      <c r="B951" s="4" t="s">
        <v>668</v>
      </c>
      <c r="C951" s="4" t="s">
        <v>667</v>
      </c>
      <c r="D951" s="4" t="s">
        <v>2451</v>
      </c>
      <c r="E951" s="4" t="s">
        <v>2452</v>
      </c>
      <c r="F951" s="4" t="s">
        <v>2451</v>
      </c>
    </row>
    <row r="952" spans="1:6" ht="14.4" thickBot="1" x14ac:dyDescent="0.35">
      <c r="A952" s="4" t="s">
        <v>667</v>
      </c>
      <c r="B952" s="4" t="s">
        <v>668</v>
      </c>
      <c r="C952" s="4" t="s">
        <v>667</v>
      </c>
      <c r="D952" s="4" t="s">
        <v>5422</v>
      </c>
      <c r="E952" s="4" t="s">
        <v>5423</v>
      </c>
      <c r="F952" s="4" t="s">
        <v>5422</v>
      </c>
    </row>
    <row r="953" spans="1:6" ht="14.4" thickBot="1" x14ac:dyDescent="0.35">
      <c r="A953" s="4" t="s">
        <v>667</v>
      </c>
      <c r="B953" s="4" t="s">
        <v>668</v>
      </c>
      <c r="C953" s="4" t="s">
        <v>667</v>
      </c>
      <c r="D953" s="4" t="s">
        <v>4726</v>
      </c>
      <c r="E953" s="4" t="s">
        <v>4727</v>
      </c>
      <c r="F953" s="4" t="s">
        <v>4726</v>
      </c>
    </row>
    <row r="954" spans="1:6" ht="14.4" thickBot="1" x14ac:dyDescent="0.35">
      <c r="A954" s="4" t="s">
        <v>667</v>
      </c>
      <c r="B954" s="4" t="s">
        <v>668</v>
      </c>
      <c r="C954" s="4" t="s">
        <v>667</v>
      </c>
      <c r="D954" s="4" t="s">
        <v>922</v>
      </c>
      <c r="E954" s="4" t="s">
        <v>923</v>
      </c>
      <c r="F954" s="4" t="s">
        <v>922</v>
      </c>
    </row>
    <row r="955" spans="1:6" ht="14.4" thickBot="1" x14ac:dyDescent="0.35">
      <c r="A955" s="4" t="s">
        <v>667</v>
      </c>
      <c r="B955" s="4" t="s">
        <v>668</v>
      </c>
      <c r="C955" s="4" t="s">
        <v>667</v>
      </c>
      <c r="D955" s="4" t="s">
        <v>3857</v>
      </c>
      <c r="E955" s="4" t="s">
        <v>3858</v>
      </c>
      <c r="F955" s="4" t="s">
        <v>3857</v>
      </c>
    </row>
    <row r="956" spans="1:6" ht="14.4" thickBot="1" x14ac:dyDescent="0.35">
      <c r="A956" s="4" t="s">
        <v>667</v>
      </c>
      <c r="B956" s="4" t="s">
        <v>668</v>
      </c>
      <c r="C956" s="4" t="s">
        <v>667</v>
      </c>
      <c r="D956" s="4" t="s">
        <v>4603</v>
      </c>
      <c r="E956" s="4" t="s">
        <v>228</v>
      </c>
      <c r="F956" s="4" t="s">
        <v>4603</v>
      </c>
    </row>
    <row r="957" spans="1:6" ht="14.4" thickBot="1" x14ac:dyDescent="0.35">
      <c r="A957" s="4" t="s">
        <v>667</v>
      </c>
      <c r="B957" s="4" t="s">
        <v>668</v>
      </c>
      <c r="C957" s="4" t="s">
        <v>667</v>
      </c>
      <c r="D957" s="4" t="s">
        <v>5276</v>
      </c>
      <c r="E957" s="4" t="s">
        <v>5277</v>
      </c>
      <c r="F957" s="4" t="s">
        <v>5276</v>
      </c>
    </row>
    <row r="958" spans="1:6" ht="14.4" thickBot="1" x14ac:dyDescent="0.35">
      <c r="A958" s="4" t="s">
        <v>667</v>
      </c>
      <c r="B958" s="4" t="s">
        <v>668</v>
      </c>
      <c r="C958" s="4" t="s">
        <v>667</v>
      </c>
      <c r="D958" s="4" t="s">
        <v>3084</v>
      </c>
      <c r="E958" s="4" t="s">
        <v>3085</v>
      </c>
      <c r="F958" s="4" t="s">
        <v>3084</v>
      </c>
    </row>
    <row r="959" spans="1:6" ht="14.4" thickBot="1" x14ac:dyDescent="0.35">
      <c r="A959" s="4" t="s">
        <v>667</v>
      </c>
      <c r="B959" s="4" t="s">
        <v>668</v>
      </c>
      <c r="C959" s="4" t="s">
        <v>667</v>
      </c>
      <c r="D959" s="4" t="s">
        <v>3833</v>
      </c>
      <c r="E959" s="4" t="s">
        <v>3834</v>
      </c>
      <c r="F959" s="4" t="s">
        <v>3833</v>
      </c>
    </row>
    <row r="960" spans="1:6" ht="14.4" thickBot="1" x14ac:dyDescent="0.35">
      <c r="A960" s="4" t="s">
        <v>667</v>
      </c>
      <c r="B960" s="4" t="s">
        <v>668</v>
      </c>
      <c r="C960" s="4" t="s">
        <v>667</v>
      </c>
      <c r="D960" s="4" t="s">
        <v>5260</v>
      </c>
      <c r="E960" s="4" t="s">
        <v>5261</v>
      </c>
      <c r="F960" s="4" t="s">
        <v>5260</v>
      </c>
    </row>
    <row r="961" spans="1:6" ht="14.4" thickBot="1" x14ac:dyDescent="0.35">
      <c r="A961" s="4" t="s">
        <v>667</v>
      </c>
      <c r="B961" s="4" t="s">
        <v>668</v>
      </c>
      <c r="C961" s="4" t="s">
        <v>667</v>
      </c>
      <c r="D961" s="4" t="s">
        <v>5954</v>
      </c>
      <c r="E961" s="4" t="s">
        <v>5955</v>
      </c>
      <c r="F961" s="4" t="s">
        <v>5954</v>
      </c>
    </row>
    <row r="962" spans="1:6" ht="14.4" thickBot="1" x14ac:dyDescent="0.35">
      <c r="A962" s="4" t="s">
        <v>667</v>
      </c>
      <c r="B962" s="4" t="s">
        <v>668</v>
      </c>
      <c r="C962" s="4" t="s">
        <v>667</v>
      </c>
      <c r="D962" s="4" t="s">
        <v>4565</v>
      </c>
      <c r="E962" s="4" t="s">
        <v>4566</v>
      </c>
      <c r="F962" s="4" t="s">
        <v>4565</v>
      </c>
    </row>
    <row r="963" spans="1:6" ht="14.4" thickBot="1" x14ac:dyDescent="0.35">
      <c r="A963" s="4" t="s">
        <v>667</v>
      </c>
      <c r="B963" s="4" t="s">
        <v>668</v>
      </c>
      <c r="C963" s="4" t="s">
        <v>667</v>
      </c>
      <c r="D963" s="4" t="s">
        <v>2449</v>
      </c>
      <c r="E963" s="4" t="s">
        <v>2450</v>
      </c>
      <c r="F963" s="4" t="s">
        <v>2449</v>
      </c>
    </row>
    <row r="964" spans="1:6" ht="14.4" thickBot="1" x14ac:dyDescent="0.35">
      <c r="A964" s="4" t="s">
        <v>667</v>
      </c>
      <c r="B964" s="4" t="s">
        <v>668</v>
      </c>
      <c r="C964" s="4" t="s">
        <v>667</v>
      </c>
      <c r="D964" s="4" t="s">
        <v>3212</v>
      </c>
      <c r="E964" s="4" t="s">
        <v>3213</v>
      </c>
      <c r="F964" s="4" t="s">
        <v>3212</v>
      </c>
    </row>
    <row r="965" spans="1:6" ht="14.4" thickBot="1" x14ac:dyDescent="0.35">
      <c r="A965" s="4" t="s">
        <v>667</v>
      </c>
      <c r="B965" s="4" t="s">
        <v>668</v>
      </c>
      <c r="C965" s="4" t="s">
        <v>667</v>
      </c>
      <c r="D965" s="4" t="s">
        <v>3208</v>
      </c>
      <c r="E965" s="4" t="s">
        <v>3209</v>
      </c>
      <c r="F965" s="4" t="s">
        <v>3208</v>
      </c>
    </row>
    <row r="966" spans="1:6" ht="14.4" thickBot="1" x14ac:dyDescent="0.35">
      <c r="A966" s="4" t="s">
        <v>667</v>
      </c>
      <c r="B966" s="4" t="s">
        <v>668</v>
      </c>
      <c r="C966" s="4" t="s">
        <v>667</v>
      </c>
      <c r="D966" s="4" t="s">
        <v>4011</v>
      </c>
      <c r="E966" s="4" t="s">
        <v>4012</v>
      </c>
      <c r="F966" s="4" t="s">
        <v>4011</v>
      </c>
    </row>
    <row r="967" spans="1:6" ht="14.4" thickBot="1" x14ac:dyDescent="0.35">
      <c r="A967" s="4" t="s">
        <v>667</v>
      </c>
      <c r="B967" s="4" t="s">
        <v>668</v>
      </c>
      <c r="C967" s="4" t="s">
        <v>667</v>
      </c>
      <c r="D967" s="4" t="s">
        <v>6102</v>
      </c>
      <c r="E967" s="4" t="s">
        <v>6103</v>
      </c>
      <c r="F967" s="4" t="s">
        <v>6102</v>
      </c>
    </row>
    <row r="968" spans="1:6" ht="14.4" thickBot="1" x14ac:dyDescent="0.35">
      <c r="A968" s="4" t="s">
        <v>667</v>
      </c>
      <c r="B968" s="4" t="s">
        <v>668</v>
      </c>
      <c r="C968" s="4" t="s">
        <v>667</v>
      </c>
      <c r="D968" s="4" t="s">
        <v>4724</v>
      </c>
      <c r="E968" s="4" t="s">
        <v>4725</v>
      </c>
      <c r="F968" s="4" t="s">
        <v>4724</v>
      </c>
    </row>
    <row r="969" spans="1:6" ht="14.4" thickBot="1" x14ac:dyDescent="0.35">
      <c r="A969" s="4" t="s">
        <v>667</v>
      </c>
      <c r="B969" s="4" t="s">
        <v>668</v>
      </c>
      <c r="C969" s="4" t="s">
        <v>667</v>
      </c>
      <c r="D969" s="4" t="s">
        <v>3214</v>
      </c>
      <c r="E969" s="4" t="s">
        <v>3215</v>
      </c>
      <c r="F969" s="4" t="s">
        <v>3214</v>
      </c>
    </row>
    <row r="970" spans="1:6" ht="14.4" thickBot="1" x14ac:dyDescent="0.35">
      <c r="A970" s="4" t="s">
        <v>667</v>
      </c>
      <c r="B970" s="4" t="s">
        <v>668</v>
      </c>
      <c r="C970" s="4" t="s">
        <v>667</v>
      </c>
      <c r="D970" s="4" t="s">
        <v>4031</v>
      </c>
      <c r="E970" s="4" t="s">
        <v>4032</v>
      </c>
      <c r="F970" s="4" t="s">
        <v>4031</v>
      </c>
    </row>
    <row r="971" spans="1:6" ht="14.4" thickBot="1" x14ac:dyDescent="0.35">
      <c r="A971" s="4" t="s">
        <v>667</v>
      </c>
      <c r="B971" s="4" t="s">
        <v>668</v>
      </c>
      <c r="C971" s="4" t="s">
        <v>667</v>
      </c>
      <c r="D971" s="4" t="s">
        <v>671</v>
      </c>
      <c r="E971" s="4" t="s">
        <v>672</v>
      </c>
      <c r="F971" s="4" t="s">
        <v>671</v>
      </c>
    </row>
    <row r="972" spans="1:6" ht="14.4" thickBot="1" x14ac:dyDescent="0.35">
      <c r="A972" s="4" t="s">
        <v>667</v>
      </c>
      <c r="B972" s="4" t="s">
        <v>668</v>
      </c>
      <c r="C972" s="4" t="s">
        <v>667</v>
      </c>
      <c r="D972" s="4" t="s">
        <v>3851</v>
      </c>
      <c r="E972" s="4" t="s">
        <v>3852</v>
      </c>
      <c r="F972" s="4" t="s">
        <v>3851</v>
      </c>
    </row>
    <row r="973" spans="1:6" ht="14.4" thickBot="1" x14ac:dyDescent="0.35">
      <c r="A973" s="4" t="s">
        <v>667</v>
      </c>
      <c r="B973" s="4" t="s">
        <v>668</v>
      </c>
      <c r="C973" s="4" t="s">
        <v>667</v>
      </c>
      <c r="D973" s="4" t="s">
        <v>4591</v>
      </c>
      <c r="E973" s="4" t="s">
        <v>4592</v>
      </c>
      <c r="F973" s="4" t="s">
        <v>4591</v>
      </c>
    </row>
    <row r="974" spans="1:6" ht="14.4" thickBot="1" x14ac:dyDescent="0.35">
      <c r="A974" s="4" t="s">
        <v>667</v>
      </c>
      <c r="B974" s="4" t="s">
        <v>668</v>
      </c>
      <c r="C974" s="4" t="s">
        <v>667</v>
      </c>
      <c r="D974" s="4" t="s">
        <v>6120</v>
      </c>
      <c r="E974" s="4" t="s">
        <v>6121</v>
      </c>
      <c r="F974" s="4" t="s">
        <v>6120</v>
      </c>
    </row>
    <row r="975" spans="1:6" ht="14.4" thickBot="1" x14ac:dyDescent="0.35">
      <c r="A975" s="4" t="s">
        <v>667</v>
      </c>
      <c r="B975" s="4" t="s">
        <v>668</v>
      </c>
      <c r="C975" s="4" t="s">
        <v>667</v>
      </c>
      <c r="D975" s="4" t="s">
        <v>719</v>
      </c>
      <c r="E975" s="4" t="s">
        <v>720</v>
      </c>
      <c r="F975" s="4" t="s">
        <v>719</v>
      </c>
    </row>
    <row r="976" spans="1:6" ht="14.4" thickBot="1" x14ac:dyDescent="0.35">
      <c r="A976" s="4" t="s">
        <v>667</v>
      </c>
      <c r="B976" s="4" t="s">
        <v>668</v>
      </c>
      <c r="C976" s="4" t="s">
        <v>667</v>
      </c>
      <c r="D976" s="4" t="s">
        <v>697</v>
      </c>
      <c r="E976" s="4" t="s">
        <v>698</v>
      </c>
      <c r="F976" s="4" t="s">
        <v>697</v>
      </c>
    </row>
    <row r="977" spans="1:6" ht="14.4" thickBot="1" x14ac:dyDescent="0.35">
      <c r="A977" s="4" t="s">
        <v>667</v>
      </c>
      <c r="B977" s="4" t="s">
        <v>668</v>
      </c>
      <c r="C977" s="4" t="s">
        <v>667</v>
      </c>
      <c r="D977" s="4" t="s">
        <v>3194</v>
      </c>
      <c r="E977" s="4" t="s">
        <v>3195</v>
      </c>
      <c r="F977" s="4" t="s">
        <v>3194</v>
      </c>
    </row>
    <row r="978" spans="1:6" ht="14.4" thickBot="1" x14ac:dyDescent="0.35">
      <c r="A978" s="4" t="s">
        <v>667</v>
      </c>
      <c r="B978" s="4" t="s">
        <v>668</v>
      </c>
      <c r="C978" s="4" t="s">
        <v>667</v>
      </c>
      <c r="D978" s="4" t="s">
        <v>1598</v>
      </c>
      <c r="E978" s="4" t="s">
        <v>1599</v>
      </c>
      <c r="F978" s="4" t="s">
        <v>1598</v>
      </c>
    </row>
    <row r="979" spans="1:6" ht="14.4" thickBot="1" x14ac:dyDescent="0.35">
      <c r="A979" s="4" t="s">
        <v>667</v>
      </c>
      <c r="B979" s="4" t="s">
        <v>668</v>
      </c>
      <c r="C979" s="4" t="s">
        <v>667</v>
      </c>
      <c r="D979" s="4" t="s">
        <v>910</v>
      </c>
      <c r="E979" s="4" t="s">
        <v>911</v>
      </c>
      <c r="F979" s="4" t="s">
        <v>910</v>
      </c>
    </row>
    <row r="980" spans="1:6" ht="14.4" thickBot="1" x14ac:dyDescent="0.35">
      <c r="A980" s="4" t="s">
        <v>667</v>
      </c>
      <c r="B980" s="4" t="s">
        <v>668</v>
      </c>
      <c r="C980" s="4" t="s">
        <v>667</v>
      </c>
      <c r="D980" s="4" t="s">
        <v>4716</v>
      </c>
      <c r="E980" s="4" t="s">
        <v>4717</v>
      </c>
      <c r="F980" s="4" t="s">
        <v>4716</v>
      </c>
    </row>
    <row r="981" spans="1:6" ht="14.4" thickBot="1" x14ac:dyDescent="0.35">
      <c r="A981" s="4" t="s">
        <v>667</v>
      </c>
      <c r="B981" s="4" t="s">
        <v>668</v>
      </c>
      <c r="C981" s="4" t="s">
        <v>667</v>
      </c>
      <c r="D981" s="4" t="s">
        <v>6106</v>
      </c>
      <c r="E981" s="4" t="s">
        <v>6107</v>
      </c>
      <c r="F981" s="4" t="s">
        <v>6106</v>
      </c>
    </row>
    <row r="982" spans="1:6" ht="14.4" thickBot="1" x14ac:dyDescent="0.35">
      <c r="A982" s="4" t="s">
        <v>667</v>
      </c>
      <c r="B982" s="4" t="s">
        <v>668</v>
      </c>
      <c r="C982" s="4" t="s">
        <v>667</v>
      </c>
      <c r="D982" s="4" t="s">
        <v>1764</v>
      </c>
      <c r="E982" s="4" t="s">
        <v>1765</v>
      </c>
      <c r="F982" s="4" t="s">
        <v>1764</v>
      </c>
    </row>
    <row r="983" spans="1:6" ht="14.4" thickBot="1" x14ac:dyDescent="0.35">
      <c r="A983" s="4" t="s">
        <v>667</v>
      </c>
      <c r="B983" s="4" t="s">
        <v>668</v>
      </c>
      <c r="C983" s="4" t="s">
        <v>667</v>
      </c>
      <c r="D983" s="4" t="s">
        <v>1762</v>
      </c>
      <c r="E983" s="4" t="s">
        <v>1763</v>
      </c>
      <c r="F983" s="4" t="s">
        <v>1762</v>
      </c>
    </row>
    <row r="984" spans="1:6" ht="14.4" thickBot="1" x14ac:dyDescent="0.35">
      <c r="A984" s="4" t="s">
        <v>667</v>
      </c>
      <c r="B984" s="4" t="s">
        <v>668</v>
      </c>
      <c r="C984" s="4" t="s">
        <v>667</v>
      </c>
      <c r="D984" s="4" t="s">
        <v>4019</v>
      </c>
      <c r="E984" s="4" t="s">
        <v>4020</v>
      </c>
      <c r="F984" s="4" t="s">
        <v>4019</v>
      </c>
    </row>
    <row r="985" spans="1:6" ht="14.4" thickBot="1" x14ac:dyDescent="0.35">
      <c r="A985" s="4" t="s">
        <v>667</v>
      </c>
      <c r="B985" s="4" t="s">
        <v>668</v>
      </c>
      <c r="C985" s="4" t="s">
        <v>667</v>
      </c>
      <c r="D985" s="4" t="s">
        <v>4017</v>
      </c>
      <c r="E985" s="4" t="s">
        <v>4018</v>
      </c>
      <c r="F985" s="4" t="s">
        <v>4017</v>
      </c>
    </row>
    <row r="986" spans="1:6" ht="14.4" thickBot="1" x14ac:dyDescent="0.35">
      <c r="A986" s="4" t="s">
        <v>667</v>
      </c>
      <c r="B986" s="4" t="s">
        <v>668</v>
      </c>
      <c r="C986" s="4" t="s">
        <v>667</v>
      </c>
      <c r="D986" s="4" t="s">
        <v>4712</v>
      </c>
      <c r="E986" s="4" t="s">
        <v>4713</v>
      </c>
      <c r="F986" s="4" t="s">
        <v>4712</v>
      </c>
    </row>
    <row r="987" spans="1:6" ht="14.4" thickBot="1" x14ac:dyDescent="0.35">
      <c r="A987" s="4" t="s">
        <v>667</v>
      </c>
      <c r="B987" s="4" t="s">
        <v>668</v>
      </c>
      <c r="C987" s="4" t="s">
        <v>667</v>
      </c>
      <c r="D987" s="4" t="s">
        <v>3823</v>
      </c>
      <c r="E987" s="4" t="s">
        <v>3824</v>
      </c>
      <c r="F987" s="4" t="s">
        <v>3823</v>
      </c>
    </row>
    <row r="988" spans="1:6" ht="14.4" thickBot="1" x14ac:dyDescent="0.35">
      <c r="A988" s="4" t="s">
        <v>667</v>
      </c>
      <c r="B988" s="4" t="s">
        <v>668</v>
      </c>
      <c r="C988" s="4" t="s">
        <v>667</v>
      </c>
      <c r="D988" s="4" t="s">
        <v>3081</v>
      </c>
      <c r="E988" s="4" t="s">
        <v>1675</v>
      </c>
      <c r="F988" s="4" t="s">
        <v>3081</v>
      </c>
    </row>
    <row r="989" spans="1:6" ht="14.4" thickBot="1" x14ac:dyDescent="0.35">
      <c r="A989" s="4" t="s">
        <v>667</v>
      </c>
      <c r="B989" s="4" t="s">
        <v>668</v>
      </c>
      <c r="C989" s="4" t="s">
        <v>667</v>
      </c>
      <c r="D989" s="4" t="s">
        <v>892</v>
      </c>
      <c r="E989" s="4" t="s">
        <v>893</v>
      </c>
      <c r="F989" s="4" t="s">
        <v>892</v>
      </c>
    </row>
    <row r="990" spans="1:6" ht="14.4" thickBot="1" x14ac:dyDescent="0.35">
      <c r="A990" s="4" t="s">
        <v>667</v>
      </c>
      <c r="B990" s="4" t="s">
        <v>668</v>
      </c>
      <c r="C990" s="4" t="s">
        <v>667</v>
      </c>
      <c r="D990" s="4" t="s">
        <v>1752</v>
      </c>
      <c r="E990" s="4" t="s">
        <v>1753</v>
      </c>
      <c r="F990" s="4" t="s">
        <v>1752</v>
      </c>
    </row>
    <row r="991" spans="1:6" ht="14.4" thickBot="1" x14ac:dyDescent="0.35">
      <c r="A991" s="4" t="s">
        <v>667</v>
      </c>
      <c r="B991" s="4" t="s">
        <v>668</v>
      </c>
      <c r="C991" s="4" t="s">
        <v>667</v>
      </c>
      <c r="D991" s="4" t="s">
        <v>4561</v>
      </c>
      <c r="E991" s="4" t="s">
        <v>4562</v>
      </c>
      <c r="F991" s="4" t="s">
        <v>4561</v>
      </c>
    </row>
    <row r="992" spans="1:6" ht="14.4" thickBot="1" x14ac:dyDescent="0.35">
      <c r="A992" s="4" t="s">
        <v>667</v>
      </c>
      <c r="B992" s="4" t="s">
        <v>668</v>
      </c>
      <c r="C992" s="4" t="s">
        <v>667</v>
      </c>
      <c r="D992" s="4" t="s">
        <v>699</v>
      </c>
      <c r="E992" s="4" t="s">
        <v>700</v>
      </c>
      <c r="F992" s="4" t="s">
        <v>699</v>
      </c>
    </row>
    <row r="993" spans="1:6" ht="14.4" thickBot="1" x14ac:dyDescent="0.35">
      <c r="A993" s="4" t="s">
        <v>667</v>
      </c>
      <c r="B993" s="4" t="s">
        <v>668</v>
      </c>
      <c r="C993" s="4" t="s">
        <v>667</v>
      </c>
      <c r="D993" s="4" t="s">
        <v>2312</v>
      </c>
      <c r="E993" s="4" t="s">
        <v>2313</v>
      </c>
      <c r="F993" s="4" t="s">
        <v>2312</v>
      </c>
    </row>
    <row r="994" spans="1:6" ht="14.4" thickBot="1" x14ac:dyDescent="0.35">
      <c r="A994" s="4" t="s">
        <v>667</v>
      </c>
      <c r="B994" s="4" t="s">
        <v>668</v>
      </c>
      <c r="C994" s="4" t="s">
        <v>667</v>
      </c>
      <c r="D994" s="4" t="s">
        <v>1608</v>
      </c>
      <c r="E994" s="4" t="s">
        <v>1609</v>
      </c>
      <c r="F994" s="4" t="s">
        <v>1608</v>
      </c>
    </row>
    <row r="995" spans="1:6" ht="14.4" thickBot="1" x14ac:dyDescent="0.35">
      <c r="A995" s="4" t="s">
        <v>667</v>
      </c>
      <c r="B995" s="4" t="s">
        <v>668</v>
      </c>
      <c r="C995" s="4" t="s">
        <v>667</v>
      </c>
      <c r="D995" s="4" t="s">
        <v>4601</v>
      </c>
      <c r="E995" s="4" t="s">
        <v>4602</v>
      </c>
      <c r="F995" s="4" t="s">
        <v>4601</v>
      </c>
    </row>
    <row r="996" spans="1:6" ht="14.4" thickBot="1" x14ac:dyDescent="0.35">
      <c r="A996" s="4" t="s">
        <v>667</v>
      </c>
      <c r="B996" s="4" t="s">
        <v>668</v>
      </c>
      <c r="C996" s="4" t="s">
        <v>667</v>
      </c>
      <c r="D996" s="4" t="s">
        <v>3067</v>
      </c>
      <c r="E996" s="4" t="s">
        <v>3068</v>
      </c>
      <c r="F996" s="4" t="s">
        <v>3067</v>
      </c>
    </row>
    <row r="997" spans="1:6" ht="14.4" thickBot="1" x14ac:dyDescent="0.35">
      <c r="A997" s="4" t="s">
        <v>667</v>
      </c>
      <c r="B997" s="4" t="s">
        <v>668</v>
      </c>
      <c r="C997" s="4" t="s">
        <v>667</v>
      </c>
      <c r="D997" s="4" t="s">
        <v>5958</v>
      </c>
      <c r="E997" s="4" t="s">
        <v>5959</v>
      </c>
      <c r="F997" s="4" t="s">
        <v>5958</v>
      </c>
    </row>
    <row r="998" spans="1:6" ht="14.4" thickBot="1" x14ac:dyDescent="0.35">
      <c r="A998" s="4" t="s">
        <v>667</v>
      </c>
      <c r="B998" s="4" t="s">
        <v>668</v>
      </c>
      <c r="C998" s="4" t="s">
        <v>667</v>
      </c>
      <c r="D998" s="4" t="s">
        <v>5979</v>
      </c>
      <c r="E998" s="4" t="s">
        <v>5980</v>
      </c>
      <c r="F998" s="4" t="s">
        <v>5979</v>
      </c>
    </row>
    <row r="999" spans="1:6" ht="14.4" thickBot="1" x14ac:dyDescent="0.35">
      <c r="A999" s="4" t="s">
        <v>667</v>
      </c>
      <c r="B999" s="4" t="s">
        <v>668</v>
      </c>
      <c r="C999" s="4" t="s">
        <v>667</v>
      </c>
      <c r="D999" s="4" t="s">
        <v>3853</v>
      </c>
      <c r="E999" s="4" t="s">
        <v>3854</v>
      </c>
      <c r="F999" s="4" t="s">
        <v>3853</v>
      </c>
    </row>
    <row r="1000" spans="1:6" ht="14.4" thickBot="1" x14ac:dyDescent="0.35">
      <c r="A1000" s="4" t="s">
        <v>667</v>
      </c>
      <c r="B1000" s="4" t="s">
        <v>668</v>
      </c>
      <c r="C1000" s="4" t="s">
        <v>667</v>
      </c>
      <c r="D1000" s="4" t="s">
        <v>3092</v>
      </c>
      <c r="E1000" s="4" t="s">
        <v>3093</v>
      </c>
      <c r="F1000" s="4" t="s">
        <v>3092</v>
      </c>
    </row>
    <row r="1001" spans="1:6" ht="14.4" thickBot="1" x14ac:dyDescent="0.35">
      <c r="A1001" s="4" t="s">
        <v>667</v>
      </c>
      <c r="B1001" s="4" t="s">
        <v>668</v>
      </c>
      <c r="C1001" s="4" t="s">
        <v>667</v>
      </c>
      <c r="D1001" s="4" t="s">
        <v>5977</v>
      </c>
      <c r="E1001" s="4" t="s">
        <v>5978</v>
      </c>
      <c r="F1001" s="4" t="s">
        <v>5977</v>
      </c>
    </row>
    <row r="1002" spans="1:6" ht="14.4" thickBot="1" x14ac:dyDescent="0.35">
      <c r="A1002" s="4" t="s">
        <v>667</v>
      </c>
      <c r="B1002" s="4" t="s">
        <v>668</v>
      </c>
      <c r="C1002" s="4" t="s">
        <v>667</v>
      </c>
      <c r="D1002" s="4" t="s">
        <v>2321</v>
      </c>
      <c r="E1002" s="4" t="s">
        <v>2322</v>
      </c>
      <c r="F1002" s="4" t="s">
        <v>2321</v>
      </c>
    </row>
    <row r="1003" spans="1:6" ht="14.4" thickBot="1" x14ac:dyDescent="0.35">
      <c r="A1003" s="4" t="s">
        <v>667</v>
      </c>
      <c r="B1003" s="4" t="s">
        <v>668</v>
      </c>
      <c r="C1003" s="4" t="s">
        <v>667</v>
      </c>
      <c r="D1003" s="4" t="s">
        <v>4587</v>
      </c>
      <c r="E1003" s="4" t="s">
        <v>4588</v>
      </c>
      <c r="F1003" s="4" t="s">
        <v>4587</v>
      </c>
    </row>
    <row r="1004" spans="1:6" ht="14.4" thickBot="1" x14ac:dyDescent="0.35">
      <c r="A1004" s="4" t="s">
        <v>667</v>
      </c>
      <c r="B1004" s="4" t="s">
        <v>668</v>
      </c>
      <c r="C1004" s="4" t="s">
        <v>667</v>
      </c>
      <c r="D1004" s="4" t="s">
        <v>3827</v>
      </c>
      <c r="E1004" s="4" t="s">
        <v>3828</v>
      </c>
      <c r="F1004" s="4" t="s">
        <v>3827</v>
      </c>
    </row>
    <row r="1005" spans="1:6" ht="14.4" thickBot="1" x14ac:dyDescent="0.35">
      <c r="A1005" s="4" t="s">
        <v>667</v>
      </c>
      <c r="B1005" s="4" t="s">
        <v>668</v>
      </c>
      <c r="C1005" s="4" t="s">
        <v>667</v>
      </c>
      <c r="D1005" s="4" t="s">
        <v>5940</v>
      </c>
      <c r="E1005" s="4" t="s">
        <v>5941</v>
      </c>
      <c r="F1005" s="4" t="s">
        <v>5940</v>
      </c>
    </row>
    <row r="1006" spans="1:6" ht="14.4" thickBot="1" x14ac:dyDescent="0.35">
      <c r="A1006" s="4" t="s">
        <v>667</v>
      </c>
      <c r="B1006" s="4" t="s">
        <v>668</v>
      </c>
      <c r="C1006" s="4" t="s">
        <v>667</v>
      </c>
      <c r="D1006" s="4" t="s">
        <v>705</v>
      </c>
      <c r="E1006" s="4" t="s">
        <v>706</v>
      </c>
      <c r="F1006" s="4" t="s">
        <v>705</v>
      </c>
    </row>
    <row r="1007" spans="1:6" ht="14.4" thickBot="1" x14ac:dyDescent="0.35">
      <c r="A1007" s="4" t="s">
        <v>667</v>
      </c>
      <c r="B1007" s="4" t="s">
        <v>668</v>
      </c>
      <c r="C1007" s="4" t="s">
        <v>667</v>
      </c>
      <c r="D1007" s="4" t="s">
        <v>6104</v>
      </c>
      <c r="E1007" s="4" t="s">
        <v>6105</v>
      </c>
      <c r="F1007" s="4" t="s">
        <v>6104</v>
      </c>
    </row>
    <row r="1008" spans="1:6" ht="14.4" thickBot="1" x14ac:dyDescent="0.35">
      <c r="A1008" s="4" t="s">
        <v>667</v>
      </c>
      <c r="B1008" s="4" t="s">
        <v>668</v>
      </c>
      <c r="C1008" s="4" t="s">
        <v>667</v>
      </c>
      <c r="D1008" s="4" t="s">
        <v>4015</v>
      </c>
      <c r="E1008" s="4" t="s">
        <v>4016</v>
      </c>
      <c r="F1008" s="4" t="s">
        <v>4015</v>
      </c>
    </row>
    <row r="1009" spans="1:6" ht="14.4" thickBot="1" x14ac:dyDescent="0.35">
      <c r="A1009" s="4" t="s">
        <v>667</v>
      </c>
      <c r="B1009" s="4" t="s">
        <v>668</v>
      </c>
      <c r="C1009" s="4" t="s">
        <v>667</v>
      </c>
      <c r="D1009" s="4" t="s">
        <v>5293</v>
      </c>
      <c r="E1009" s="4" t="s">
        <v>5294</v>
      </c>
      <c r="F1009" s="4" t="s">
        <v>5293</v>
      </c>
    </row>
    <row r="1010" spans="1:6" ht="14.4" thickBot="1" x14ac:dyDescent="0.35">
      <c r="A1010" s="4" t="s">
        <v>667</v>
      </c>
      <c r="B1010" s="4" t="s">
        <v>668</v>
      </c>
      <c r="C1010" s="4" t="s">
        <v>667</v>
      </c>
      <c r="D1010" s="4" t="s">
        <v>703</v>
      </c>
      <c r="E1010" s="4" t="s">
        <v>704</v>
      </c>
      <c r="F1010" s="4" t="s">
        <v>703</v>
      </c>
    </row>
    <row r="1011" spans="1:6" ht="14.4" thickBot="1" x14ac:dyDescent="0.35">
      <c r="A1011" s="4" t="s">
        <v>667</v>
      </c>
      <c r="B1011" s="4" t="s">
        <v>668</v>
      </c>
      <c r="C1011" s="4" t="s">
        <v>667</v>
      </c>
      <c r="D1011" s="4" t="s">
        <v>1623</v>
      </c>
      <c r="E1011" s="4" t="s">
        <v>1624</v>
      </c>
      <c r="F1011" s="4" t="s">
        <v>1623</v>
      </c>
    </row>
    <row r="1012" spans="1:6" ht="14.4" thickBot="1" x14ac:dyDescent="0.35">
      <c r="A1012" s="4" t="s">
        <v>667</v>
      </c>
      <c r="B1012" s="4" t="s">
        <v>668</v>
      </c>
      <c r="C1012" s="4" t="s">
        <v>667</v>
      </c>
      <c r="D1012" s="4" t="s">
        <v>5962</v>
      </c>
      <c r="E1012" s="4" t="s">
        <v>5963</v>
      </c>
      <c r="F1012" s="4" t="s">
        <v>5962</v>
      </c>
    </row>
    <row r="1013" spans="1:6" ht="14.4" thickBot="1" x14ac:dyDescent="0.35">
      <c r="A1013" s="4" t="s">
        <v>667</v>
      </c>
      <c r="B1013" s="4" t="s">
        <v>668</v>
      </c>
      <c r="C1013" s="4" t="s">
        <v>667</v>
      </c>
      <c r="D1013" s="4" t="s">
        <v>5278</v>
      </c>
      <c r="E1013" s="4" t="s">
        <v>5279</v>
      </c>
      <c r="F1013" s="4" t="s">
        <v>5278</v>
      </c>
    </row>
    <row r="1014" spans="1:6" ht="14.4" thickBot="1" x14ac:dyDescent="0.35">
      <c r="A1014" s="4" t="s">
        <v>667</v>
      </c>
      <c r="B1014" s="4" t="s">
        <v>668</v>
      </c>
      <c r="C1014" s="4" t="s">
        <v>667</v>
      </c>
      <c r="D1014" s="4" t="s">
        <v>4571</v>
      </c>
      <c r="E1014" s="4" t="s">
        <v>4572</v>
      </c>
      <c r="F1014" s="4" t="s">
        <v>4571</v>
      </c>
    </row>
    <row r="1015" spans="1:6" ht="14.4" thickBot="1" x14ac:dyDescent="0.35">
      <c r="A1015" s="4" t="s">
        <v>667</v>
      </c>
      <c r="B1015" s="4" t="s">
        <v>668</v>
      </c>
      <c r="C1015" s="4" t="s">
        <v>667</v>
      </c>
      <c r="D1015" s="4" t="s">
        <v>3883</v>
      </c>
      <c r="E1015" s="4" t="s">
        <v>3884</v>
      </c>
      <c r="F1015" s="4" t="s">
        <v>3883</v>
      </c>
    </row>
    <row r="1016" spans="1:6" ht="14.4" thickBot="1" x14ac:dyDescent="0.35">
      <c r="A1016" s="4" t="s">
        <v>667</v>
      </c>
      <c r="B1016" s="4" t="s">
        <v>668</v>
      </c>
      <c r="C1016" s="4" t="s">
        <v>667</v>
      </c>
      <c r="D1016" s="4" t="s">
        <v>4583</v>
      </c>
      <c r="E1016" s="4" t="s">
        <v>4584</v>
      </c>
      <c r="F1016" s="4" t="s">
        <v>4583</v>
      </c>
    </row>
    <row r="1017" spans="1:6" ht="14.4" thickBot="1" x14ac:dyDescent="0.35">
      <c r="A1017" s="4" t="s">
        <v>667</v>
      </c>
      <c r="B1017" s="4" t="s">
        <v>668</v>
      </c>
      <c r="C1017" s="4" t="s">
        <v>667</v>
      </c>
      <c r="D1017" s="4" t="s">
        <v>3059</v>
      </c>
      <c r="E1017" s="4" t="s">
        <v>3060</v>
      </c>
      <c r="F1017" s="4" t="s">
        <v>3059</v>
      </c>
    </row>
    <row r="1018" spans="1:6" ht="14.4" thickBot="1" x14ac:dyDescent="0.35">
      <c r="A1018" s="4" t="s">
        <v>667</v>
      </c>
      <c r="B1018" s="4" t="s">
        <v>668</v>
      </c>
      <c r="C1018" s="4" t="s">
        <v>667</v>
      </c>
      <c r="D1018" s="4" t="s">
        <v>3855</v>
      </c>
      <c r="E1018" s="4" t="s">
        <v>3856</v>
      </c>
      <c r="F1018" s="4" t="s">
        <v>3855</v>
      </c>
    </row>
    <row r="1019" spans="1:6" ht="14.4" thickBot="1" x14ac:dyDescent="0.35">
      <c r="A1019" s="4" t="s">
        <v>667</v>
      </c>
      <c r="B1019" s="4" t="s">
        <v>668</v>
      </c>
      <c r="C1019" s="4" t="s">
        <v>667</v>
      </c>
      <c r="D1019" s="4" t="s">
        <v>717</v>
      </c>
      <c r="E1019" s="4" t="s">
        <v>718</v>
      </c>
      <c r="F1019" s="4" t="s">
        <v>717</v>
      </c>
    </row>
    <row r="1020" spans="1:6" ht="14.4" thickBot="1" x14ac:dyDescent="0.35">
      <c r="A1020" s="4" t="s">
        <v>667</v>
      </c>
      <c r="B1020" s="4" t="s">
        <v>668</v>
      </c>
      <c r="C1020" s="4" t="s">
        <v>667</v>
      </c>
      <c r="D1020" s="4" t="s">
        <v>1610</v>
      </c>
      <c r="E1020" s="4" t="s">
        <v>1611</v>
      </c>
      <c r="F1020" s="4" t="s">
        <v>1610</v>
      </c>
    </row>
    <row r="1021" spans="1:6" ht="14.4" thickBot="1" x14ac:dyDescent="0.35">
      <c r="A1021" s="4" t="s">
        <v>667</v>
      </c>
      <c r="B1021" s="4" t="s">
        <v>668</v>
      </c>
      <c r="C1021" s="4" t="s">
        <v>667</v>
      </c>
      <c r="D1021" s="4" t="s">
        <v>2314</v>
      </c>
      <c r="E1021" s="4" t="s">
        <v>2315</v>
      </c>
      <c r="F1021" s="4" t="s">
        <v>2314</v>
      </c>
    </row>
    <row r="1022" spans="1:6" ht="14.4" thickBot="1" x14ac:dyDescent="0.35">
      <c r="A1022" s="4" t="s">
        <v>667</v>
      </c>
      <c r="B1022" s="4" t="s">
        <v>668</v>
      </c>
      <c r="C1022" s="4" t="s">
        <v>667</v>
      </c>
      <c r="D1022" s="4" t="s">
        <v>2299</v>
      </c>
      <c r="E1022" s="4" t="s">
        <v>2300</v>
      </c>
      <c r="F1022" s="4" t="s">
        <v>2299</v>
      </c>
    </row>
    <row r="1023" spans="1:6" ht="14.4" thickBot="1" x14ac:dyDescent="0.35">
      <c r="A1023" s="4" t="s">
        <v>667</v>
      </c>
      <c r="B1023" s="4" t="s">
        <v>668</v>
      </c>
      <c r="C1023" s="4" t="s">
        <v>667</v>
      </c>
      <c r="D1023" s="4" t="s">
        <v>3881</v>
      </c>
      <c r="E1023" s="4" t="s">
        <v>3882</v>
      </c>
      <c r="F1023" s="4" t="s">
        <v>3881</v>
      </c>
    </row>
    <row r="1024" spans="1:6" ht="14.4" thickBot="1" x14ac:dyDescent="0.35">
      <c r="A1024" s="4" t="s">
        <v>667</v>
      </c>
      <c r="B1024" s="4" t="s">
        <v>668</v>
      </c>
      <c r="C1024" s="4" t="s">
        <v>667</v>
      </c>
      <c r="D1024" s="4" t="s">
        <v>2327</v>
      </c>
      <c r="E1024" s="4" t="s">
        <v>2328</v>
      </c>
      <c r="F1024" s="4" t="s">
        <v>2327</v>
      </c>
    </row>
    <row r="1025" spans="1:6" ht="14.4" thickBot="1" x14ac:dyDescent="0.35">
      <c r="A1025" s="4" t="s">
        <v>667</v>
      </c>
      <c r="B1025" s="4" t="s">
        <v>668</v>
      </c>
      <c r="C1025" s="4" t="s">
        <v>667</v>
      </c>
      <c r="D1025" s="4" t="s">
        <v>3079</v>
      </c>
      <c r="E1025" s="4" t="s">
        <v>3080</v>
      </c>
      <c r="F1025" s="4" t="s">
        <v>3079</v>
      </c>
    </row>
    <row r="1026" spans="1:6" ht="14.4" thickBot="1" x14ac:dyDescent="0.35">
      <c r="A1026" s="4" t="s">
        <v>667</v>
      </c>
      <c r="B1026" s="4" t="s">
        <v>668</v>
      </c>
      <c r="C1026" s="4" t="s">
        <v>667</v>
      </c>
      <c r="D1026" s="4" t="s">
        <v>894</v>
      </c>
      <c r="E1026" s="4" t="s">
        <v>895</v>
      </c>
      <c r="F1026" s="4" t="s">
        <v>894</v>
      </c>
    </row>
    <row r="1027" spans="1:6" ht="14.4" thickBot="1" x14ac:dyDescent="0.35">
      <c r="A1027" s="4" t="s">
        <v>667</v>
      </c>
      <c r="B1027" s="4" t="s">
        <v>668</v>
      </c>
      <c r="C1027" s="4" t="s">
        <v>667</v>
      </c>
      <c r="D1027" s="4" t="s">
        <v>5966</v>
      </c>
      <c r="E1027" s="4" t="s">
        <v>5967</v>
      </c>
      <c r="F1027" s="4" t="s">
        <v>5966</v>
      </c>
    </row>
    <row r="1028" spans="1:6" ht="14.4" thickBot="1" x14ac:dyDescent="0.35">
      <c r="A1028" s="4" t="s">
        <v>667</v>
      </c>
      <c r="B1028" s="4" t="s">
        <v>668</v>
      </c>
      <c r="C1028" s="4" t="s">
        <v>667</v>
      </c>
      <c r="D1028" s="4" t="s">
        <v>3186</v>
      </c>
      <c r="E1028" s="4" t="s">
        <v>3187</v>
      </c>
      <c r="F1028" s="4" t="s">
        <v>3186</v>
      </c>
    </row>
    <row r="1029" spans="1:6" ht="14.4" thickBot="1" x14ac:dyDescent="0.35">
      <c r="A1029" s="4" t="s">
        <v>667</v>
      </c>
      <c r="B1029" s="4" t="s">
        <v>668</v>
      </c>
      <c r="C1029" s="4" t="s">
        <v>667</v>
      </c>
      <c r="D1029" s="4" t="s">
        <v>3077</v>
      </c>
      <c r="E1029" s="4" t="s">
        <v>3078</v>
      </c>
      <c r="F1029" s="4" t="s">
        <v>3077</v>
      </c>
    </row>
    <row r="1030" spans="1:6" ht="14.4" thickBot="1" x14ac:dyDescent="0.35">
      <c r="A1030" s="4" t="s">
        <v>667</v>
      </c>
      <c r="B1030" s="4" t="s">
        <v>668</v>
      </c>
      <c r="C1030" s="4" t="s">
        <v>667</v>
      </c>
      <c r="D1030" s="4" t="s">
        <v>3184</v>
      </c>
      <c r="E1030" s="4" t="s">
        <v>3185</v>
      </c>
      <c r="F1030" s="4" t="s">
        <v>3184</v>
      </c>
    </row>
    <row r="1031" spans="1:6" ht="14.4" thickBot="1" x14ac:dyDescent="0.35">
      <c r="A1031" s="4" t="s">
        <v>667</v>
      </c>
      <c r="B1031" s="4" t="s">
        <v>668</v>
      </c>
      <c r="C1031" s="4" t="s">
        <v>667</v>
      </c>
      <c r="D1031" s="4" t="s">
        <v>5266</v>
      </c>
      <c r="E1031" s="4" t="s">
        <v>5267</v>
      </c>
      <c r="F1031" s="4" t="s">
        <v>5266</v>
      </c>
    </row>
    <row r="1032" spans="1:6" ht="14.4" thickBot="1" x14ac:dyDescent="0.35">
      <c r="A1032" s="4" t="s">
        <v>667</v>
      </c>
      <c r="B1032" s="4" t="s">
        <v>668</v>
      </c>
      <c r="C1032" s="4" t="s">
        <v>667</v>
      </c>
      <c r="D1032" s="4" t="s">
        <v>1590</v>
      </c>
      <c r="E1032" s="4" t="s">
        <v>1591</v>
      </c>
      <c r="F1032" s="4" t="s">
        <v>1590</v>
      </c>
    </row>
    <row r="1033" spans="1:6" ht="14.4" thickBot="1" x14ac:dyDescent="0.35">
      <c r="A1033" s="4" t="s">
        <v>667</v>
      </c>
      <c r="B1033" s="4" t="s">
        <v>668</v>
      </c>
      <c r="C1033" s="4" t="s">
        <v>667</v>
      </c>
      <c r="D1033" s="4" t="s">
        <v>5274</v>
      </c>
      <c r="E1033" s="4" t="s">
        <v>5275</v>
      </c>
      <c r="F1033" s="4" t="s">
        <v>5274</v>
      </c>
    </row>
    <row r="1034" spans="1:6" ht="14.4" thickBot="1" x14ac:dyDescent="0.35">
      <c r="A1034" s="4" t="s">
        <v>667</v>
      </c>
      <c r="B1034" s="4" t="s">
        <v>668</v>
      </c>
      <c r="C1034" s="4" t="s">
        <v>667</v>
      </c>
      <c r="D1034" s="4" t="s">
        <v>5264</v>
      </c>
      <c r="E1034" s="4" t="s">
        <v>5265</v>
      </c>
      <c r="F1034" s="4" t="s">
        <v>5264</v>
      </c>
    </row>
    <row r="1035" spans="1:6" ht="14.4" thickBot="1" x14ac:dyDescent="0.35">
      <c r="A1035" s="4" t="s">
        <v>667</v>
      </c>
      <c r="B1035" s="4" t="s">
        <v>668</v>
      </c>
      <c r="C1035" s="4" t="s">
        <v>667</v>
      </c>
      <c r="D1035" s="4" t="s">
        <v>683</v>
      </c>
      <c r="E1035" s="4" t="s">
        <v>684</v>
      </c>
      <c r="F1035" s="4" t="s">
        <v>683</v>
      </c>
    </row>
    <row r="1036" spans="1:6" ht="14.4" thickBot="1" x14ac:dyDescent="0.35">
      <c r="A1036" s="4" t="s">
        <v>667</v>
      </c>
      <c r="B1036" s="4" t="s">
        <v>668</v>
      </c>
      <c r="C1036" s="4" t="s">
        <v>667</v>
      </c>
      <c r="D1036" s="4" t="s">
        <v>1750</v>
      </c>
      <c r="E1036" s="4" t="s">
        <v>1751</v>
      </c>
      <c r="F1036" s="4" t="s">
        <v>1750</v>
      </c>
    </row>
    <row r="1037" spans="1:6" ht="14.4" thickBot="1" x14ac:dyDescent="0.35">
      <c r="A1037" s="4" t="s">
        <v>667</v>
      </c>
      <c r="B1037" s="4" t="s">
        <v>668</v>
      </c>
      <c r="C1037" s="4" t="s">
        <v>667</v>
      </c>
      <c r="D1037" s="4" t="s">
        <v>1596</v>
      </c>
      <c r="E1037" s="4" t="s">
        <v>1597</v>
      </c>
      <c r="F1037" s="4" t="s">
        <v>1596</v>
      </c>
    </row>
    <row r="1038" spans="1:6" ht="14.4" thickBot="1" x14ac:dyDescent="0.35">
      <c r="A1038" s="4" t="s">
        <v>667</v>
      </c>
      <c r="B1038" s="4" t="s">
        <v>668</v>
      </c>
      <c r="C1038" s="4" t="s">
        <v>667</v>
      </c>
      <c r="D1038" s="4" t="s">
        <v>5944</v>
      </c>
      <c r="E1038" s="4" t="s">
        <v>5945</v>
      </c>
      <c r="F1038" s="4" t="s">
        <v>5944</v>
      </c>
    </row>
    <row r="1039" spans="1:6" ht="14.4" thickBot="1" x14ac:dyDescent="0.35">
      <c r="A1039" s="4" t="s">
        <v>667</v>
      </c>
      <c r="B1039" s="4" t="s">
        <v>668</v>
      </c>
      <c r="C1039" s="4" t="s">
        <v>667</v>
      </c>
      <c r="D1039" s="4" t="s">
        <v>3879</v>
      </c>
      <c r="E1039" s="4" t="s">
        <v>3880</v>
      </c>
      <c r="F1039" s="4" t="s">
        <v>3879</v>
      </c>
    </row>
    <row r="1040" spans="1:6" ht="14.4" thickBot="1" x14ac:dyDescent="0.35">
      <c r="A1040" s="4" t="s">
        <v>667</v>
      </c>
      <c r="B1040" s="4" t="s">
        <v>668</v>
      </c>
      <c r="C1040" s="4" t="s">
        <v>667</v>
      </c>
      <c r="D1040" s="4" t="s">
        <v>3073</v>
      </c>
      <c r="E1040" s="4" t="s">
        <v>3074</v>
      </c>
      <c r="F1040" s="4" t="s">
        <v>3073</v>
      </c>
    </row>
    <row r="1041" spans="1:6" ht="14.4" thickBot="1" x14ac:dyDescent="0.35">
      <c r="A1041" s="4" t="s">
        <v>667</v>
      </c>
      <c r="B1041" s="4" t="s">
        <v>668</v>
      </c>
      <c r="C1041" s="4" t="s">
        <v>667</v>
      </c>
      <c r="D1041" s="4" t="s">
        <v>2325</v>
      </c>
      <c r="E1041" s="4" t="s">
        <v>2326</v>
      </c>
      <c r="F1041" s="4" t="s">
        <v>2325</v>
      </c>
    </row>
    <row r="1042" spans="1:6" ht="14.4" thickBot="1" x14ac:dyDescent="0.35">
      <c r="A1042" s="4" t="s">
        <v>667</v>
      </c>
      <c r="B1042" s="4" t="s">
        <v>668</v>
      </c>
      <c r="C1042" s="4" t="s">
        <v>667</v>
      </c>
      <c r="D1042" s="4" t="s">
        <v>3071</v>
      </c>
      <c r="E1042" s="4" t="s">
        <v>3072</v>
      </c>
      <c r="F1042" s="4" t="s">
        <v>3071</v>
      </c>
    </row>
    <row r="1043" spans="1:6" ht="14.4" thickBot="1" x14ac:dyDescent="0.35">
      <c r="A1043" s="4" t="s">
        <v>667</v>
      </c>
      <c r="B1043" s="4" t="s">
        <v>668</v>
      </c>
      <c r="C1043" s="4" t="s">
        <v>667</v>
      </c>
      <c r="D1043" s="4" t="s">
        <v>5938</v>
      </c>
      <c r="E1043" s="4" t="s">
        <v>5939</v>
      </c>
      <c r="F1043" s="4" t="s">
        <v>5938</v>
      </c>
    </row>
    <row r="1044" spans="1:6" ht="14.4" thickBot="1" x14ac:dyDescent="0.35">
      <c r="A1044" s="4" t="s">
        <v>667</v>
      </c>
      <c r="B1044" s="4" t="s">
        <v>668</v>
      </c>
      <c r="C1044" s="4" t="s">
        <v>667</v>
      </c>
      <c r="D1044" s="4" t="s">
        <v>5989</v>
      </c>
      <c r="E1044" s="4" t="s">
        <v>5990</v>
      </c>
      <c r="F1044" s="4" t="s">
        <v>5989</v>
      </c>
    </row>
    <row r="1045" spans="1:6" ht="14.4" thickBot="1" x14ac:dyDescent="0.35">
      <c r="A1045" s="4" t="s">
        <v>667</v>
      </c>
      <c r="B1045" s="4" t="s">
        <v>668</v>
      </c>
      <c r="C1045" s="4" t="s">
        <v>667</v>
      </c>
      <c r="D1045" s="4" t="s">
        <v>1604</v>
      </c>
      <c r="E1045" s="4" t="s">
        <v>1605</v>
      </c>
      <c r="F1045" s="4" t="s">
        <v>1604</v>
      </c>
    </row>
    <row r="1046" spans="1:6" ht="14.4" thickBot="1" x14ac:dyDescent="0.35">
      <c r="A1046" s="4" t="s">
        <v>667</v>
      </c>
      <c r="B1046" s="4" t="s">
        <v>668</v>
      </c>
      <c r="C1046" s="4" t="s">
        <v>667</v>
      </c>
      <c r="D1046" s="4" t="s">
        <v>5256</v>
      </c>
      <c r="E1046" s="4" t="s">
        <v>5257</v>
      </c>
      <c r="F1046" s="4" t="s">
        <v>5256</v>
      </c>
    </row>
    <row r="1047" spans="1:6" ht="14.4" thickBot="1" x14ac:dyDescent="0.35">
      <c r="A1047" s="4" t="s">
        <v>667</v>
      </c>
      <c r="B1047" s="4" t="s">
        <v>668</v>
      </c>
      <c r="C1047" s="4" t="s">
        <v>667</v>
      </c>
      <c r="D1047" s="4" t="s">
        <v>3877</v>
      </c>
      <c r="E1047" s="4" t="s">
        <v>3878</v>
      </c>
      <c r="F1047" s="4" t="s">
        <v>3877</v>
      </c>
    </row>
    <row r="1048" spans="1:6" ht="14.4" thickBot="1" x14ac:dyDescent="0.35">
      <c r="A1048" s="4" t="s">
        <v>667</v>
      </c>
      <c r="B1048" s="4" t="s">
        <v>668</v>
      </c>
      <c r="C1048" s="4" t="s">
        <v>667</v>
      </c>
      <c r="D1048" s="4" t="s">
        <v>3182</v>
      </c>
      <c r="E1048" s="4" t="s">
        <v>3183</v>
      </c>
      <c r="F1048" s="4" t="s">
        <v>3182</v>
      </c>
    </row>
    <row r="1049" spans="1:6" ht="14.4" thickBot="1" x14ac:dyDescent="0.35">
      <c r="A1049" s="4" t="s">
        <v>667</v>
      </c>
      <c r="B1049" s="4" t="s">
        <v>668</v>
      </c>
      <c r="C1049" s="4" t="s">
        <v>667</v>
      </c>
      <c r="D1049" s="4" t="s">
        <v>5942</v>
      </c>
      <c r="E1049" s="4" t="s">
        <v>5943</v>
      </c>
      <c r="F1049" s="4" t="s">
        <v>5942</v>
      </c>
    </row>
    <row r="1050" spans="1:6" ht="14.4" thickBot="1" x14ac:dyDescent="0.35">
      <c r="A1050" s="4" t="s">
        <v>667</v>
      </c>
      <c r="B1050" s="4" t="s">
        <v>668</v>
      </c>
      <c r="C1050" s="4" t="s">
        <v>667</v>
      </c>
      <c r="D1050" s="4" t="s">
        <v>5973</v>
      </c>
      <c r="E1050" s="4" t="s">
        <v>5974</v>
      </c>
      <c r="F1050" s="4" t="s">
        <v>5973</v>
      </c>
    </row>
    <row r="1051" spans="1:6" ht="14.4" thickBot="1" x14ac:dyDescent="0.35">
      <c r="A1051" s="4" t="s">
        <v>667</v>
      </c>
      <c r="B1051" s="4" t="s">
        <v>668</v>
      </c>
      <c r="C1051" s="4" t="s">
        <v>667</v>
      </c>
      <c r="D1051" s="4" t="s">
        <v>4612</v>
      </c>
      <c r="E1051" s="4" t="s">
        <v>96</v>
      </c>
      <c r="F1051" s="4" t="s">
        <v>4612</v>
      </c>
    </row>
    <row r="1052" spans="1:6" ht="14.4" thickBot="1" x14ac:dyDescent="0.35">
      <c r="A1052" s="4" t="s">
        <v>667</v>
      </c>
      <c r="B1052" s="4" t="s">
        <v>668</v>
      </c>
      <c r="C1052" s="4" t="s">
        <v>667</v>
      </c>
      <c r="D1052" s="4" t="s">
        <v>2435</v>
      </c>
      <c r="E1052" s="4" t="s">
        <v>2436</v>
      </c>
      <c r="F1052" s="4" t="s">
        <v>2435</v>
      </c>
    </row>
    <row r="1053" spans="1:6" ht="14.4" thickBot="1" x14ac:dyDescent="0.35">
      <c r="A1053" s="4" t="s">
        <v>667</v>
      </c>
      <c r="B1053" s="4" t="s">
        <v>668</v>
      </c>
      <c r="C1053" s="4" t="s">
        <v>667</v>
      </c>
      <c r="D1053" s="4" t="s">
        <v>3065</v>
      </c>
      <c r="E1053" s="4" t="s">
        <v>3066</v>
      </c>
      <c r="F1053" s="4" t="s">
        <v>3065</v>
      </c>
    </row>
    <row r="1054" spans="1:6" ht="14.4" thickBot="1" x14ac:dyDescent="0.35">
      <c r="A1054" s="4" t="s">
        <v>667</v>
      </c>
      <c r="B1054" s="4" t="s">
        <v>668</v>
      </c>
      <c r="C1054" s="4" t="s">
        <v>667</v>
      </c>
      <c r="D1054" s="4" t="s">
        <v>5936</v>
      </c>
      <c r="E1054" s="4" t="s">
        <v>5937</v>
      </c>
      <c r="F1054" s="4" t="s">
        <v>5936</v>
      </c>
    </row>
    <row r="1055" spans="1:6" ht="14.4" thickBot="1" x14ac:dyDescent="0.35">
      <c r="A1055" s="4" t="s">
        <v>667</v>
      </c>
      <c r="B1055" s="4" t="s">
        <v>668</v>
      </c>
      <c r="C1055" s="4" t="s">
        <v>667</v>
      </c>
      <c r="D1055" s="4" t="s">
        <v>4581</v>
      </c>
      <c r="E1055" s="4" t="s">
        <v>4582</v>
      </c>
      <c r="F1055" s="4" t="s">
        <v>4581</v>
      </c>
    </row>
    <row r="1056" spans="1:6" ht="14.4" thickBot="1" x14ac:dyDescent="0.35">
      <c r="A1056" s="4" t="s">
        <v>667</v>
      </c>
      <c r="B1056" s="4" t="s">
        <v>668</v>
      </c>
      <c r="C1056" s="4" t="s">
        <v>667</v>
      </c>
      <c r="D1056" s="4" t="s">
        <v>2310</v>
      </c>
      <c r="E1056" s="4" t="s">
        <v>2311</v>
      </c>
      <c r="F1056" s="4" t="s">
        <v>2310</v>
      </c>
    </row>
    <row r="1057" spans="1:6" ht="14.4" thickBot="1" x14ac:dyDescent="0.35">
      <c r="A1057" s="4" t="s">
        <v>667</v>
      </c>
      <c r="B1057" s="4" t="s">
        <v>668</v>
      </c>
      <c r="C1057" s="4" t="s">
        <v>667</v>
      </c>
      <c r="D1057" s="4" t="s">
        <v>5987</v>
      </c>
      <c r="E1057" s="4" t="s">
        <v>5988</v>
      </c>
      <c r="F1057" s="4" t="s">
        <v>5987</v>
      </c>
    </row>
    <row r="1058" spans="1:6" ht="14.4" thickBot="1" x14ac:dyDescent="0.35">
      <c r="A1058" s="4" t="s">
        <v>667</v>
      </c>
      <c r="B1058" s="4" t="s">
        <v>668</v>
      </c>
      <c r="C1058" s="4" t="s">
        <v>667</v>
      </c>
      <c r="D1058" s="4" t="s">
        <v>3859</v>
      </c>
      <c r="E1058" s="4" t="s">
        <v>3860</v>
      </c>
      <c r="F1058" s="4" t="s">
        <v>3859</v>
      </c>
    </row>
    <row r="1059" spans="1:6" ht="14.4" thickBot="1" x14ac:dyDescent="0.35">
      <c r="A1059" s="4" t="s">
        <v>667</v>
      </c>
      <c r="B1059" s="4" t="s">
        <v>668</v>
      </c>
      <c r="C1059" s="4" t="s">
        <v>667</v>
      </c>
      <c r="D1059" s="4" t="s">
        <v>4611</v>
      </c>
      <c r="E1059" s="4" t="s">
        <v>651</v>
      </c>
      <c r="F1059" s="4" t="s">
        <v>4611</v>
      </c>
    </row>
    <row r="1060" spans="1:6" ht="14.4" thickBot="1" x14ac:dyDescent="0.35">
      <c r="A1060" s="4" t="s">
        <v>667</v>
      </c>
      <c r="B1060" s="4" t="s">
        <v>668</v>
      </c>
      <c r="C1060" s="4" t="s">
        <v>667</v>
      </c>
      <c r="D1060" s="4" t="s">
        <v>900</v>
      </c>
      <c r="E1060" s="4" t="s">
        <v>901</v>
      </c>
      <c r="F1060" s="4" t="s">
        <v>900</v>
      </c>
    </row>
    <row r="1061" spans="1:6" ht="14.4" thickBot="1" x14ac:dyDescent="0.35">
      <c r="A1061" s="4" t="s">
        <v>667</v>
      </c>
      <c r="B1061" s="4" t="s">
        <v>668</v>
      </c>
      <c r="C1061" s="4" t="s">
        <v>667</v>
      </c>
      <c r="D1061" s="4" t="s">
        <v>5946</v>
      </c>
      <c r="E1061" s="4" t="s">
        <v>5947</v>
      </c>
      <c r="F1061" s="4" t="s">
        <v>5946</v>
      </c>
    </row>
    <row r="1062" spans="1:6" ht="14.4" thickBot="1" x14ac:dyDescent="0.35">
      <c r="A1062" s="4" t="s">
        <v>667</v>
      </c>
      <c r="B1062" s="4" t="s">
        <v>668</v>
      </c>
      <c r="C1062" s="4" t="s">
        <v>667</v>
      </c>
      <c r="D1062" s="4" t="s">
        <v>4013</v>
      </c>
      <c r="E1062" s="4" t="s">
        <v>4014</v>
      </c>
      <c r="F1062" s="4" t="s">
        <v>4013</v>
      </c>
    </row>
    <row r="1063" spans="1:6" ht="14.4" thickBot="1" x14ac:dyDescent="0.35">
      <c r="A1063" s="4" t="s">
        <v>667</v>
      </c>
      <c r="B1063" s="4" t="s">
        <v>668</v>
      </c>
      <c r="C1063" s="4" t="s">
        <v>667</v>
      </c>
      <c r="D1063" s="4" t="s">
        <v>1612</v>
      </c>
      <c r="E1063" s="4" t="s">
        <v>1613</v>
      </c>
      <c r="F1063" s="4" t="s">
        <v>1612</v>
      </c>
    </row>
    <row r="1064" spans="1:6" ht="14.4" thickBot="1" x14ac:dyDescent="0.35">
      <c r="A1064" s="4" t="s">
        <v>667</v>
      </c>
      <c r="B1064" s="4" t="s">
        <v>668</v>
      </c>
      <c r="C1064" s="4" t="s">
        <v>667</v>
      </c>
      <c r="D1064" s="4" t="s">
        <v>687</v>
      </c>
      <c r="E1064" s="4" t="s">
        <v>688</v>
      </c>
      <c r="F1064" s="4" t="s">
        <v>687</v>
      </c>
    </row>
    <row r="1065" spans="1:6" ht="14.4" thickBot="1" x14ac:dyDescent="0.35">
      <c r="A1065" s="4" t="s">
        <v>667</v>
      </c>
      <c r="B1065" s="4" t="s">
        <v>668</v>
      </c>
      <c r="C1065" s="4" t="s">
        <v>667</v>
      </c>
      <c r="D1065" s="4" t="s">
        <v>6100</v>
      </c>
      <c r="E1065" s="4" t="s">
        <v>6101</v>
      </c>
      <c r="F1065" s="4" t="s">
        <v>6100</v>
      </c>
    </row>
    <row r="1066" spans="1:6" ht="14.4" thickBot="1" x14ac:dyDescent="0.35">
      <c r="A1066" s="4" t="s">
        <v>667</v>
      </c>
      <c r="B1066" s="4" t="s">
        <v>668</v>
      </c>
      <c r="C1066" s="4" t="s">
        <v>667</v>
      </c>
      <c r="D1066" s="4" t="s">
        <v>4722</v>
      </c>
      <c r="E1066" s="4" t="s">
        <v>4723</v>
      </c>
      <c r="F1066" s="4" t="s">
        <v>4722</v>
      </c>
    </row>
    <row r="1067" spans="1:6" ht="14.4" thickBot="1" x14ac:dyDescent="0.35">
      <c r="A1067" s="4" t="s">
        <v>667</v>
      </c>
      <c r="B1067" s="4" t="s">
        <v>668</v>
      </c>
      <c r="C1067" s="4" t="s">
        <v>667</v>
      </c>
      <c r="D1067" s="4" t="s">
        <v>914</v>
      </c>
      <c r="E1067" s="4" t="s">
        <v>915</v>
      </c>
      <c r="F1067" s="4" t="s">
        <v>914</v>
      </c>
    </row>
    <row r="1068" spans="1:6" ht="14.4" thickBot="1" x14ac:dyDescent="0.35">
      <c r="A1068" s="4" t="s">
        <v>667</v>
      </c>
      <c r="B1068" s="4" t="s">
        <v>668</v>
      </c>
      <c r="C1068" s="4" t="s">
        <v>667</v>
      </c>
      <c r="D1068" s="4" t="s">
        <v>6110</v>
      </c>
      <c r="E1068" s="4" t="s">
        <v>6111</v>
      </c>
      <c r="F1068" s="4" t="s">
        <v>6110</v>
      </c>
    </row>
    <row r="1069" spans="1:6" ht="14.4" thickBot="1" x14ac:dyDescent="0.35">
      <c r="A1069" s="4" t="s">
        <v>667</v>
      </c>
      <c r="B1069" s="4" t="s">
        <v>668</v>
      </c>
      <c r="C1069" s="4" t="s">
        <v>667</v>
      </c>
      <c r="D1069" s="4" t="s">
        <v>4718</v>
      </c>
      <c r="E1069" s="4" t="s">
        <v>4719</v>
      </c>
      <c r="F1069" s="4" t="s">
        <v>4718</v>
      </c>
    </row>
    <row r="1070" spans="1:6" ht="14.4" thickBot="1" x14ac:dyDescent="0.35">
      <c r="A1070" s="4" t="s">
        <v>667</v>
      </c>
      <c r="B1070" s="4" t="s">
        <v>668</v>
      </c>
      <c r="C1070" s="4" t="s">
        <v>667</v>
      </c>
      <c r="D1070" s="4" t="s">
        <v>2439</v>
      </c>
      <c r="E1070" s="4" t="s">
        <v>2440</v>
      </c>
      <c r="F1070" s="4" t="s">
        <v>2439</v>
      </c>
    </row>
    <row r="1071" spans="1:6" ht="14.4" thickBot="1" x14ac:dyDescent="0.35">
      <c r="A1071" s="4" t="s">
        <v>667</v>
      </c>
      <c r="B1071" s="4" t="s">
        <v>668</v>
      </c>
      <c r="C1071" s="4" t="s">
        <v>667</v>
      </c>
      <c r="D1071" s="4" t="s">
        <v>6098</v>
      </c>
      <c r="E1071" s="4" t="s">
        <v>6099</v>
      </c>
      <c r="F1071" s="4" t="s">
        <v>6098</v>
      </c>
    </row>
    <row r="1072" spans="1:6" ht="14.4" thickBot="1" x14ac:dyDescent="0.35">
      <c r="A1072" s="4" t="s">
        <v>667</v>
      </c>
      <c r="B1072" s="4" t="s">
        <v>668</v>
      </c>
      <c r="C1072" s="4" t="s">
        <v>667</v>
      </c>
      <c r="D1072" s="4" t="s">
        <v>3198</v>
      </c>
      <c r="E1072" s="4" t="s">
        <v>3199</v>
      </c>
      <c r="F1072" s="4" t="s">
        <v>3198</v>
      </c>
    </row>
    <row r="1073" spans="1:6" ht="14.4" thickBot="1" x14ac:dyDescent="0.35">
      <c r="A1073" s="4" t="s">
        <v>667</v>
      </c>
      <c r="B1073" s="4" t="s">
        <v>668</v>
      </c>
      <c r="C1073" s="4" t="s">
        <v>667</v>
      </c>
      <c r="D1073" s="4" t="s">
        <v>912</v>
      </c>
      <c r="E1073" s="4" t="s">
        <v>913</v>
      </c>
      <c r="F1073" s="4" t="s">
        <v>912</v>
      </c>
    </row>
    <row r="1074" spans="1:6" ht="14.4" thickBot="1" x14ac:dyDescent="0.35">
      <c r="A1074" s="4" t="s">
        <v>667</v>
      </c>
      <c r="B1074" s="4" t="s">
        <v>668</v>
      </c>
      <c r="C1074" s="4" t="s">
        <v>667</v>
      </c>
      <c r="D1074" s="4" t="s">
        <v>3196</v>
      </c>
      <c r="E1074" s="4" t="s">
        <v>3197</v>
      </c>
      <c r="F1074" s="4" t="s">
        <v>3196</v>
      </c>
    </row>
    <row r="1075" spans="1:6" ht="14.4" thickBot="1" x14ac:dyDescent="0.35">
      <c r="A1075" s="4" t="s">
        <v>667</v>
      </c>
      <c r="B1075" s="4" t="s">
        <v>668</v>
      </c>
      <c r="C1075" s="4" t="s">
        <v>667</v>
      </c>
      <c r="D1075" s="4" t="s">
        <v>6108</v>
      </c>
      <c r="E1075" s="4" t="s">
        <v>6109</v>
      </c>
      <c r="F1075" s="4" t="s">
        <v>6108</v>
      </c>
    </row>
    <row r="1076" spans="1:6" ht="14.4" thickBot="1" x14ac:dyDescent="0.35">
      <c r="A1076" s="4" t="s">
        <v>667</v>
      </c>
      <c r="B1076" s="4" t="s">
        <v>668</v>
      </c>
      <c r="C1076" s="4" t="s">
        <v>667</v>
      </c>
      <c r="D1076" s="4" t="s">
        <v>1794</v>
      </c>
      <c r="E1076" s="4" t="s">
        <v>1795</v>
      </c>
      <c r="F1076" s="4" t="s">
        <v>1794</v>
      </c>
    </row>
    <row r="1077" spans="1:6" ht="14.4" thickBot="1" x14ac:dyDescent="0.35">
      <c r="A1077" s="4" t="s">
        <v>667</v>
      </c>
      <c r="B1077" s="4" t="s">
        <v>668</v>
      </c>
      <c r="C1077" s="4" t="s">
        <v>667</v>
      </c>
      <c r="D1077" s="4" t="s">
        <v>1792</v>
      </c>
      <c r="E1077" s="4" t="s">
        <v>1793</v>
      </c>
      <c r="F1077" s="4" t="s">
        <v>1792</v>
      </c>
    </row>
    <row r="1078" spans="1:6" ht="14.4" thickBot="1" x14ac:dyDescent="0.35">
      <c r="A1078" s="4" t="s">
        <v>667</v>
      </c>
      <c r="B1078" s="4" t="s">
        <v>668</v>
      </c>
      <c r="C1078" s="4" t="s">
        <v>667</v>
      </c>
      <c r="D1078" s="4" t="s">
        <v>1790</v>
      </c>
      <c r="E1078" s="4" t="s">
        <v>1791</v>
      </c>
      <c r="F1078" s="4" t="s">
        <v>1790</v>
      </c>
    </row>
    <row r="1079" spans="1:6" ht="14.4" thickBot="1" x14ac:dyDescent="0.35">
      <c r="A1079" s="4" t="s">
        <v>667</v>
      </c>
      <c r="B1079" s="4" t="s">
        <v>668</v>
      </c>
      <c r="C1079" s="4" t="s">
        <v>667</v>
      </c>
      <c r="D1079" s="4" t="s">
        <v>930</v>
      </c>
      <c r="E1079" s="4" t="s">
        <v>931</v>
      </c>
      <c r="F1079" s="4" t="s">
        <v>930</v>
      </c>
    </row>
    <row r="1080" spans="1:6" ht="14.4" thickBot="1" x14ac:dyDescent="0.35">
      <c r="A1080" s="4" t="s">
        <v>667</v>
      </c>
      <c r="B1080" s="4" t="s">
        <v>668</v>
      </c>
      <c r="C1080" s="4" t="s">
        <v>667</v>
      </c>
      <c r="D1080" s="4" t="s">
        <v>2462</v>
      </c>
      <c r="E1080" s="4" t="s">
        <v>2463</v>
      </c>
      <c r="F1080" s="4" t="s">
        <v>2462</v>
      </c>
    </row>
    <row r="1081" spans="1:6" ht="14.4" thickBot="1" x14ac:dyDescent="0.35">
      <c r="A1081" s="4" t="s">
        <v>667</v>
      </c>
      <c r="B1081" s="4" t="s">
        <v>668</v>
      </c>
      <c r="C1081" s="4" t="s">
        <v>667</v>
      </c>
      <c r="D1081" s="4" t="s">
        <v>1788</v>
      </c>
      <c r="E1081" s="4" t="s">
        <v>1789</v>
      </c>
      <c r="F1081" s="4" t="s">
        <v>1788</v>
      </c>
    </row>
    <row r="1082" spans="1:6" ht="14.4" thickBot="1" x14ac:dyDescent="0.35">
      <c r="A1082" s="4" t="s">
        <v>667</v>
      </c>
      <c r="B1082" s="4" t="s">
        <v>668</v>
      </c>
      <c r="C1082" s="4" t="s">
        <v>667</v>
      </c>
      <c r="D1082" s="4" t="s">
        <v>3224</v>
      </c>
      <c r="E1082" s="4" t="s">
        <v>3225</v>
      </c>
      <c r="F1082" s="4" t="s">
        <v>3224</v>
      </c>
    </row>
    <row r="1083" spans="1:6" ht="14.4" thickBot="1" x14ac:dyDescent="0.35">
      <c r="A1083" s="4" t="s">
        <v>667</v>
      </c>
      <c r="B1083" s="4" t="s">
        <v>668</v>
      </c>
      <c r="C1083" s="4" t="s">
        <v>667</v>
      </c>
      <c r="D1083" s="4" t="s">
        <v>4037</v>
      </c>
      <c r="E1083" s="4" t="s">
        <v>4038</v>
      </c>
      <c r="F1083" s="4" t="s">
        <v>4037</v>
      </c>
    </row>
    <row r="1084" spans="1:6" ht="14.4" thickBot="1" x14ac:dyDescent="0.35">
      <c r="A1084" s="4" t="s">
        <v>667</v>
      </c>
      <c r="B1084" s="4" t="s">
        <v>668</v>
      </c>
      <c r="C1084" s="4" t="s">
        <v>667</v>
      </c>
      <c r="D1084" s="4" t="s">
        <v>6130</v>
      </c>
      <c r="E1084" s="4" t="s">
        <v>6131</v>
      </c>
      <c r="F1084" s="4" t="s">
        <v>6130</v>
      </c>
    </row>
    <row r="1085" spans="1:6" ht="14.4" thickBot="1" x14ac:dyDescent="0.35">
      <c r="A1085" s="4" t="s">
        <v>667</v>
      </c>
      <c r="B1085" s="4" t="s">
        <v>668</v>
      </c>
      <c r="C1085" s="4" t="s">
        <v>667</v>
      </c>
      <c r="D1085" s="4" t="s">
        <v>4007</v>
      </c>
      <c r="E1085" s="4" t="s">
        <v>4008</v>
      </c>
      <c r="F1085" s="4" t="s">
        <v>4007</v>
      </c>
    </row>
    <row r="1086" spans="1:6" ht="14.4" thickBot="1" x14ac:dyDescent="0.35">
      <c r="A1086" s="4" t="s">
        <v>667</v>
      </c>
      <c r="B1086" s="4" t="s">
        <v>668</v>
      </c>
      <c r="C1086" s="4" t="s">
        <v>667</v>
      </c>
      <c r="D1086" s="4" t="s">
        <v>6128</v>
      </c>
      <c r="E1086" s="4" t="s">
        <v>6129</v>
      </c>
      <c r="F1086" s="4" t="s">
        <v>6128</v>
      </c>
    </row>
    <row r="1087" spans="1:6" ht="14.4" thickBot="1" x14ac:dyDescent="0.35">
      <c r="A1087" s="4" t="s">
        <v>667</v>
      </c>
      <c r="B1087" s="4" t="s">
        <v>668</v>
      </c>
      <c r="C1087" s="4" t="s">
        <v>667</v>
      </c>
      <c r="D1087" s="4" t="s">
        <v>2461</v>
      </c>
      <c r="E1087" s="4" t="s">
        <v>635</v>
      </c>
      <c r="F1087" s="4" t="s">
        <v>2461</v>
      </c>
    </row>
    <row r="1088" spans="1:6" ht="14.4" thickBot="1" x14ac:dyDescent="0.35">
      <c r="A1088" s="4" t="s">
        <v>667</v>
      </c>
      <c r="B1088" s="4" t="s">
        <v>668</v>
      </c>
      <c r="C1088" s="4" t="s">
        <v>667</v>
      </c>
      <c r="D1088" s="4" t="s">
        <v>4035</v>
      </c>
      <c r="E1088" s="4" t="s">
        <v>4036</v>
      </c>
      <c r="F1088" s="4" t="s">
        <v>4035</v>
      </c>
    </row>
    <row r="1089" spans="1:6" ht="14.4" thickBot="1" x14ac:dyDescent="0.35">
      <c r="A1089" s="4" t="s">
        <v>667</v>
      </c>
      <c r="B1089" s="4" t="s">
        <v>668</v>
      </c>
      <c r="C1089" s="4" t="s">
        <v>667</v>
      </c>
      <c r="D1089" s="4" t="s">
        <v>1784</v>
      </c>
      <c r="E1089" s="4" t="s">
        <v>1785</v>
      </c>
      <c r="F1089" s="4" t="s">
        <v>1784</v>
      </c>
    </row>
    <row r="1090" spans="1:6" ht="14.4" thickBot="1" x14ac:dyDescent="0.35">
      <c r="A1090" s="4" t="s">
        <v>667</v>
      </c>
      <c r="B1090" s="4" t="s">
        <v>668</v>
      </c>
      <c r="C1090" s="4" t="s">
        <v>667</v>
      </c>
      <c r="D1090" s="4" t="s">
        <v>5436</v>
      </c>
      <c r="E1090" s="4" t="s">
        <v>5437</v>
      </c>
      <c r="F1090" s="4" t="s">
        <v>5436</v>
      </c>
    </row>
    <row r="1091" spans="1:6" ht="14.4" thickBot="1" x14ac:dyDescent="0.35">
      <c r="A1091" s="4" t="s">
        <v>667</v>
      </c>
      <c r="B1091" s="4" t="s">
        <v>668</v>
      </c>
      <c r="C1091" s="4" t="s">
        <v>667</v>
      </c>
      <c r="D1091" s="4" t="s">
        <v>5434</v>
      </c>
      <c r="E1091" s="4" t="s">
        <v>5435</v>
      </c>
      <c r="F1091" s="4" t="s">
        <v>5434</v>
      </c>
    </row>
    <row r="1092" spans="1:6" ht="14.4" thickBot="1" x14ac:dyDescent="0.35">
      <c r="A1092" s="4" t="s">
        <v>667</v>
      </c>
      <c r="B1092" s="4" t="s">
        <v>668</v>
      </c>
      <c r="C1092" s="4" t="s">
        <v>667</v>
      </c>
      <c r="D1092" s="4" t="s">
        <v>5432</v>
      </c>
      <c r="E1092" s="4" t="s">
        <v>5433</v>
      </c>
      <c r="F1092" s="4" t="s">
        <v>5432</v>
      </c>
    </row>
    <row r="1093" spans="1:6" ht="14.4" thickBot="1" x14ac:dyDescent="0.35">
      <c r="A1093" s="4" t="s">
        <v>667</v>
      </c>
      <c r="B1093" s="4" t="s">
        <v>668</v>
      </c>
      <c r="C1093" s="4" t="s">
        <v>667</v>
      </c>
      <c r="D1093" s="4" t="s">
        <v>4738</v>
      </c>
      <c r="E1093" s="4" t="s">
        <v>4739</v>
      </c>
      <c r="F1093" s="4" t="s">
        <v>4738</v>
      </c>
    </row>
    <row r="1094" spans="1:6" ht="14.4" thickBot="1" x14ac:dyDescent="0.35">
      <c r="A1094" s="4" t="s">
        <v>667</v>
      </c>
      <c r="B1094" s="4" t="s">
        <v>668</v>
      </c>
      <c r="C1094" s="4" t="s">
        <v>667</v>
      </c>
      <c r="D1094" s="4" t="s">
        <v>5430</v>
      </c>
      <c r="E1094" s="4" t="s">
        <v>5431</v>
      </c>
      <c r="F1094" s="4" t="s">
        <v>5430</v>
      </c>
    </row>
    <row r="1095" spans="1:6" ht="14.4" thickBot="1" x14ac:dyDescent="0.35">
      <c r="A1095" s="4" t="s">
        <v>667</v>
      </c>
      <c r="B1095" s="4" t="s">
        <v>668</v>
      </c>
      <c r="C1095" s="4" t="s">
        <v>667</v>
      </c>
      <c r="D1095" s="4" t="s">
        <v>5428</v>
      </c>
      <c r="E1095" s="4" t="s">
        <v>5429</v>
      </c>
      <c r="F1095" s="4" t="s">
        <v>5428</v>
      </c>
    </row>
    <row r="1096" spans="1:6" ht="14.4" thickBot="1" x14ac:dyDescent="0.35">
      <c r="A1096" s="4" t="s">
        <v>667</v>
      </c>
      <c r="B1096" s="4" t="s">
        <v>668</v>
      </c>
      <c r="C1096" s="4" t="s">
        <v>667</v>
      </c>
      <c r="D1096" s="4" t="s">
        <v>928</v>
      </c>
      <c r="E1096" s="4" t="s">
        <v>929</v>
      </c>
      <c r="F1096" s="4" t="s">
        <v>928</v>
      </c>
    </row>
    <row r="1097" spans="1:6" ht="14.4" thickBot="1" x14ac:dyDescent="0.35">
      <c r="A1097" s="4" t="s">
        <v>667</v>
      </c>
      <c r="B1097" s="4" t="s">
        <v>668</v>
      </c>
      <c r="C1097" s="4" t="s">
        <v>667</v>
      </c>
      <c r="D1097" s="4" t="s">
        <v>3222</v>
      </c>
      <c r="E1097" s="4" t="s">
        <v>3223</v>
      </c>
      <c r="F1097" s="4" t="s">
        <v>3222</v>
      </c>
    </row>
    <row r="1098" spans="1:6" ht="14.4" thickBot="1" x14ac:dyDescent="0.35">
      <c r="A1098" s="4" t="s">
        <v>667</v>
      </c>
      <c r="B1098" s="4" t="s">
        <v>668</v>
      </c>
      <c r="C1098" s="4" t="s">
        <v>667</v>
      </c>
      <c r="D1098" s="4" t="s">
        <v>4736</v>
      </c>
      <c r="E1098" s="4" t="s">
        <v>4737</v>
      </c>
      <c r="F1098" s="4" t="s">
        <v>4736</v>
      </c>
    </row>
    <row r="1099" spans="1:6" ht="14.4" thickBot="1" x14ac:dyDescent="0.35">
      <c r="A1099" s="4" t="s">
        <v>667</v>
      </c>
      <c r="B1099" s="4" t="s">
        <v>668</v>
      </c>
      <c r="C1099" s="4" t="s">
        <v>667</v>
      </c>
      <c r="D1099" s="4" t="s">
        <v>2459</v>
      </c>
      <c r="E1099" s="4" t="s">
        <v>2460</v>
      </c>
      <c r="F1099" s="4" t="s">
        <v>2459</v>
      </c>
    </row>
    <row r="1100" spans="1:6" ht="14.4" thickBot="1" x14ac:dyDescent="0.35">
      <c r="A1100" s="4" t="s">
        <v>667</v>
      </c>
      <c r="B1100" s="4" t="s">
        <v>668</v>
      </c>
      <c r="C1100" s="4" t="s">
        <v>667</v>
      </c>
      <c r="D1100" s="4" t="s">
        <v>5426</v>
      </c>
      <c r="E1100" s="4" t="s">
        <v>5427</v>
      </c>
      <c r="F1100" s="4" t="s">
        <v>5426</v>
      </c>
    </row>
    <row r="1101" spans="1:6" ht="14.4" thickBot="1" x14ac:dyDescent="0.35">
      <c r="A1101" s="4" t="s">
        <v>667</v>
      </c>
      <c r="B1101" s="4" t="s">
        <v>668</v>
      </c>
      <c r="C1101" s="4" t="s">
        <v>667</v>
      </c>
      <c r="D1101" s="4" t="s">
        <v>2457</v>
      </c>
      <c r="E1101" s="4" t="s">
        <v>2458</v>
      </c>
      <c r="F1101" s="4" t="s">
        <v>2457</v>
      </c>
    </row>
    <row r="1102" spans="1:6" ht="14.4" thickBot="1" x14ac:dyDescent="0.35">
      <c r="A1102" s="4" t="s">
        <v>667</v>
      </c>
      <c r="B1102" s="4" t="s">
        <v>668</v>
      </c>
      <c r="C1102" s="4" t="s">
        <v>667</v>
      </c>
      <c r="D1102" s="4" t="s">
        <v>1754</v>
      </c>
      <c r="E1102" s="4" t="s">
        <v>1755</v>
      </c>
      <c r="F1102" s="4" t="s">
        <v>1754</v>
      </c>
    </row>
    <row r="1103" spans="1:6" ht="14.4" thickBot="1" x14ac:dyDescent="0.35">
      <c r="A1103" s="4" t="s">
        <v>667</v>
      </c>
      <c r="B1103" s="4" t="s">
        <v>668</v>
      </c>
      <c r="C1103" s="4" t="s">
        <v>667</v>
      </c>
      <c r="D1103" s="4" t="s">
        <v>6126</v>
      </c>
      <c r="E1103" s="4" t="s">
        <v>6127</v>
      </c>
      <c r="F1103" s="4" t="s">
        <v>6126</v>
      </c>
    </row>
    <row r="1104" spans="1:6" ht="14.4" thickBot="1" x14ac:dyDescent="0.35">
      <c r="A1104" s="4" t="s">
        <v>667</v>
      </c>
      <c r="B1104" s="4" t="s">
        <v>668</v>
      </c>
      <c r="C1104" s="4" t="s">
        <v>667</v>
      </c>
      <c r="D1104" s="4" t="s">
        <v>898</v>
      </c>
      <c r="E1104" s="4" t="s">
        <v>899</v>
      </c>
      <c r="F1104" s="4" t="s">
        <v>898</v>
      </c>
    </row>
    <row r="1105" spans="1:6" ht="14.4" thickBot="1" x14ac:dyDescent="0.35">
      <c r="A1105" s="4" t="s">
        <v>667</v>
      </c>
      <c r="B1105" s="4" t="s">
        <v>668</v>
      </c>
      <c r="C1105" s="4" t="s">
        <v>667</v>
      </c>
      <c r="D1105" s="4" t="s">
        <v>3220</v>
      </c>
      <c r="E1105" s="4" t="s">
        <v>3221</v>
      </c>
      <c r="F1105" s="4" t="s">
        <v>3220</v>
      </c>
    </row>
    <row r="1106" spans="1:6" ht="14.4" thickBot="1" x14ac:dyDescent="0.35">
      <c r="A1106" s="4" t="s">
        <v>667</v>
      </c>
      <c r="B1106" s="4" t="s">
        <v>668</v>
      </c>
      <c r="C1106" s="4" t="s">
        <v>667</v>
      </c>
      <c r="D1106" s="4" t="s">
        <v>3218</v>
      </c>
      <c r="E1106" s="4" t="s">
        <v>3219</v>
      </c>
      <c r="F1106" s="4" t="s">
        <v>3218</v>
      </c>
    </row>
    <row r="1107" spans="1:6" ht="14.4" thickBot="1" x14ac:dyDescent="0.35">
      <c r="A1107" s="4" t="s">
        <v>667</v>
      </c>
      <c r="B1107" s="4" t="s">
        <v>668</v>
      </c>
      <c r="C1107" s="4" t="s">
        <v>667</v>
      </c>
      <c r="D1107" s="4" t="s">
        <v>2455</v>
      </c>
      <c r="E1107" s="4" t="s">
        <v>2456</v>
      </c>
      <c r="F1107" s="4" t="s">
        <v>2455</v>
      </c>
    </row>
    <row r="1108" spans="1:6" ht="14.4" thickBot="1" x14ac:dyDescent="0.35">
      <c r="A1108" s="4" t="s">
        <v>667</v>
      </c>
      <c r="B1108" s="4" t="s">
        <v>668</v>
      </c>
      <c r="C1108" s="4" t="s">
        <v>667</v>
      </c>
      <c r="D1108" s="4" t="s">
        <v>3096</v>
      </c>
      <c r="E1108" s="4" t="s">
        <v>3097</v>
      </c>
      <c r="F1108" s="4" t="s">
        <v>3096</v>
      </c>
    </row>
    <row r="1109" spans="1:6" ht="14.4" thickBot="1" x14ac:dyDescent="0.35">
      <c r="A1109" s="4" t="s">
        <v>667</v>
      </c>
      <c r="B1109" s="4" t="s">
        <v>668</v>
      </c>
      <c r="C1109" s="4" t="s">
        <v>667</v>
      </c>
      <c r="D1109" s="4" t="s">
        <v>3188</v>
      </c>
      <c r="E1109" s="4" t="s">
        <v>3189</v>
      </c>
      <c r="F1109" s="4" t="s">
        <v>3188</v>
      </c>
    </row>
    <row r="1110" spans="1:6" ht="14.4" thickBot="1" x14ac:dyDescent="0.35">
      <c r="A1110" s="4" t="s">
        <v>667</v>
      </c>
      <c r="B1110" s="4" t="s">
        <v>668</v>
      </c>
      <c r="C1110" s="4" t="s">
        <v>667</v>
      </c>
      <c r="D1110" s="4" t="s">
        <v>904</v>
      </c>
      <c r="E1110" s="4" t="s">
        <v>905</v>
      </c>
      <c r="F1110" s="4" t="s">
        <v>904</v>
      </c>
    </row>
    <row r="1111" spans="1:6" ht="14.4" thickBot="1" x14ac:dyDescent="0.35">
      <c r="A1111" s="4" t="s">
        <v>667</v>
      </c>
      <c r="B1111" s="4" t="s">
        <v>668</v>
      </c>
      <c r="C1111" s="4" t="s">
        <v>667</v>
      </c>
      <c r="D1111" s="4" t="s">
        <v>5981</v>
      </c>
      <c r="E1111" s="4" t="s">
        <v>5982</v>
      </c>
      <c r="F1111" s="4" t="s">
        <v>5981</v>
      </c>
    </row>
    <row r="1112" spans="1:6" ht="14.4" thickBot="1" x14ac:dyDescent="0.35">
      <c r="A1112" s="4" t="s">
        <v>667</v>
      </c>
      <c r="B1112" s="4" t="s">
        <v>668</v>
      </c>
      <c r="C1112" s="4" t="s">
        <v>667</v>
      </c>
      <c r="D1112" s="4" t="s">
        <v>4609</v>
      </c>
      <c r="E1112" s="4" t="s">
        <v>4610</v>
      </c>
      <c r="F1112" s="4" t="s">
        <v>4609</v>
      </c>
    </row>
    <row r="1113" spans="1:6" ht="14.4" thickBot="1" x14ac:dyDescent="0.35">
      <c r="A1113" s="4" t="s">
        <v>667</v>
      </c>
      <c r="B1113" s="4" t="s">
        <v>668</v>
      </c>
      <c r="C1113" s="4" t="s">
        <v>667</v>
      </c>
      <c r="D1113" s="4" t="s">
        <v>693</v>
      </c>
      <c r="E1113" s="4" t="s">
        <v>694</v>
      </c>
      <c r="F1113" s="4" t="s">
        <v>693</v>
      </c>
    </row>
    <row r="1114" spans="1:6" ht="14.4" thickBot="1" x14ac:dyDescent="0.35">
      <c r="A1114" s="4" t="s">
        <v>667</v>
      </c>
      <c r="B1114" s="4" t="s">
        <v>668</v>
      </c>
      <c r="C1114" s="4" t="s">
        <v>667</v>
      </c>
      <c r="D1114" s="4" t="s">
        <v>5258</v>
      </c>
      <c r="E1114" s="4" t="s">
        <v>5259</v>
      </c>
      <c r="F1114" s="4" t="s">
        <v>5258</v>
      </c>
    </row>
    <row r="1115" spans="1:6" ht="14.4" thickBot="1" x14ac:dyDescent="0.35">
      <c r="A1115" s="4" t="s">
        <v>667</v>
      </c>
      <c r="B1115" s="4" t="s">
        <v>668</v>
      </c>
      <c r="C1115" s="4" t="s">
        <v>667</v>
      </c>
      <c r="D1115" s="4" t="s">
        <v>711</v>
      </c>
      <c r="E1115" s="4" t="s">
        <v>712</v>
      </c>
      <c r="F1115" s="4" t="s">
        <v>711</v>
      </c>
    </row>
    <row r="1116" spans="1:6" ht="14.4" thickBot="1" x14ac:dyDescent="0.35">
      <c r="A1116" s="4" t="s">
        <v>667</v>
      </c>
      <c r="B1116" s="4" t="s">
        <v>668</v>
      </c>
      <c r="C1116" s="4" t="s">
        <v>667</v>
      </c>
      <c r="D1116" s="4" t="s">
        <v>4579</v>
      </c>
      <c r="E1116" s="4" t="s">
        <v>4580</v>
      </c>
      <c r="F1116" s="4" t="s">
        <v>4579</v>
      </c>
    </row>
    <row r="1117" spans="1:6" ht="14.4" thickBot="1" x14ac:dyDescent="0.35">
      <c r="A1117" s="4" t="s">
        <v>667</v>
      </c>
      <c r="B1117" s="4" t="s">
        <v>668</v>
      </c>
      <c r="C1117" s="4" t="s">
        <v>667</v>
      </c>
      <c r="D1117" s="4" t="s">
        <v>3297</v>
      </c>
      <c r="E1117" s="4" t="s">
        <v>4608</v>
      </c>
      <c r="F1117" s="4" t="s">
        <v>3297</v>
      </c>
    </row>
    <row r="1118" spans="1:6" ht="14.4" thickBot="1" x14ac:dyDescent="0.35">
      <c r="A1118" s="4" t="s">
        <v>667</v>
      </c>
      <c r="B1118" s="4" t="s">
        <v>668</v>
      </c>
      <c r="C1118" s="4" t="s">
        <v>667</v>
      </c>
      <c r="D1118" s="4" t="s">
        <v>1748</v>
      </c>
      <c r="E1118" s="4" t="s">
        <v>1749</v>
      </c>
      <c r="F1118" s="4" t="s">
        <v>1748</v>
      </c>
    </row>
    <row r="1119" spans="1:6" ht="14.4" thickBot="1" x14ac:dyDescent="0.35">
      <c r="A1119" s="4" t="s">
        <v>667</v>
      </c>
      <c r="B1119" s="4" t="s">
        <v>668</v>
      </c>
      <c r="C1119" s="4" t="s">
        <v>667</v>
      </c>
      <c r="D1119" s="4" t="s">
        <v>5407</v>
      </c>
      <c r="E1119" s="4" t="s">
        <v>5408</v>
      </c>
      <c r="F1119" s="4" t="s">
        <v>5407</v>
      </c>
    </row>
    <row r="1120" spans="1:6" ht="14.4" thickBot="1" x14ac:dyDescent="0.35">
      <c r="A1120" s="4" t="s">
        <v>667</v>
      </c>
      <c r="B1120" s="4" t="s">
        <v>668</v>
      </c>
      <c r="C1120" s="4" t="s">
        <v>667</v>
      </c>
      <c r="D1120" s="4" t="s">
        <v>3847</v>
      </c>
      <c r="E1120" s="4" t="s">
        <v>3848</v>
      </c>
      <c r="F1120" s="4" t="s">
        <v>3847</v>
      </c>
    </row>
    <row r="1121" spans="1:6" ht="14.4" thickBot="1" x14ac:dyDescent="0.35">
      <c r="A1121" s="4" t="s">
        <v>667</v>
      </c>
      <c r="B1121" s="4" t="s">
        <v>668</v>
      </c>
      <c r="C1121" s="4" t="s">
        <v>667</v>
      </c>
      <c r="D1121" s="4" t="s">
        <v>5968</v>
      </c>
      <c r="E1121" s="4" t="s">
        <v>5969</v>
      </c>
      <c r="F1121" s="4" t="s">
        <v>5968</v>
      </c>
    </row>
    <row r="1122" spans="1:6" ht="14.4" thickBot="1" x14ac:dyDescent="0.35">
      <c r="A1122" s="4" t="s">
        <v>667</v>
      </c>
      <c r="B1122" s="4" t="s">
        <v>668</v>
      </c>
      <c r="C1122" s="4" t="s">
        <v>667</v>
      </c>
      <c r="D1122" s="4" t="s">
        <v>1602</v>
      </c>
      <c r="E1122" s="4" t="s">
        <v>1603</v>
      </c>
      <c r="F1122" s="4" t="s">
        <v>1602</v>
      </c>
    </row>
    <row r="1123" spans="1:6" ht="14.4" thickBot="1" x14ac:dyDescent="0.35">
      <c r="A1123" s="4" t="s">
        <v>667</v>
      </c>
      <c r="B1123" s="4" t="s">
        <v>668</v>
      </c>
      <c r="C1123" s="4" t="s">
        <v>667</v>
      </c>
      <c r="D1123" s="4" t="s">
        <v>5282</v>
      </c>
      <c r="E1123" s="4" t="s">
        <v>5283</v>
      </c>
      <c r="F1123" s="4" t="s">
        <v>5282</v>
      </c>
    </row>
    <row r="1124" spans="1:6" ht="14.4" thickBot="1" x14ac:dyDescent="0.35">
      <c r="A1124" s="4" t="s">
        <v>667</v>
      </c>
      <c r="B1124" s="4" t="s">
        <v>668</v>
      </c>
      <c r="C1124" s="4" t="s">
        <v>667</v>
      </c>
      <c r="D1124" s="4" t="s">
        <v>3875</v>
      </c>
      <c r="E1124" s="4" t="s">
        <v>3876</v>
      </c>
      <c r="F1124" s="4" t="s">
        <v>3875</v>
      </c>
    </row>
    <row r="1125" spans="1:6" ht="14.4" thickBot="1" x14ac:dyDescent="0.35">
      <c r="A1125" s="4" t="s">
        <v>667</v>
      </c>
      <c r="B1125" s="4" t="s">
        <v>668</v>
      </c>
      <c r="C1125" s="4" t="s">
        <v>667</v>
      </c>
      <c r="D1125" s="4" t="s">
        <v>4606</v>
      </c>
      <c r="E1125" s="4" t="s">
        <v>4607</v>
      </c>
      <c r="F1125" s="4" t="s">
        <v>4606</v>
      </c>
    </row>
    <row r="1126" spans="1:6" ht="14.4" thickBot="1" x14ac:dyDescent="0.35">
      <c r="A1126" s="4" t="s">
        <v>667</v>
      </c>
      <c r="B1126" s="4" t="s">
        <v>668</v>
      </c>
      <c r="C1126" s="4" t="s">
        <v>667</v>
      </c>
      <c r="D1126" s="4" t="s">
        <v>707</v>
      </c>
      <c r="E1126" s="4" t="s">
        <v>708</v>
      </c>
      <c r="F1126" s="4" t="s">
        <v>707</v>
      </c>
    </row>
    <row r="1127" spans="1:6" ht="14.4" thickBot="1" x14ac:dyDescent="0.35">
      <c r="A1127" s="4" t="s">
        <v>667</v>
      </c>
      <c r="B1127" s="4" t="s">
        <v>668</v>
      </c>
      <c r="C1127" s="4" t="s">
        <v>667</v>
      </c>
      <c r="D1127" s="4" t="s">
        <v>4563</v>
      </c>
      <c r="E1127" s="4" t="s">
        <v>4564</v>
      </c>
      <c r="F1127" s="4" t="s">
        <v>4563</v>
      </c>
    </row>
    <row r="1128" spans="1:6" ht="14.4" thickBot="1" x14ac:dyDescent="0.35">
      <c r="A1128" s="4" t="s">
        <v>667</v>
      </c>
      <c r="B1128" s="4" t="s">
        <v>668</v>
      </c>
      <c r="C1128" s="4" t="s">
        <v>667</v>
      </c>
      <c r="D1128" s="4" t="s">
        <v>5960</v>
      </c>
      <c r="E1128" s="4" t="s">
        <v>5961</v>
      </c>
      <c r="F1128" s="4" t="s">
        <v>5960</v>
      </c>
    </row>
    <row r="1129" spans="1:6" ht="14.4" thickBot="1" x14ac:dyDescent="0.35">
      <c r="A1129" s="4" t="s">
        <v>667</v>
      </c>
      <c r="B1129" s="4" t="s">
        <v>668</v>
      </c>
      <c r="C1129" s="4" t="s">
        <v>667</v>
      </c>
      <c r="D1129" s="4" t="s">
        <v>5272</v>
      </c>
      <c r="E1129" s="4" t="s">
        <v>5273</v>
      </c>
      <c r="F1129" s="4" t="s">
        <v>5272</v>
      </c>
    </row>
    <row r="1130" spans="1:6" ht="14.4" thickBot="1" x14ac:dyDescent="0.35">
      <c r="A1130" s="4" t="s">
        <v>667</v>
      </c>
      <c r="B1130" s="4" t="s">
        <v>668</v>
      </c>
      <c r="C1130" s="4" t="s">
        <v>667</v>
      </c>
      <c r="D1130" s="4" t="s">
        <v>685</v>
      </c>
      <c r="E1130" s="4" t="s">
        <v>686</v>
      </c>
      <c r="F1130" s="4" t="s">
        <v>685</v>
      </c>
    </row>
    <row r="1131" spans="1:6" ht="14.4" thickBot="1" x14ac:dyDescent="0.35">
      <c r="A1131" s="4" t="s">
        <v>667</v>
      </c>
      <c r="B1131" s="4" t="s">
        <v>668</v>
      </c>
      <c r="C1131" s="4" t="s">
        <v>667</v>
      </c>
      <c r="D1131" s="4" t="s">
        <v>4577</v>
      </c>
      <c r="E1131" s="4" t="s">
        <v>4578</v>
      </c>
      <c r="F1131" s="4" t="s">
        <v>4577</v>
      </c>
    </row>
    <row r="1132" spans="1:6" ht="14.4" thickBot="1" x14ac:dyDescent="0.35">
      <c r="A1132" s="4" t="s">
        <v>667</v>
      </c>
      <c r="B1132" s="4" t="s">
        <v>668</v>
      </c>
      <c r="C1132" s="4" t="s">
        <v>667</v>
      </c>
      <c r="D1132" s="4" t="s">
        <v>709</v>
      </c>
      <c r="E1132" s="4" t="s">
        <v>710</v>
      </c>
      <c r="F1132" s="4" t="s">
        <v>709</v>
      </c>
    </row>
    <row r="1133" spans="1:6" ht="14.4" thickBot="1" x14ac:dyDescent="0.35">
      <c r="A1133" s="4" t="s">
        <v>667</v>
      </c>
      <c r="B1133" s="4" t="s">
        <v>668</v>
      </c>
      <c r="C1133" s="4" t="s">
        <v>667</v>
      </c>
      <c r="D1133" s="4" t="s">
        <v>1786</v>
      </c>
      <c r="E1133" s="4" t="s">
        <v>1787</v>
      </c>
      <c r="F1133" s="4" t="s">
        <v>1786</v>
      </c>
    </row>
    <row r="1134" spans="1:6" ht="14.4" thickBot="1" x14ac:dyDescent="0.35">
      <c r="A1134" s="4" t="s">
        <v>1628</v>
      </c>
      <c r="B1134" s="4" t="s">
        <v>1629</v>
      </c>
      <c r="C1134" s="4" t="s">
        <v>1628</v>
      </c>
      <c r="D1134" s="4" t="s">
        <v>5991</v>
      </c>
      <c r="E1134" s="4" t="s">
        <v>5992</v>
      </c>
      <c r="F1134" s="4" t="s">
        <v>5991</v>
      </c>
    </row>
    <row r="1135" spans="1:6" ht="14.4" thickBot="1" x14ac:dyDescent="0.35">
      <c r="A1135" s="4" t="s">
        <v>1628</v>
      </c>
      <c r="B1135" s="4" t="s">
        <v>1629</v>
      </c>
      <c r="C1135" s="4" t="s">
        <v>1628</v>
      </c>
      <c r="D1135" s="4" t="s">
        <v>5438</v>
      </c>
      <c r="E1135" s="4" t="s">
        <v>5439</v>
      </c>
      <c r="F1135" s="4" t="s">
        <v>5438</v>
      </c>
    </row>
    <row r="1136" spans="1:6" ht="14.4" thickBot="1" x14ac:dyDescent="0.35">
      <c r="A1136" s="4" t="s">
        <v>1628</v>
      </c>
      <c r="B1136" s="4" t="s">
        <v>1629</v>
      </c>
      <c r="C1136" s="4" t="s">
        <v>1628</v>
      </c>
      <c r="D1136" s="4" t="s">
        <v>1630</v>
      </c>
      <c r="E1136" s="4" t="s">
        <v>1631</v>
      </c>
      <c r="F1136" s="4" t="s">
        <v>1630</v>
      </c>
    </row>
    <row r="1137" spans="1:6" ht="14.4" thickBot="1" x14ac:dyDescent="0.35">
      <c r="A1137" s="4" t="s">
        <v>783</v>
      </c>
      <c r="B1137" s="4" t="s">
        <v>784</v>
      </c>
      <c r="C1137" s="4" t="s">
        <v>783</v>
      </c>
      <c r="D1137" s="4" t="s">
        <v>2388</v>
      </c>
      <c r="E1137" s="4" t="s">
        <v>2389</v>
      </c>
      <c r="F1137" s="4" t="s">
        <v>2388</v>
      </c>
    </row>
    <row r="1138" spans="1:6" ht="14.4" thickBot="1" x14ac:dyDescent="0.35">
      <c r="A1138" s="4" t="s">
        <v>783</v>
      </c>
      <c r="B1138" s="4" t="s">
        <v>784</v>
      </c>
      <c r="C1138" s="4" t="s">
        <v>783</v>
      </c>
      <c r="D1138" s="4" t="s">
        <v>5346</v>
      </c>
      <c r="E1138" s="4" t="s">
        <v>5347</v>
      </c>
      <c r="F1138" s="4" t="s">
        <v>5346</v>
      </c>
    </row>
    <row r="1139" spans="1:6" ht="14.4" thickBot="1" x14ac:dyDescent="0.35">
      <c r="A1139" s="4" t="s">
        <v>783</v>
      </c>
      <c r="B1139" s="4" t="s">
        <v>784</v>
      </c>
      <c r="C1139" s="4" t="s">
        <v>783</v>
      </c>
      <c r="D1139" s="4" t="s">
        <v>3924</v>
      </c>
      <c r="E1139" s="4" t="s">
        <v>3925</v>
      </c>
      <c r="F1139" s="4" t="s">
        <v>3924</v>
      </c>
    </row>
    <row r="1140" spans="1:6" ht="14.4" thickBot="1" x14ac:dyDescent="0.35">
      <c r="A1140" s="4" t="s">
        <v>783</v>
      </c>
      <c r="B1140" s="4" t="s">
        <v>784</v>
      </c>
      <c r="C1140" s="4" t="s">
        <v>783</v>
      </c>
      <c r="D1140" s="4" t="s">
        <v>3149</v>
      </c>
      <c r="E1140" s="4" t="s">
        <v>3150</v>
      </c>
      <c r="F1140" s="4" t="s">
        <v>3149</v>
      </c>
    </row>
    <row r="1141" spans="1:6" ht="14.4" thickBot="1" x14ac:dyDescent="0.35">
      <c r="A1141" s="4" t="s">
        <v>783</v>
      </c>
      <c r="B1141" s="4" t="s">
        <v>784</v>
      </c>
      <c r="C1141" s="4" t="s">
        <v>783</v>
      </c>
      <c r="D1141" s="4" t="s">
        <v>3138</v>
      </c>
      <c r="E1141" s="4" t="s">
        <v>3139</v>
      </c>
      <c r="F1141" s="4" t="s">
        <v>3138</v>
      </c>
    </row>
    <row r="1142" spans="1:6" ht="14.4" thickBot="1" x14ac:dyDescent="0.35">
      <c r="A1142" s="4" t="s">
        <v>783</v>
      </c>
      <c r="B1142" s="4" t="s">
        <v>784</v>
      </c>
      <c r="C1142" s="4" t="s">
        <v>783</v>
      </c>
      <c r="D1142" s="4" t="s">
        <v>5335</v>
      </c>
      <c r="E1142" s="4" t="s">
        <v>5336</v>
      </c>
      <c r="F1142" s="4" t="s">
        <v>5335</v>
      </c>
    </row>
    <row r="1143" spans="1:6" ht="14.4" thickBot="1" x14ac:dyDescent="0.35">
      <c r="A1143" s="4" t="s">
        <v>783</v>
      </c>
      <c r="B1143" s="4" t="s">
        <v>784</v>
      </c>
      <c r="C1143" s="4" t="s">
        <v>783</v>
      </c>
      <c r="D1143" s="4" t="s">
        <v>3930</v>
      </c>
      <c r="E1143" s="4" t="s">
        <v>3931</v>
      </c>
      <c r="F1143" s="4" t="s">
        <v>3930</v>
      </c>
    </row>
    <row r="1144" spans="1:6" ht="14.4" thickBot="1" x14ac:dyDescent="0.35">
      <c r="A1144" s="4" t="s">
        <v>783</v>
      </c>
      <c r="B1144" s="4" t="s">
        <v>784</v>
      </c>
      <c r="C1144" s="4" t="s">
        <v>783</v>
      </c>
      <c r="D1144" s="4" t="s">
        <v>3932</v>
      </c>
      <c r="E1144" s="4" t="s">
        <v>3933</v>
      </c>
      <c r="F1144" s="4" t="s">
        <v>3932</v>
      </c>
    </row>
    <row r="1145" spans="1:6" ht="14.4" thickBot="1" x14ac:dyDescent="0.35">
      <c r="A1145" s="4" t="s">
        <v>783</v>
      </c>
      <c r="B1145" s="4" t="s">
        <v>784</v>
      </c>
      <c r="C1145" s="4" t="s">
        <v>783</v>
      </c>
      <c r="D1145" s="4" t="s">
        <v>5333</v>
      </c>
      <c r="E1145" s="4" t="s">
        <v>5334</v>
      </c>
      <c r="F1145" s="4" t="s">
        <v>5333</v>
      </c>
    </row>
    <row r="1146" spans="1:6" ht="14.4" thickBot="1" x14ac:dyDescent="0.35">
      <c r="A1146" s="4" t="s">
        <v>783</v>
      </c>
      <c r="B1146" s="4" t="s">
        <v>784</v>
      </c>
      <c r="C1146" s="4" t="s">
        <v>783</v>
      </c>
      <c r="D1146" s="4" t="s">
        <v>6048</v>
      </c>
      <c r="E1146" s="4" t="s">
        <v>6049</v>
      </c>
      <c r="F1146" s="4" t="s">
        <v>6048</v>
      </c>
    </row>
    <row r="1147" spans="1:6" ht="14.4" thickBot="1" x14ac:dyDescent="0.35">
      <c r="A1147" s="4" t="s">
        <v>783</v>
      </c>
      <c r="B1147" s="4" t="s">
        <v>784</v>
      </c>
      <c r="C1147" s="4" t="s">
        <v>783</v>
      </c>
      <c r="D1147" s="4" t="s">
        <v>4655</v>
      </c>
      <c r="E1147" s="4" t="s">
        <v>4656</v>
      </c>
      <c r="F1147" s="4" t="s">
        <v>4655</v>
      </c>
    </row>
    <row r="1148" spans="1:6" ht="14.4" thickBot="1" x14ac:dyDescent="0.35">
      <c r="A1148" s="4" t="s">
        <v>783</v>
      </c>
      <c r="B1148" s="4" t="s">
        <v>784</v>
      </c>
      <c r="C1148" s="4" t="s">
        <v>783</v>
      </c>
      <c r="D1148" s="4" t="s">
        <v>2384</v>
      </c>
      <c r="E1148" s="4" t="s">
        <v>2385</v>
      </c>
      <c r="F1148" s="4" t="s">
        <v>2384</v>
      </c>
    </row>
    <row r="1149" spans="1:6" ht="14.4" thickBot="1" x14ac:dyDescent="0.35">
      <c r="A1149" s="4" t="s">
        <v>783</v>
      </c>
      <c r="B1149" s="4" t="s">
        <v>784</v>
      </c>
      <c r="C1149" s="4" t="s">
        <v>783</v>
      </c>
      <c r="D1149" s="4" t="s">
        <v>3148</v>
      </c>
      <c r="E1149" s="4" t="s">
        <v>1105</v>
      </c>
      <c r="F1149" s="4" t="s">
        <v>3148</v>
      </c>
    </row>
    <row r="1150" spans="1:6" ht="14.4" thickBot="1" x14ac:dyDescent="0.35">
      <c r="A1150" s="4" t="s">
        <v>783</v>
      </c>
      <c r="B1150" s="4" t="s">
        <v>784</v>
      </c>
      <c r="C1150" s="4" t="s">
        <v>783</v>
      </c>
      <c r="D1150" s="4" t="s">
        <v>5353</v>
      </c>
      <c r="E1150" s="4" t="s">
        <v>5354</v>
      </c>
      <c r="F1150" s="4" t="s">
        <v>5353</v>
      </c>
    </row>
    <row r="1151" spans="1:6" ht="14.4" thickBot="1" x14ac:dyDescent="0.35">
      <c r="A1151" s="4" t="s">
        <v>783</v>
      </c>
      <c r="B1151" s="4" t="s">
        <v>784</v>
      </c>
      <c r="C1151" s="4" t="s">
        <v>783</v>
      </c>
      <c r="D1151" s="4" t="s">
        <v>2358</v>
      </c>
      <c r="E1151" s="4" t="s">
        <v>2359</v>
      </c>
      <c r="F1151" s="4" t="s">
        <v>2358</v>
      </c>
    </row>
    <row r="1152" spans="1:6" ht="14.4" thickBot="1" x14ac:dyDescent="0.35">
      <c r="A1152" s="4" t="s">
        <v>783</v>
      </c>
      <c r="B1152" s="4" t="s">
        <v>784</v>
      </c>
      <c r="C1152" s="4" t="s">
        <v>783</v>
      </c>
      <c r="D1152" s="4" t="s">
        <v>6161</v>
      </c>
      <c r="E1152" s="4" t="s">
        <v>6162</v>
      </c>
      <c r="F1152" s="4" t="s">
        <v>6161</v>
      </c>
    </row>
    <row r="1153" spans="1:6" ht="14.4" thickBot="1" x14ac:dyDescent="0.35">
      <c r="A1153" s="4" t="s">
        <v>783</v>
      </c>
      <c r="B1153" s="4" t="s">
        <v>784</v>
      </c>
      <c r="C1153" s="4" t="s">
        <v>783</v>
      </c>
      <c r="D1153" s="4" t="s">
        <v>2386</v>
      </c>
      <c r="E1153" s="4" t="s">
        <v>2387</v>
      </c>
      <c r="F1153" s="4" t="s">
        <v>2386</v>
      </c>
    </row>
    <row r="1154" spans="1:6" ht="14.4" thickBot="1" x14ac:dyDescent="0.35">
      <c r="A1154" s="4" t="s">
        <v>783</v>
      </c>
      <c r="B1154" s="4" t="s">
        <v>784</v>
      </c>
      <c r="C1154" s="4" t="s">
        <v>783</v>
      </c>
      <c r="D1154" s="4" t="s">
        <v>2364</v>
      </c>
      <c r="E1154" s="4" t="s">
        <v>2365</v>
      </c>
      <c r="F1154" s="4" t="s">
        <v>2364</v>
      </c>
    </row>
    <row r="1155" spans="1:6" ht="14.4" thickBot="1" x14ac:dyDescent="0.35">
      <c r="A1155" s="4" t="s">
        <v>783</v>
      </c>
      <c r="B1155" s="4" t="s">
        <v>784</v>
      </c>
      <c r="C1155" s="4" t="s">
        <v>783</v>
      </c>
      <c r="D1155" s="4" t="s">
        <v>3134</v>
      </c>
      <c r="E1155" s="4" t="s">
        <v>3135</v>
      </c>
      <c r="F1155" s="4" t="s">
        <v>3134</v>
      </c>
    </row>
    <row r="1156" spans="1:6" ht="14.4" thickBot="1" x14ac:dyDescent="0.35">
      <c r="A1156" s="4" t="s">
        <v>783</v>
      </c>
      <c r="B1156" s="4" t="s">
        <v>784</v>
      </c>
      <c r="C1156" s="4" t="s">
        <v>783</v>
      </c>
      <c r="D1156" s="4" t="s">
        <v>3928</v>
      </c>
      <c r="E1156" s="4" t="s">
        <v>3929</v>
      </c>
      <c r="F1156" s="4" t="s">
        <v>3928</v>
      </c>
    </row>
    <row r="1157" spans="1:6" ht="14.4" thickBot="1" x14ac:dyDescent="0.35">
      <c r="A1157" s="4" t="s">
        <v>783</v>
      </c>
      <c r="B1157" s="4" t="s">
        <v>784</v>
      </c>
      <c r="C1157" s="4" t="s">
        <v>783</v>
      </c>
      <c r="D1157" s="4" t="s">
        <v>5351</v>
      </c>
      <c r="E1157" s="4" t="s">
        <v>5352</v>
      </c>
      <c r="F1157" s="4" t="s">
        <v>5351</v>
      </c>
    </row>
    <row r="1158" spans="1:6" ht="14.4" thickBot="1" x14ac:dyDescent="0.35">
      <c r="A1158" s="4" t="s">
        <v>783</v>
      </c>
      <c r="B1158" s="4" t="s">
        <v>784</v>
      </c>
      <c r="C1158" s="4" t="s">
        <v>783</v>
      </c>
      <c r="D1158" s="4" t="s">
        <v>3942</v>
      </c>
      <c r="E1158" s="4" t="s">
        <v>3943</v>
      </c>
      <c r="F1158" s="4" t="s">
        <v>3942</v>
      </c>
    </row>
    <row r="1159" spans="1:6" ht="14.4" thickBot="1" x14ac:dyDescent="0.35">
      <c r="A1159" s="4" t="s">
        <v>783</v>
      </c>
      <c r="B1159" s="4" t="s">
        <v>784</v>
      </c>
      <c r="C1159" s="4" t="s">
        <v>783</v>
      </c>
      <c r="D1159" s="4" t="s">
        <v>2382</v>
      </c>
      <c r="E1159" s="4" t="s">
        <v>2383</v>
      </c>
      <c r="F1159" s="4" t="s">
        <v>2382</v>
      </c>
    </row>
    <row r="1160" spans="1:6" ht="14.4" thickBot="1" x14ac:dyDescent="0.35">
      <c r="A1160" s="4" t="s">
        <v>783</v>
      </c>
      <c r="B1160" s="4" t="s">
        <v>784</v>
      </c>
      <c r="C1160" s="4" t="s">
        <v>783</v>
      </c>
      <c r="D1160" s="4" t="s">
        <v>2374</v>
      </c>
      <c r="E1160" s="4" t="s">
        <v>2375</v>
      </c>
      <c r="F1160" s="4" t="s">
        <v>2374</v>
      </c>
    </row>
    <row r="1161" spans="1:6" ht="14.4" thickBot="1" x14ac:dyDescent="0.35">
      <c r="A1161" s="4" t="s">
        <v>783</v>
      </c>
      <c r="B1161" s="4" t="s">
        <v>784</v>
      </c>
      <c r="C1161" s="4" t="s">
        <v>783</v>
      </c>
      <c r="D1161" s="4" t="s">
        <v>1686</v>
      </c>
      <c r="E1161" s="4" t="s">
        <v>1687</v>
      </c>
      <c r="F1161" s="4" t="s">
        <v>1686</v>
      </c>
    </row>
    <row r="1162" spans="1:6" ht="14.4" thickBot="1" x14ac:dyDescent="0.35">
      <c r="A1162" s="4" t="s">
        <v>783</v>
      </c>
      <c r="B1162" s="4" t="s">
        <v>784</v>
      </c>
      <c r="C1162" s="4" t="s">
        <v>783</v>
      </c>
      <c r="D1162" s="4" t="s">
        <v>4640</v>
      </c>
      <c r="E1162" s="4" t="s">
        <v>4641</v>
      </c>
      <c r="F1162" s="4" t="s">
        <v>4640</v>
      </c>
    </row>
    <row r="1163" spans="1:6" ht="14.4" thickBot="1" x14ac:dyDescent="0.35">
      <c r="A1163" s="4" t="s">
        <v>783</v>
      </c>
      <c r="B1163" s="4" t="s">
        <v>784</v>
      </c>
      <c r="C1163" s="4" t="s">
        <v>783</v>
      </c>
      <c r="D1163" s="4" t="s">
        <v>4653</v>
      </c>
      <c r="E1163" s="4" t="s">
        <v>4654</v>
      </c>
      <c r="F1163" s="4" t="s">
        <v>4653</v>
      </c>
    </row>
    <row r="1164" spans="1:6" ht="14.4" thickBot="1" x14ac:dyDescent="0.35">
      <c r="A1164" s="4" t="s">
        <v>783</v>
      </c>
      <c r="B1164" s="4" t="s">
        <v>784</v>
      </c>
      <c r="C1164" s="4" t="s">
        <v>783</v>
      </c>
      <c r="D1164" s="4" t="s">
        <v>6056</v>
      </c>
      <c r="E1164" s="4" t="s">
        <v>6057</v>
      </c>
      <c r="F1164" s="4" t="s">
        <v>6056</v>
      </c>
    </row>
    <row r="1165" spans="1:6" ht="14.4" thickBot="1" x14ac:dyDescent="0.35">
      <c r="A1165" s="4" t="s">
        <v>783</v>
      </c>
      <c r="B1165" s="4" t="s">
        <v>784</v>
      </c>
      <c r="C1165" s="4" t="s">
        <v>783</v>
      </c>
      <c r="D1165" s="4" t="s">
        <v>2380</v>
      </c>
      <c r="E1165" s="4" t="s">
        <v>2381</v>
      </c>
      <c r="F1165" s="4" t="s">
        <v>2380</v>
      </c>
    </row>
    <row r="1166" spans="1:6" ht="14.4" thickBot="1" x14ac:dyDescent="0.35">
      <c r="A1166" s="4" t="s">
        <v>783</v>
      </c>
      <c r="B1166" s="4" t="s">
        <v>784</v>
      </c>
      <c r="C1166" s="4" t="s">
        <v>783</v>
      </c>
      <c r="D1166" s="4" t="s">
        <v>3146</v>
      </c>
      <c r="E1166" s="4" t="s">
        <v>3147</v>
      </c>
      <c r="F1166" s="4" t="s">
        <v>3146</v>
      </c>
    </row>
    <row r="1167" spans="1:6" ht="14.4" thickBot="1" x14ac:dyDescent="0.35">
      <c r="A1167" s="4" t="s">
        <v>783</v>
      </c>
      <c r="B1167" s="4" t="s">
        <v>784</v>
      </c>
      <c r="C1167" s="4" t="s">
        <v>783</v>
      </c>
      <c r="D1167" s="4" t="s">
        <v>6052</v>
      </c>
      <c r="E1167" s="4" t="s">
        <v>6053</v>
      </c>
      <c r="F1167" s="4" t="s">
        <v>6052</v>
      </c>
    </row>
    <row r="1168" spans="1:6" ht="14.4" thickBot="1" x14ac:dyDescent="0.35">
      <c r="A1168" s="4" t="s">
        <v>783</v>
      </c>
      <c r="B1168" s="4" t="s">
        <v>784</v>
      </c>
      <c r="C1168" s="4" t="s">
        <v>783</v>
      </c>
      <c r="D1168" s="4" t="s">
        <v>5357</v>
      </c>
      <c r="E1168" s="4" t="s">
        <v>5358</v>
      </c>
      <c r="F1168" s="4" t="s">
        <v>5357</v>
      </c>
    </row>
    <row r="1169" spans="1:6" ht="14.4" thickBot="1" x14ac:dyDescent="0.35">
      <c r="A1169" s="4" t="s">
        <v>783</v>
      </c>
      <c r="B1169" s="4" t="s">
        <v>784</v>
      </c>
      <c r="C1169" s="4" t="s">
        <v>783</v>
      </c>
      <c r="D1169" s="4" t="s">
        <v>1682</v>
      </c>
      <c r="E1169" s="4" t="s">
        <v>1683</v>
      </c>
      <c r="F1169" s="4" t="s">
        <v>1682</v>
      </c>
    </row>
    <row r="1170" spans="1:6" ht="14.4" thickBot="1" x14ac:dyDescent="0.35">
      <c r="A1170" s="4" t="s">
        <v>783</v>
      </c>
      <c r="B1170" s="4" t="s">
        <v>784</v>
      </c>
      <c r="C1170" s="4" t="s">
        <v>783</v>
      </c>
      <c r="D1170" s="4" t="s">
        <v>5339</v>
      </c>
      <c r="E1170" s="4" t="s">
        <v>5340</v>
      </c>
      <c r="F1170" s="4" t="s">
        <v>5339</v>
      </c>
    </row>
    <row r="1171" spans="1:6" ht="14.4" thickBot="1" x14ac:dyDescent="0.35">
      <c r="A1171" s="4" t="s">
        <v>783</v>
      </c>
      <c r="B1171" s="4" t="s">
        <v>784</v>
      </c>
      <c r="C1171" s="4" t="s">
        <v>783</v>
      </c>
      <c r="D1171" s="4" t="s">
        <v>2372</v>
      </c>
      <c r="E1171" s="4" t="s">
        <v>2373</v>
      </c>
      <c r="F1171" s="4" t="s">
        <v>2372</v>
      </c>
    </row>
    <row r="1172" spans="1:6" ht="14.4" thickBot="1" x14ac:dyDescent="0.35">
      <c r="A1172" s="4" t="s">
        <v>783</v>
      </c>
      <c r="B1172" s="4" t="s">
        <v>784</v>
      </c>
      <c r="C1172" s="4" t="s">
        <v>783</v>
      </c>
      <c r="D1172" s="4" t="s">
        <v>4651</v>
      </c>
      <c r="E1172" s="4" t="s">
        <v>4652</v>
      </c>
      <c r="F1172" s="4" t="s">
        <v>4651</v>
      </c>
    </row>
    <row r="1173" spans="1:6" ht="14.4" thickBot="1" x14ac:dyDescent="0.35">
      <c r="A1173" s="4" t="s">
        <v>783</v>
      </c>
      <c r="B1173" s="4" t="s">
        <v>784</v>
      </c>
      <c r="C1173" s="4" t="s">
        <v>783</v>
      </c>
      <c r="D1173" s="4" t="s">
        <v>6050</v>
      </c>
      <c r="E1173" s="4" t="s">
        <v>6051</v>
      </c>
      <c r="F1173" s="4" t="s">
        <v>6050</v>
      </c>
    </row>
    <row r="1174" spans="1:6" ht="14.4" thickBot="1" x14ac:dyDescent="0.35">
      <c r="A1174" s="4" t="s">
        <v>783</v>
      </c>
      <c r="B1174" s="4" t="s">
        <v>784</v>
      </c>
      <c r="C1174" s="4" t="s">
        <v>783</v>
      </c>
      <c r="D1174" s="4" t="s">
        <v>3934</v>
      </c>
      <c r="E1174" s="4" t="s">
        <v>3935</v>
      </c>
      <c r="F1174" s="4" t="s">
        <v>3934</v>
      </c>
    </row>
    <row r="1175" spans="1:6" ht="14.4" thickBot="1" x14ac:dyDescent="0.35">
      <c r="A1175" s="4" t="s">
        <v>783</v>
      </c>
      <c r="B1175" s="4" t="s">
        <v>784</v>
      </c>
      <c r="C1175" s="4" t="s">
        <v>783</v>
      </c>
      <c r="D1175" s="4" t="s">
        <v>3954</v>
      </c>
      <c r="E1175" s="4" t="s">
        <v>3955</v>
      </c>
      <c r="F1175" s="4" t="s">
        <v>3954</v>
      </c>
    </row>
    <row r="1176" spans="1:6" ht="14.4" thickBot="1" x14ac:dyDescent="0.35">
      <c r="A1176" s="4" t="s">
        <v>783</v>
      </c>
      <c r="B1176" s="4" t="s">
        <v>784</v>
      </c>
      <c r="C1176" s="4" t="s">
        <v>783</v>
      </c>
      <c r="D1176" s="4" t="s">
        <v>2390</v>
      </c>
      <c r="E1176" s="4" t="s">
        <v>2391</v>
      </c>
      <c r="F1176" s="4" t="s">
        <v>2390</v>
      </c>
    </row>
    <row r="1177" spans="1:6" ht="14.4" thickBot="1" x14ac:dyDescent="0.35">
      <c r="A1177" s="4" t="s">
        <v>783</v>
      </c>
      <c r="B1177" s="4" t="s">
        <v>784</v>
      </c>
      <c r="C1177" s="4" t="s">
        <v>783</v>
      </c>
      <c r="D1177" s="4" t="s">
        <v>4646</v>
      </c>
      <c r="E1177" s="4" t="s">
        <v>4647</v>
      </c>
      <c r="F1177" s="4" t="s">
        <v>4646</v>
      </c>
    </row>
    <row r="1178" spans="1:6" ht="14.4" thickBot="1" x14ac:dyDescent="0.35">
      <c r="A1178" s="4" t="s">
        <v>783</v>
      </c>
      <c r="B1178" s="4" t="s">
        <v>784</v>
      </c>
      <c r="C1178" s="4" t="s">
        <v>783</v>
      </c>
      <c r="D1178" s="4" t="s">
        <v>2360</v>
      </c>
      <c r="E1178" s="4" t="s">
        <v>2361</v>
      </c>
      <c r="F1178" s="4" t="s">
        <v>2360</v>
      </c>
    </row>
    <row r="1179" spans="1:6" ht="14.4" thickBot="1" x14ac:dyDescent="0.35">
      <c r="A1179" s="4" t="s">
        <v>783</v>
      </c>
      <c r="B1179" s="4" t="s">
        <v>784</v>
      </c>
      <c r="C1179" s="4" t="s">
        <v>783</v>
      </c>
      <c r="D1179" s="4" t="s">
        <v>3132</v>
      </c>
      <c r="E1179" s="4" t="s">
        <v>3133</v>
      </c>
      <c r="F1179" s="4" t="s">
        <v>3132</v>
      </c>
    </row>
    <row r="1180" spans="1:6" ht="14.4" thickBot="1" x14ac:dyDescent="0.35">
      <c r="A1180" s="4" t="s">
        <v>783</v>
      </c>
      <c r="B1180" s="4" t="s">
        <v>784</v>
      </c>
      <c r="C1180" s="4" t="s">
        <v>783</v>
      </c>
      <c r="D1180" s="4" t="s">
        <v>4650</v>
      </c>
      <c r="E1180" s="4" t="s">
        <v>4155</v>
      </c>
      <c r="F1180" s="4" t="s">
        <v>4650</v>
      </c>
    </row>
    <row r="1181" spans="1:6" ht="14.4" thickBot="1" x14ac:dyDescent="0.35">
      <c r="A1181" s="4" t="s">
        <v>783</v>
      </c>
      <c r="B1181" s="4" t="s">
        <v>784</v>
      </c>
      <c r="C1181" s="4" t="s">
        <v>783</v>
      </c>
      <c r="D1181" s="4" t="s">
        <v>3144</v>
      </c>
      <c r="E1181" s="4" t="s">
        <v>3145</v>
      </c>
      <c r="F1181" s="4" t="s">
        <v>3144</v>
      </c>
    </row>
    <row r="1182" spans="1:6" ht="14.4" thickBot="1" x14ac:dyDescent="0.35">
      <c r="A1182" s="4" t="s">
        <v>783</v>
      </c>
      <c r="B1182" s="4" t="s">
        <v>784</v>
      </c>
      <c r="C1182" s="4" t="s">
        <v>783</v>
      </c>
      <c r="D1182" s="4" t="s">
        <v>4644</v>
      </c>
      <c r="E1182" s="4" t="s">
        <v>4645</v>
      </c>
      <c r="F1182" s="4" t="s">
        <v>4644</v>
      </c>
    </row>
    <row r="1183" spans="1:6" ht="14.4" thickBot="1" x14ac:dyDescent="0.35">
      <c r="A1183" s="4" t="s">
        <v>783</v>
      </c>
      <c r="B1183" s="4" t="s">
        <v>784</v>
      </c>
      <c r="C1183" s="4" t="s">
        <v>783</v>
      </c>
      <c r="D1183" s="4" t="s">
        <v>956</v>
      </c>
      <c r="E1183" s="4" t="s">
        <v>957</v>
      </c>
      <c r="F1183" s="4" t="s">
        <v>956</v>
      </c>
    </row>
    <row r="1184" spans="1:6" ht="14.4" thickBot="1" x14ac:dyDescent="0.35">
      <c r="A1184" s="4" t="s">
        <v>783</v>
      </c>
      <c r="B1184" s="4" t="s">
        <v>784</v>
      </c>
      <c r="C1184" s="4" t="s">
        <v>783</v>
      </c>
      <c r="D1184" s="4" t="s">
        <v>3254</v>
      </c>
      <c r="E1184" s="4" t="s">
        <v>3255</v>
      </c>
      <c r="F1184" s="4" t="s">
        <v>3254</v>
      </c>
    </row>
    <row r="1185" spans="1:6" ht="14.4" thickBot="1" x14ac:dyDescent="0.35">
      <c r="A1185" s="4" t="s">
        <v>783</v>
      </c>
      <c r="B1185" s="4" t="s">
        <v>784</v>
      </c>
      <c r="C1185" s="4" t="s">
        <v>783</v>
      </c>
      <c r="D1185" s="4" t="s">
        <v>2366</v>
      </c>
      <c r="E1185" s="4" t="s">
        <v>2367</v>
      </c>
      <c r="F1185" s="4" t="s">
        <v>2366</v>
      </c>
    </row>
    <row r="1186" spans="1:6" ht="14.4" thickBot="1" x14ac:dyDescent="0.35">
      <c r="A1186" s="4" t="s">
        <v>783</v>
      </c>
      <c r="B1186" s="4" t="s">
        <v>784</v>
      </c>
      <c r="C1186" s="4" t="s">
        <v>783</v>
      </c>
      <c r="D1186" s="4" t="s">
        <v>2376</v>
      </c>
      <c r="E1186" s="4" t="s">
        <v>2377</v>
      </c>
      <c r="F1186" s="4" t="s">
        <v>2376</v>
      </c>
    </row>
    <row r="1187" spans="1:6" ht="14.4" thickBot="1" x14ac:dyDescent="0.35">
      <c r="A1187" s="4" t="s">
        <v>783</v>
      </c>
      <c r="B1187" s="4" t="s">
        <v>784</v>
      </c>
      <c r="C1187" s="4" t="s">
        <v>783</v>
      </c>
      <c r="D1187" s="4" t="s">
        <v>5462</v>
      </c>
      <c r="E1187" s="4" t="s">
        <v>5463</v>
      </c>
      <c r="F1187" s="4" t="s">
        <v>5462</v>
      </c>
    </row>
    <row r="1188" spans="1:6" ht="14.4" thickBot="1" x14ac:dyDescent="0.35">
      <c r="A1188" s="4" t="s">
        <v>783</v>
      </c>
      <c r="B1188" s="4" t="s">
        <v>784</v>
      </c>
      <c r="C1188" s="4" t="s">
        <v>783</v>
      </c>
      <c r="D1188" s="4" t="s">
        <v>3252</v>
      </c>
      <c r="E1188" s="4" t="s">
        <v>3253</v>
      </c>
      <c r="F1188" s="4" t="s">
        <v>3252</v>
      </c>
    </row>
    <row r="1189" spans="1:6" ht="14.4" thickBot="1" x14ac:dyDescent="0.35">
      <c r="A1189" s="4" t="s">
        <v>783</v>
      </c>
      <c r="B1189" s="4" t="s">
        <v>784</v>
      </c>
      <c r="C1189" s="4" t="s">
        <v>783</v>
      </c>
      <c r="D1189" s="4" t="s">
        <v>1834</v>
      </c>
      <c r="E1189" s="4" t="s">
        <v>1835</v>
      </c>
      <c r="F1189" s="4" t="s">
        <v>1834</v>
      </c>
    </row>
    <row r="1190" spans="1:6" ht="14.4" thickBot="1" x14ac:dyDescent="0.35">
      <c r="A1190" s="4" t="s">
        <v>783</v>
      </c>
      <c r="B1190" s="4" t="s">
        <v>784</v>
      </c>
      <c r="C1190" s="4" t="s">
        <v>783</v>
      </c>
      <c r="D1190" s="4" t="s">
        <v>1832</v>
      </c>
      <c r="E1190" s="4" t="s">
        <v>1833</v>
      </c>
      <c r="F1190" s="4" t="s">
        <v>1832</v>
      </c>
    </row>
    <row r="1191" spans="1:6" ht="14.4" thickBot="1" x14ac:dyDescent="0.35">
      <c r="A1191" s="4" t="s">
        <v>783</v>
      </c>
      <c r="B1191" s="4" t="s">
        <v>784</v>
      </c>
      <c r="C1191" s="4" t="s">
        <v>783</v>
      </c>
      <c r="D1191" s="4" t="s">
        <v>4059</v>
      </c>
      <c r="E1191" s="4" t="s">
        <v>4060</v>
      </c>
      <c r="F1191" s="4" t="s">
        <v>4059</v>
      </c>
    </row>
    <row r="1192" spans="1:6" ht="14.4" thickBot="1" x14ac:dyDescent="0.35">
      <c r="A1192" s="4" t="s">
        <v>783</v>
      </c>
      <c r="B1192" s="4" t="s">
        <v>784</v>
      </c>
      <c r="C1192" s="4" t="s">
        <v>783</v>
      </c>
      <c r="D1192" s="4" t="s">
        <v>2484</v>
      </c>
      <c r="E1192" s="4" t="s">
        <v>2485</v>
      </c>
      <c r="F1192" s="4" t="s">
        <v>2484</v>
      </c>
    </row>
    <row r="1193" spans="1:6" ht="14.4" thickBot="1" x14ac:dyDescent="0.35">
      <c r="A1193" s="4" t="s">
        <v>783</v>
      </c>
      <c r="B1193" s="4" t="s">
        <v>784</v>
      </c>
      <c r="C1193" s="4" t="s">
        <v>783</v>
      </c>
      <c r="D1193" s="4" t="s">
        <v>5348</v>
      </c>
      <c r="E1193" s="4" t="s">
        <v>5349</v>
      </c>
      <c r="F1193" s="4" t="s">
        <v>5348</v>
      </c>
    </row>
    <row r="1194" spans="1:6" ht="14.4" thickBot="1" x14ac:dyDescent="0.35">
      <c r="A1194" s="4" t="s">
        <v>783</v>
      </c>
      <c r="B1194" s="4" t="s">
        <v>784</v>
      </c>
      <c r="C1194" s="4" t="s">
        <v>783</v>
      </c>
      <c r="D1194" s="4" t="s">
        <v>789</v>
      </c>
      <c r="E1194" s="4" t="s">
        <v>790</v>
      </c>
      <c r="F1194" s="4" t="s">
        <v>789</v>
      </c>
    </row>
    <row r="1195" spans="1:6" ht="14.4" thickBot="1" x14ac:dyDescent="0.35">
      <c r="A1195" s="4" t="s">
        <v>783</v>
      </c>
      <c r="B1195" s="4" t="s">
        <v>784</v>
      </c>
      <c r="C1195" s="4" t="s">
        <v>783</v>
      </c>
      <c r="D1195" s="4" t="s">
        <v>2362</v>
      </c>
      <c r="E1195" s="4" t="s">
        <v>2363</v>
      </c>
      <c r="F1195" s="4" t="s">
        <v>2362</v>
      </c>
    </row>
    <row r="1196" spans="1:6" ht="14.4" thickBot="1" x14ac:dyDescent="0.35">
      <c r="A1196" s="4" t="s">
        <v>783</v>
      </c>
      <c r="B1196" s="4" t="s">
        <v>784</v>
      </c>
      <c r="C1196" s="4" t="s">
        <v>783</v>
      </c>
      <c r="D1196" s="4" t="s">
        <v>4642</v>
      </c>
      <c r="E1196" s="4" t="s">
        <v>4643</v>
      </c>
      <c r="F1196" s="4" t="s">
        <v>4642</v>
      </c>
    </row>
    <row r="1197" spans="1:6" ht="14.4" thickBot="1" x14ac:dyDescent="0.35">
      <c r="A1197" s="4" t="s">
        <v>783</v>
      </c>
      <c r="B1197" s="4" t="s">
        <v>784</v>
      </c>
      <c r="C1197" s="4" t="s">
        <v>783</v>
      </c>
      <c r="D1197" s="4" t="s">
        <v>1678</v>
      </c>
      <c r="E1197" s="4" t="s">
        <v>1679</v>
      </c>
      <c r="F1197" s="4" t="s">
        <v>1678</v>
      </c>
    </row>
    <row r="1198" spans="1:6" ht="14.4" thickBot="1" x14ac:dyDescent="0.35">
      <c r="A1198" s="4" t="s">
        <v>783</v>
      </c>
      <c r="B1198" s="4" t="s">
        <v>784</v>
      </c>
      <c r="C1198" s="4" t="s">
        <v>783</v>
      </c>
      <c r="D1198" s="4" t="s">
        <v>5337</v>
      </c>
      <c r="E1198" s="4" t="s">
        <v>5338</v>
      </c>
      <c r="F1198" s="4" t="s">
        <v>5337</v>
      </c>
    </row>
    <row r="1199" spans="1:6" ht="14.4" thickBot="1" x14ac:dyDescent="0.35">
      <c r="A1199" s="4" t="s">
        <v>783</v>
      </c>
      <c r="B1199" s="4" t="s">
        <v>784</v>
      </c>
      <c r="C1199" s="4" t="s">
        <v>783</v>
      </c>
      <c r="D1199" s="4" t="s">
        <v>5344</v>
      </c>
      <c r="E1199" s="4" t="s">
        <v>5345</v>
      </c>
      <c r="F1199" s="4" t="s">
        <v>5344</v>
      </c>
    </row>
    <row r="1200" spans="1:6" ht="14.4" thickBot="1" x14ac:dyDescent="0.35">
      <c r="A1200" s="4" t="s">
        <v>783</v>
      </c>
      <c r="B1200" s="4" t="s">
        <v>784</v>
      </c>
      <c r="C1200" s="4" t="s">
        <v>783</v>
      </c>
      <c r="D1200" s="4" t="s">
        <v>6042</v>
      </c>
      <c r="E1200" s="4" t="s">
        <v>6043</v>
      </c>
      <c r="F1200" s="4" t="s">
        <v>6042</v>
      </c>
    </row>
    <row r="1201" spans="1:6" ht="14.4" thickBot="1" x14ac:dyDescent="0.35">
      <c r="A1201" s="4" t="s">
        <v>783</v>
      </c>
      <c r="B1201" s="4" t="s">
        <v>784</v>
      </c>
      <c r="C1201" s="4" t="s">
        <v>783</v>
      </c>
      <c r="D1201" s="4" t="s">
        <v>3952</v>
      </c>
      <c r="E1201" s="4" t="s">
        <v>3953</v>
      </c>
      <c r="F1201" s="4" t="s">
        <v>3952</v>
      </c>
    </row>
    <row r="1202" spans="1:6" ht="14.4" thickBot="1" x14ac:dyDescent="0.35">
      <c r="A1202" s="4" t="s">
        <v>783</v>
      </c>
      <c r="B1202" s="4" t="s">
        <v>784</v>
      </c>
      <c r="C1202" s="4" t="s">
        <v>783</v>
      </c>
      <c r="D1202" s="4" t="s">
        <v>3926</v>
      </c>
      <c r="E1202" s="4" t="s">
        <v>3927</v>
      </c>
      <c r="F1202" s="4" t="s">
        <v>3926</v>
      </c>
    </row>
    <row r="1203" spans="1:6" ht="14.4" thickBot="1" x14ac:dyDescent="0.35">
      <c r="A1203" s="4" t="s">
        <v>783</v>
      </c>
      <c r="B1203" s="4" t="s">
        <v>784</v>
      </c>
      <c r="C1203" s="4" t="s">
        <v>783</v>
      </c>
      <c r="D1203" s="4" t="s">
        <v>3941</v>
      </c>
      <c r="E1203" s="4" t="s">
        <v>1309</v>
      </c>
      <c r="F1203" s="4" t="s">
        <v>3941</v>
      </c>
    </row>
    <row r="1204" spans="1:6" ht="14.4" thickBot="1" x14ac:dyDescent="0.35">
      <c r="A1204" s="4" t="s">
        <v>783</v>
      </c>
      <c r="B1204" s="4" t="s">
        <v>784</v>
      </c>
      <c r="C1204" s="4" t="s">
        <v>783</v>
      </c>
      <c r="D1204" s="4" t="s">
        <v>3923</v>
      </c>
      <c r="E1204" s="4" t="s">
        <v>1463</v>
      </c>
      <c r="F1204" s="4" t="s">
        <v>3923</v>
      </c>
    </row>
    <row r="1205" spans="1:6" ht="14.4" thickBot="1" x14ac:dyDescent="0.35">
      <c r="A1205" s="4" t="s">
        <v>783</v>
      </c>
      <c r="B1205" s="4" t="s">
        <v>784</v>
      </c>
      <c r="C1205" s="4" t="s">
        <v>783</v>
      </c>
      <c r="D1205" s="4" t="s">
        <v>4648</v>
      </c>
      <c r="E1205" s="4" t="s">
        <v>4649</v>
      </c>
      <c r="F1205" s="4" t="s">
        <v>4648</v>
      </c>
    </row>
    <row r="1206" spans="1:6" ht="14.4" thickBot="1" x14ac:dyDescent="0.35">
      <c r="A1206" s="4" t="s">
        <v>783</v>
      </c>
      <c r="B1206" s="4" t="s">
        <v>784</v>
      </c>
      <c r="C1206" s="4" t="s">
        <v>783</v>
      </c>
      <c r="D1206" s="4" t="s">
        <v>787</v>
      </c>
      <c r="E1206" s="4" t="s">
        <v>788</v>
      </c>
      <c r="F1206" s="4" t="s">
        <v>787</v>
      </c>
    </row>
    <row r="1207" spans="1:6" ht="14.4" thickBot="1" x14ac:dyDescent="0.35">
      <c r="A1207" s="4" t="s">
        <v>783</v>
      </c>
      <c r="B1207" s="4" t="s">
        <v>784</v>
      </c>
      <c r="C1207" s="4" t="s">
        <v>783</v>
      </c>
      <c r="D1207" s="4" t="s">
        <v>3950</v>
      </c>
      <c r="E1207" s="4" t="s">
        <v>3951</v>
      </c>
      <c r="F1207" s="4" t="s">
        <v>3950</v>
      </c>
    </row>
    <row r="1208" spans="1:6" ht="14.4" thickBot="1" x14ac:dyDescent="0.35">
      <c r="A1208" s="4" t="s">
        <v>783</v>
      </c>
      <c r="B1208" s="4" t="s">
        <v>784</v>
      </c>
      <c r="C1208" s="4" t="s">
        <v>783</v>
      </c>
      <c r="D1208" s="4" t="s">
        <v>5343</v>
      </c>
      <c r="E1208" s="4" t="s">
        <v>5034</v>
      </c>
      <c r="F1208" s="4" t="s">
        <v>5343</v>
      </c>
    </row>
    <row r="1209" spans="1:6" ht="14.4" thickBot="1" x14ac:dyDescent="0.35">
      <c r="A1209" s="4" t="s">
        <v>783</v>
      </c>
      <c r="B1209" s="4" t="s">
        <v>784</v>
      </c>
      <c r="C1209" s="4" t="s">
        <v>783</v>
      </c>
      <c r="D1209" s="4" t="s">
        <v>1676</v>
      </c>
      <c r="E1209" s="4" t="s">
        <v>1677</v>
      </c>
      <c r="F1209" s="4" t="s">
        <v>1676</v>
      </c>
    </row>
    <row r="1210" spans="1:6" ht="14.4" thickBot="1" x14ac:dyDescent="0.35">
      <c r="A1210" s="4" t="s">
        <v>783</v>
      </c>
      <c r="B1210" s="4" t="s">
        <v>784</v>
      </c>
      <c r="C1210" s="4" t="s">
        <v>783</v>
      </c>
      <c r="D1210" s="4" t="s">
        <v>3939</v>
      </c>
      <c r="E1210" s="4" t="s">
        <v>3940</v>
      </c>
      <c r="F1210" s="4" t="s">
        <v>3939</v>
      </c>
    </row>
    <row r="1211" spans="1:6" ht="14.4" thickBot="1" x14ac:dyDescent="0.35">
      <c r="A1211" s="4" t="s">
        <v>783</v>
      </c>
      <c r="B1211" s="4" t="s">
        <v>784</v>
      </c>
      <c r="C1211" s="4" t="s">
        <v>783</v>
      </c>
      <c r="D1211" s="4" t="s">
        <v>6046</v>
      </c>
      <c r="E1211" s="4" t="s">
        <v>6047</v>
      </c>
      <c r="F1211" s="4" t="s">
        <v>6046</v>
      </c>
    </row>
    <row r="1212" spans="1:6" ht="14.4" thickBot="1" x14ac:dyDescent="0.35">
      <c r="A1212" s="4" t="s">
        <v>783</v>
      </c>
      <c r="B1212" s="4" t="s">
        <v>784</v>
      </c>
      <c r="C1212" s="4" t="s">
        <v>783</v>
      </c>
      <c r="D1212" s="4" t="s">
        <v>3948</v>
      </c>
      <c r="E1212" s="4" t="s">
        <v>3949</v>
      </c>
      <c r="F1212" s="4" t="s">
        <v>3948</v>
      </c>
    </row>
    <row r="1213" spans="1:6" ht="14.4" thickBot="1" x14ac:dyDescent="0.35">
      <c r="A1213" s="4" t="s">
        <v>783</v>
      </c>
      <c r="B1213" s="4" t="s">
        <v>784</v>
      </c>
      <c r="C1213" s="4" t="s">
        <v>783</v>
      </c>
      <c r="D1213" s="4" t="s">
        <v>5341</v>
      </c>
      <c r="E1213" s="4" t="s">
        <v>5342</v>
      </c>
      <c r="F1213" s="4" t="s">
        <v>5341</v>
      </c>
    </row>
    <row r="1214" spans="1:6" ht="14.4" thickBot="1" x14ac:dyDescent="0.35">
      <c r="A1214" s="4" t="s">
        <v>783</v>
      </c>
      <c r="B1214" s="4" t="s">
        <v>784</v>
      </c>
      <c r="C1214" s="4" t="s">
        <v>783</v>
      </c>
      <c r="D1214" s="4" t="s">
        <v>3938</v>
      </c>
      <c r="E1214" s="4" t="s">
        <v>2945</v>
      </c>
      <c r="F1214" s="4" t="s">
        <v>3938</v>
      </c>
    </row>
    <row r="1215" spans="1:6" ht="14.4" thickBot="1" x14ac:dyDescent="0.35">
      <c r="A1215" s="4" t="s">
        <v>783</v>
      </c>
      <c r="B1215" s="4" t="s">
        <v>784</v>
      </c>
      <c r="C1215" s="4" t="s">
        <v>783</v>
      </c>
      <c r="D1215" s="4" t="s">
        <v>1828</v>
      </c>
      <c r="E1215" s="4" t="s">
        <v>1829</v>
      </c>
      <c r="F1215" s="4" t="s">
        <v>1828</v>
      </c>
    </row>
    <row r="1216" spans="1:6" ht="14.4" thickBot="1" x14ac:dyDescent="0.35">
      <c r="A1216" s="4" t="s">
        <v>783</v>
      </c>
      <c r="B1216" s="4" t="s">
        <v>784</v>
      </c>
      <c r="C1216" s="4" t="s">
        <v>783</v>
      </c>
      <c r="D1216" s="4" t="s">
        <v>3946</v>
      </c>
      <c r="E1216" s="4" t="s">
        <v>3947</v>
      </c>
      <c r="F1216" s="4" t="s">
        <v>3946</v>
      </c>
    </row>
    <row r="1217" spans="1:6" ht="14.4" thickBot="1" x14ac:dyDescent="0.35">
      <c r="A1217" s="4" t="s">
        <v>783</v>
      </c>
      <c r="B1217" s="4" t="s">
        <v>784</v>
      </c>
      <c r="C1217" s="4" t="s">
        <v>783</v>
      </c>
      <c r="D1217" s="4" t="s">
        <v>5355</v>
      </c>
      <c r="E1217" s="4" t="s">
        <v>5356</v>
      </c>
      <c r="F1217" s="4" t="s">
        <v>5355</v>
      </c>
    </row>
    <row r="1218" spans="1:6" ht="14.4" thickBot="1" x14ac:dyDescent="0.35">
      <c r="A1218" s="4" t="s">
        <v>783</v>
      </c>
      <c r="B1218" s="4" t="s">
        <v>784</v>
      </c>
      <c r="C1218" s="4" t="s">
        <v>783</v>
      </c>
      <c r="D1218" s="4" t="s">
        <v>3136</v>
      </c>
      <c r="E1218" s="4" t="s">
        <v>3137</v>
      </c>
      <c r="F1218" s="4" t="s">
        <v>3136</v>
      </c>
    </row>
    <row r="1219" spans="1:6" ht="14.4" thickBot="1" x14ac:dyDescent="0.35">
      <c r="A1219" s="4" t="s">
        <v>783</v>
      </c>
      <c r="B1219" s="4" t="s">
        <v>784</v>
      </c>
      <c r="C1219" s="4" t="s">
        <v>783</v>
      </c>
      <c r="D1219" s="4" t="s">
        <v>2370</v>
      </c>
      <c r="E1219" s="4" t="s">
        <v>2371</v>
      </c>
      <c r="F1219" s="4" t="s">
        <v>2370</v>
      </c>
    </row>
    <row r="1220" spans="1:6" ht="14.4" thickBot="1" x14ac:dyDescent="0.35">
      <c r="A1220" s="4" t="s">
        <v>783</v>
      </c>
      <c r="B1220" s="4" t="s">
        <v>784</v>
      </c>
      <c r="C1220" s="4" t="s">
        <v>783</v>
      </c>
      <c r="D1220" s="4" t="s">
        <v>6160</v>
      </c>
      <c r="E1220" s="4" t="s">
        <v>1807</v>
      </c>
      <c r="F1220" s="4" t="s">
        <v>6160</v>
      </c>
    </row>
    <row r="1221" spans="1:6" ht="14.4" thickBot="1" x14ac:dyDescent="0.35">
      <c r="A1221" s="4" t="s">
        <v>783</v>
      </c>
      <c r="B1221" s="4" t="s">
        <v>784</v>
      </c>
      <c r="C1221" s="4" t="s">
        <v>783</v>
      </c>
      <c r="D1221" s="4" t="s">
        <v>6158</v>
      </c>
      <c r="E1221" s="4" t="s">
        <v>6159</v>
      </c>
      <c r="F1221" s="4" t="s">
        <v>6158</v>
      </c>
    </row>
    <row r="1222" spans="1:6" ht="14.4" thickBot="1" x14ac:dyDescent="0.35">
      <c r="A1222" s="4" t="s">
        <v>783</v>
      </c>
      <c r="B1222" s="4" t="s">
        <v>784</v>
      </c>
      <c r="C1222" s="4" t="s">
        <v>783</v>
      </c>
      <c r="D1222" s="4" t="s">
        <v>3130</v>
      </c>
      <c r="E1222" s="4" t="s">
        <v>3131</v>
      </c>
      <c r="F1222" s="4" t="s">
        <v>3130</v>
      </c>
    </row>
    <row r="1223" spans="1:6" ht="14.4" thickBot="1" x14ac:dyDescent="0.35">
      <c r="A1223" s="4" t="s">
        <v>783</v>
      </c>
      <c r="B1223" s="4" t="s">
        <v>784</v>
      </c>
      <c r="C1223" s="4" t="s">
        <v>783</v>
      </c>
      <c r="D1223" s="4" t="s">
        <v>6054</v>
      </c>
      <c r="E1223" s="4" t="s">
        <v>6055</v>
      </c>
      <c r="F1223" s="4" t="s">
        <v>6054</v>
      </c>
    </row>
    <row r="1224" spans="1:6" ht="14.4" thickBot="1" x14ac:dyDescent="0.35">
      <c r="A1224" s="4" t="s">
        <v>783</v>
      </c>
      <c r="B1224" s="4" t="s">
        <v>784</v>
      </c>
      <c r="C1224" s="4" t="s">
        <v>783</v>
      </c>
      <c r="D1224" s="4" t="s">
        <v>3140</v>
      </c>
      <c r="E1224" s="4" t="s">
        <v>3141</v>
      </c>
      <c r="F1224" s="4" t="s">
        <v>3140</v>
      </c>
    </row>
    <row r="1225" spans="1:6" ht="14.4" thickBot="1" x14ac:dyDescent="0.35">
      <c r="A1225" s="4" t="s">
        <v>783</v>
      </c>
      <c r="B1225" s="4" t="s">
        <v>784</v>
      </c>
      <c r="C1225" s="4" t="s">
        <v>783</v>
      </c>
      <c r="D1225" s="4" t="s">
        <v>3936</v>
      </c>
      <c r="E1225" s="4" t="s">
        <v>3937</v>
      </c>
      <c r="F1225" s="4" t="s">
        <v>3936</v>
      </c>
    </row>
    <row r="1226" spans="1:6" ht="14.4" thickBot="1" x14ac:dyDescent="0.35">
      <c r="A1226" s="4" t="s">
        <v>783</v>
      </c>
      <c r="B1226" s="4" t="s">
        <v>784</v>
      </c>
      <c r="C1226" s="4" t="s">
        <v>783</v>
      </c>
      <c r="D1226" s="4" t="s">
        <v>3142</v>
      </c>
      <c r="E1226" s="4" t="s">
        <v>3143</v>
      </c>
      <c r="F1226" s="4" t="s">
        <v>3142</v>
      </c>
    </row>
    <row r="1227" spans="1:6" ht="14.4" thickBot="1" x14ac:dyDescent="0.35">
      <c r="A1227" s="4" t="s">
        <v>783</v>
      </c>
      <c r="B1227" s="4" t="s">
        <v>784</v>
      </c>
      <c r="C1227" s="4" t="s">
        <v>783</v>
      </c>
      <c r="D1227" s="4" t="s">
        <v>2378</v>
      </c>
      <c r="E1227" s="4" t="s">
        <v>2379</v>
      </c>
      <c r="F1227" s="4" t="s">
        <v>2378</v>
      </c>
    </row>
    <row r="1228" spans="1:6" ht="14.4" thickBot="1" x14ac:dyDescent="0.35">
      <c r="A1228" s="4" t="s">
        <v>783</v>
      </c>
      <c r="B1228" s="4" t="s">
        <v>784</v>
      </c>
      <c r="C1228" s="4" t="s">
        <v>783</v>
      </c>
      <c r="D1228" s="4" t="s">
        <v>1684</v>
      </c>
      <c r="E1228" s="4" t="s">
        <v>1685</v>
      </c>
      <c r="F1228" s="4" t="s">
        <v>1684</v>
      </c>
    </row>
    <row r="1229" spans="1:6" ht="14.4" thickBot="1" x14ac:dyDescent="0.35">
      <c r="A1229" s="4" t="s">
        <v>783</v>
      </c>
      <c r="B1229" s="4" t="s">
        <v>784</v>
      </c>
      <c r="C1229" s="4" t="s">
        <v>783</v>
      </c>
      <c r="D1229" s="4" t="s">
        <v>2368</v>
      </c>
      <c r="E1229" s="4" t="s">
        <v>2369</v>
      </c>
      <c r="F1229" s="4" t="s">
        <v>2368</v>
      </c>
    </row>
    <row r="1230" spans="1:6" ht="14.4" thickBot="1" x14ac:dyDescent="0.35">
      <c r="A1230" s="4" t="s">
        <v>783</v>
      </c>
      <c r="B1230" s="4" t="s">
        <v>784</v>
      </c>
      <c r="C1230" s="4" t="s">
        <v>783</v>
      </c>
      <c r="D1230" s="4" t="s">
        <v>1680</v>
      </c>
      <c r="E1230" s="4" t="s">
        <v>1681</v>
      </c>
      <c r="F1230" s="4" t="s">
        <v>1680</v>
      </c>
    </row>
    <row r="1231" spans="1:6" ht="14.4" thickBot="1" x14ac:dyDescent="0.35">
      <c r="A1231" s="4" t="s">
        <v>783</v>
      </c>
      <c r="B1231" s="4" t="s">
        <v>784</v>
      </c>
      <c r="C1231" s="4" t="s">
        <v>783</v>
      </c>
      <c r="D1231" s="4" t="s">
        <v>793</v>
      </c>
      <c r="E1231" s="4" t="s">
        <v>794</v>
      </c>
      <c r="F1231" s="4" t="s">
        <v>793</v>
      </c>
    </row>
    <row r="1232" spans="1:6" ht="14.4" thickBot="1" x14ac:dyDescent="0.35">
      <c r="A1232" s="4" t="s">
        <v>783</v>
      </c>
      <c r="B1232" s="4" t="s">
        <v>784</v>
      </c>
      <c r="C1232" s="4" t="s">
        <v>783</v>
      </c>
      <c r="D1232" s="4" t="s">
        <v>791</v>
      </c>
      <c r="E1232" s="4" t="s">
        <v>792</v>
      </c>
      <c r="F1232" s="4" t="s">
        <v>791</v>
      </c>
    </row>
    <row r="1233" spans="1:6" ht="14.4" thickBot="1" x14ac:dyDescent="0.35">
      <c r="A1233" s="4" t="s">
        <v>783</v>
      </c>
      <c r="B1233" s="4" t="s">
        <v>784</v>
      </c>
      <c r="C1233" s="4" t="s">
        <v>783</v>
      </c>
      <c r="D1233" s="4" t="s">
        <v>3944</v>
      </c>
      <c r="E1233" s="4" t="s">
        <v>3945</v>
      </c>
      <c r="F1233" s="4" t="s">
        <v>3944</v>
      </c>
    </row>
    <row r="1234" spans="1:6" ht="14.4" thickBot="1" x14ac:dyDescent="0.35">
      <c r="A1234" s="4" t="s">
        <v>783</v>
      </c>
      <c r="B1234" s="4" t="s">
        <v>784</v>
      </c>
      <c r="C1234" s="4" t="s">
        <v>783</v>
      </c>
      <c r="D1234" s="4" t="s">
        <v>1830</v>
      </c>
      <c r="E1234" s="4" t="s">
        <v>1831</v>
      </c>
      <c r="F1234" s="4" t="s">
        <v>1830</v>
      </c>
    </row>
    <row r="1235" spans="1:6" ht="14.4" thickBot="1" x14ac:dyDescent="0.35">
      <c r="A1235" s="4" t="s">
        <v>783</v>
      </c>
      <c r="B1235" s="4" t="s">
        <v>784</v>
      </c>
      <c r="C1235" s="4" t="s">
        <v>783</v>
      </c>
      <c r="D1235" s="4" t="s">
        <v>1836</v>
      </c>
      <c r="E1235" s="4" t="s">
        <v>1837</v>
      </c>
      <c r="F1235" s="4" t="s">
        <v>1836</v>
      </c>
    </row>
    <row r="1236" spans="1:6" ht="14.4" thickBot="1" x14ac:dyDescent="0.35">
      <c r="A1236" s="4" t="s">
        <v>783</v>
      </c>
      <c r="B1236" s="4" t="s">
        <v>784</v>
      </c>
      <c r="C1236" s="4" t="s">
        <v>783</v>
      </c>
      <c r="D1236" s="4" t="s">
        <v>6163</v>
      </c>
      <c r="E1236" s="4" t="s">
        <v>6164</v>
      </c>
      <c r="F1236" s="4" t="s">
        <v>6163</v>
      </c>
    </row>
    <row r="1237" spans="1:6" ht="14.4" thickBot="1" x14ac:dyDescent="0.35">
      <c r="A1237" s="4" t="s">
        <v>783</v>
      </c>
      <c r="B1237" s="4" t="s">
        <v>784</v>
      </c>
      <c r="C1237" s="4" t="s">
        <v>783</v>
      </c>
      <c r="D1237" s="4" t="s">
        <v>4061</v>
      </c>
      <c r="E1237" s="4" t="s">
        <v>1527</v>
      </c>
      <c r="F1237" s="4" t="s">
        <v>4061</v>
      </c>
    </row>
    <row r="1238" spans="1:6" ht="14.4" thickBot="1" x14ac:dyDescent="0.35">
      <c r="A1238" s="4" t="s">
        <v>783</v>
      </c>
      <c r="B1238" s="4" t="s">
        <v>784</v>
      </c>
      <c r="C1238" s="4" t="s">
        <v>783</v>
      </c>
      <c r="D1238" s="4" t="s">
        <v>795</v>
      </c>
      <c r="E1238" s="4" t="s">
        <v>796</v>
      </c>
      <c r="F1238" s="4" t="s">
        <v>795</v>
      </c>
    </row>
    <row r="1239" spans="1:6" ht="14.4" thickBot="1" x14ac:dyDescent="0.35">
      <c r="A1239" s="4" t="s">
        <v>783</v>
      </c>
      <c r="B1239" s="4" t="s">
        <v>784</v>
      </c>
      <c r="C1239" s="4" t="s">
        <v>783</v>
      </c>
      <c r="D1239" s="4" t="s">
        <v>5331</v>
      </c>
      <c r="E1239" s="4" t="s">
        <v>5332</v>
      </c>
      <c r="F1239" s="4" t="s">
        <v>5331</v>
      </c>
    </row>
    <row r="1240" spans="1:6" ht="14.4" thickBot="1" x14ac:dyDescent="0.35">
      <c r="A1240" s="4" t="s">
        <v>783</v>
      </c>
      <c r="B1240" s="4" t="s">
        <v>784</v>
      </c>
      <c r="C1240" s="4" t="s">
        <v>783</v>
      </c>
      <c r="D1240" s="4" t="s">
        <v>5350</v>
      </c>
      <c r="E1240" s="4" t="s">
        <v>2297</v>
      </c>
      <c r="F1240" s="4" t="s">
        <v>5350</v>
      </c>
    </row>
    <row r="1241" spans="1:6" ht="14.4" thickBot="1" x14ac:dyDescent="0.35">
      <c r="A1241" s="4" t="s">
        <v>783</v>
      </c>
      <c r="B1241" s="4" t="s">
        <v>784</v>
      </c>
      <c r="C1241" s="4" t="s">
        <v>783</v>
      </c>
      <c r="D1241" s="4" t="s">
        <v>4770</v>
      </c>
      <c r="E1241" s="4" t="s">
        <v>4771</v>
      </c>
      <c r="F1241" s="4" t="s">
        <v>4770</v>
      </c>
    </row>
    <row r="1242" spans="1:6" ht="14.4" thickBot="1" x14ac:dyDescent="0.35">
      <c r="A1242" s="4" t="s">
        <v>783</v>
      </c>
      <c r="B1242" s="4" t="s">
        <v>784</v>
      </c>
      <c r="C1242" s="4" t="s">
        <v>783</v>
      </c>
      <c r="D1242" s="4" t="s">
        <v>785</v>
      </c>
      <c r="E1242" s="4" t="s">
        <v>786</v>
      </c>
      <c r="F1242" s="4" t="s">
        <v>785</v>
      </c>
    </row>
    <row r="1243" spans="1:6" ht="14.4" thickBot="1" x14ac:dyDescent="0.35">
      <c r="A1243" s="4" t="s">
        <v>783</v>
      </c>
      <c r="B1243" s="4" t="s">
        <v>784</v>
      </c>
      <c r="C1243" s="4" t="s">
        <v>783</v>
      </c>
      <c r="D1243" s="4" t="s">
        <v>6044</v>
      </c>
      <c r="E1243" s="4" t="s">
        <v>6045</v>
      </c>
      <c r="F1243" s="4" t="s">
        <v>6044</v>
      </c>
    </row>
    <row r="1244" spans="1:6" ht="14.4" thickBot="1" x14ac:dyDescent="0.35">
      <c r="A1244" s="4" t="s">
        <v>728</v>
      </c>
      <c r="B1244" s="4" t="s">
        <v>729</v>
      </c>
      <c r="C1244" s="4" t="s">
        <v>728</v>
      </c>
      <c r="D1244" s="4" t="s">
        <v>3889</v>
      </c>
      <c r="E1244" s="4" t="s">
        <v>3890</v>
      </c>
      <c r="F1244" s="4" t="s">
        <v>3889</v>
      </c>
    </row>
    <row r="1245" spans="1:6" ht="14.4" thickBot="1" x14ac:dyDescent="0.35">
      <c r="A1245" s="4" t="s">
        <v>728</v>
      </c>
      <c r="B1245" s="4" t="s">
        <v>729</v>
      </c>
      <c r="C1245" s="4" t="s">
        <v>728</v>
      </c>
      <c r="D1245" s="4" t="s">
        <v>2331</v>
      </c>
      <c r="E1245" s="4" t="s">
        <v>2332</v>
      </c>
      <c r="F1245" s="4" t="s">
        <v>2331</v>
      </c>
    </row>
    <row r="1246" spans="1:6" ht="14.4" thickBot="1" x14ac:dyDescent="0.35">
      <c r="A1246" s="4" t="s">
        <v>728</v>
      </c>
      <c r="B1246" s="4" t="s">
        <v>729</v>
      </c>
      <c r="C1246" s="4" t="s">
        <v>728</v>
      </c>
      <c r="D1246" s="4" t="s">
        <v>3887</v>
      </c>
      <c r="E1246" s="4" t="s">
        <v>3888</v>
      </c>
      <c r="F1246" s="4" t="s">
        <v>3887</v>
      </c>
    </row>
    <row r="1247" spans="1:6" ht="14.4" thickBot="1" x14ac:dyDescent="0.35">
      <c r="A1247" s="4" t="s">
        <v>728</v>
      </c>
      <c r="B1247" s="4" t="s">
        <v>729</v>
      </c>
      <c r="C1247" s="4" t="s">
        <v>728</v>
      </c>
      <c r="D1247" s="4" t="s">
        <v>1632</v>
      </c>
      <c r="E1247" s="4" t="s">
        <v>1633</v>
      </c>
      <c r="F1247" s="4" t="s">
        <v>1632</v>
      </c>
    </row>
    <row r="1248" spans="1:6" ht="14.4" thickBot="1" x14ac:dyDescent="0.35">
      <c r="A1248" s="4" t="s">
        <v>728</v>
      </c>
      <c r="B1248" s="4" t="s">
        <v>729</v>
      </c>
      <c r="C1248" s="4" t="s">
        <v>728</v>
      </c>
      <c r="D1248" s="4" t="s">
        <v>5295</v>
      </c>
      <c r="E1248" s="4" t="s">
        <v>5296</v>
      </c>
      <c r="F1248" s="4" t="s">
        <v>5295</v>
      </c>
    </row>
    <row r="1249" spans="1:6" ht="14.4" thickBot="1" x14ac:dyDescent="0.35">
      <c r="A1249" s="4" t="s">
        <v>728</v>
      </c>
      <c r="B1249" s="4" t="s">
        <v>729</v>
      </c>
      <c r="C1249" s="4" t="s">
        <v>728</v>
      </c>
      <c r="D1249" s="4" t="s">
        <v>5993</v>
      </c>
      <c r="E1249" s="4" t="s">
        <v>5994</v>
      </c>
      <c r="F1249" s="4" t="s">
        <v>5993</v>
      </c>
    </row>
    <row r="1250" spans="1:6" ht="14.4" thickBot="1" x14ac:dyDescent="0.35">
      <c r="A1250" s="4" t="s">
        <v>728</v>
      </c>
      <c r="B1250" s="4" t="s">
        <v>729</v>
      </c>
      <c r="C1250" s="4" t="s">
        <v>728</v>
      </c>
      <c r="D1250" s="4" t="s">
        <v>3098</v>
      </c>
      <c r="E1250" s="4" t="s">
        <v>3099</v>
      </c>
      <c r="F1250" s="4" t="s">
        <v>3098</v>
      </c>
    </row>
    <row r="1251" spans="1:6" ht="14.4" thickBot="1" x14ac:dyDescent="0.35">
      <c r="A1251" s="4" t="s">
        <v>728</v>
      </c>
      <c r="B1251" s="4" t="s">
        <v>729</v>
      </c>
      <c r="C1251" s="4" t="s">
        <v>728</v>
      </c>
      <c r="D1251" s="4" t="s">
        <v>6003</v>
      </c>
      <c r="E1251" s="4" t="s">
        <v>6004</v>
      </c>
      <c r="F1251" s="4" t="s">
        <v>6003</v>
      </c>
    </row>
    <row r="1252" spans="1:6" ht="14.4" thickBot="1" x14ac:dyDescent="0.35">
      <c r="A1252" s="4" t="s">
        <v>728</v>
      </c>
      <c r="B1252" s="4" t="s">
        <v>729</v>
      </c>
      <c r="C1252" s="4" t="s">
        <v>728</v>
      </c>
      <c r="D1252" s="4" t="s">
        <v>5995</v>
      </c>
      <c r="E1252" s="4" t="s">
        <v>5996</v>
      </c>
      <c r="F1252" s="4" t="s">
        <v>5995</v>
      </c>
    </row>
    <row r="1253" spans="1:6" ht="14.4" thickBot="1" x14ac:dyDescent="0.35">
      <c r="A1253" s="4" t="s">
        <v>728</v>
      </c>
      <c r="B1253" s="4" t="s">
        <v>729</v>
      </c>
      <c r="C1253" s="4" t="s">
        <v>728</v>
      </c>
      <c r="D1253" s="4" t="s">
        <v>732</v>
      </c>
      <c r="E1253" s="4" t="s">
        <v>733</v>
      </c>
      <c r="F1253" s="4" t="s">
        <v>732</v>
      </c>
    </row>
    <row r="1254" spans="1:6" ht="14.4" thickBot="1" x14ac:dyDescent="0.35">
      <c r="A1254" s="4" t="s">
        <v>728</v>
      </c>
      <c r="B1254" s="4" t="s">
        <v>729</v>
      </c>
      <c r="C1254" s="4" t="s">
        <v>728</v>
      </c>
      <c r="D1254" s="4" t="s">
        <v>6001</v>
      </c>
      <c r="E1254" s="4" t="s">
        <v>6002</v>
      </c>
      <c r="F1254" s="4" t="s">
        <v>6001</v>
      </c>
    </row>
    <row r="1255" spans="1:6" ht="14.4" thickBot="1" x14ac:dyDescent="0.35">
      <c r="A1255" s="4" t="s">
        <v>728</v>
      </c>
      <c r="B1255" s="4" t="s">
        <v>729</v>
      </c>
      <c r="C1255" s="4" t="s">
        <v>728</v>
      </c>
      <c r="D1255" s="4" t="s">
        <v>3891</v>
      </c>
      <c r="E1255" s="4" t="s">
        <v>3892</v>
      </c>
      <c r="F1255" s="4" t="s">
        <v>3891</v>
      </c>
    </row>
    <row r="1256" spans="1:6" ht="14.4" thickBot="1" x14ac:dyDescent="0.35">
      <c r="A1256" s="4" t="s">
        <v>728</v>
      </c>
      <c r="B1256" s="4" t="s">
        <v>729</v>
      </c>
      <c r="C1256" s="4" t="s">
        <v>728</v>
      </c>
      <c r="D1256" s="4" t="s">
        <v>3893</v>
      </c>
      <c r="E1256" s="4" t="s">
        <v>3894</v>
      </c>
      <c r="F1256" s="4" t="s">
        <v>3893</v>
      </c>
    </row>
    <row r="1257" spans="1:6" ht="14.4" thickBot="1" x14ac:dyDescent="0.35">
      <c r="A1257" s="4" t="s">
        <v>728</v>
      </c>
      <c r="B1257" s="4" t="s">
        <v>729</v>
      </c>
      <c r="C1257" s="4" t="s">
        <v>728</v>
      </c>
      <c r="D1257" s="4" t="s">
        <v>730</v>
      </c>
      <c r="E1257" s="4" t="s">
        <v>731</v>
      </c>
      <c r="F1257" s="4" t="s">
        <v>730</v>
      </c>
    </row>
    <row r="1258" spans="1:6" ht="14.4" thickBot="1" x14ac:dyDescent="0.35">
      <c r="A1258" s="4" t="s">
        <v>728</v>
      </c>
      <c r="B1258" s="4" t="s">
        <v>729</v>
      </c>
      <c r="C1258" s="4" t="s">
        <v>728</v>
      </c>
      <c r="D1258" s="4" t="s">
        <v>3885</v>
      </c>
      <c r="E1258" s="4" t="s">
        <v>3886</v>
      </c>
      <c r="F1258" s="4" t="s">
        <v>3885</v>
      </c>
    </row>
    <row r="1259" spans="1:6" ht="14.4" thickBot="1" x14ac:dyDescent="0.35">
      <c r="A1259" s="4" t="s">
        <v>728</v>
      </c>
      <c r="B1259" s="4" t="s">
        <v>729</v>
      </c>
      <c r="C1259" s="4" t="s">
        <v>728</v>
      </c>
      <c r="D1259" s="4" t="s">
        <v>2464</v>
      </c>
      <c r="E1259" s="4" t="s">
        <v>2465</v>
      </c>
      <c r="F1259" s="4" t="s">
        <v>2464</v>
      </c>
    </row>
    <row r="1260" spans="1:6" ht="14.4" thickBot="1" x14ac:dyDescent="0.35">
      <c r="A1260" s="4" t="s">
        <v>728</v>
      </c>
      <c r="B1260" s="4" t="s">
        <v>729</v>
      </c>
      <c r="C1260" s="4" t="s">
        <v>728</v>
      </c>
      <c r="D1260" s="4" t="s">
        <v>4613</v>
      </c>
      <c r="E1260" s="4" t="s">
        <v>4614</v>
      </c>
      <c r="F1260" s="4" t="s">
        <v>4613</v>
      </c>
    </row>
    <row r="1261" spans="1:6" ht="14.4" thickBot="1" x14ac:dyDescent="0.35">
      <c r="A1261" s="4" t="s">
        <v>728</v>
      </c>
      <c r="B1261" s="4" t="s">
        <v>729</v>
      </c>
      <c r="C1261" s="4" t="s">
        <v>728</v>
      </c>
      <c r="D1261" s="4" t="s">
        <v>1796</v>
      </c>
      <c r="E1261" s="4" t="s">
        <v>1797</v>
      </c>
      <c r="F1261" s="4" t="s">
        <v>1796</v>
      </c>
    </row>
    <row r="1262" spans="1:6" ht="14.4" thickBot="1" x14ac:dyDescent="0.35">
      <c r="A1262" s="4" t="s">
        <v>728</v>
      </c>
      <c r="B1262" s="4" t="s">
        <v>729</v>
      </c>
      <c r="C1262" s="4" t="s">
        <v>728</v>
      </c>
      <c r="D1262" s="4" t="s">
        <v>2333</v>
      </c>
      <c r="E1262" s="4" t="s">
        <v>2334</v>
      </c>
      <c r="F1262" s="4" t="s">
        <v>2333</v>
      </c>
    </row>
    <row r="1263" spans="1:6" ht="14.4" thickBot="1" x14ac:dyDescent="0.35">
      <c r="A1263" s="4" t="s">
        <v>728</v>
      </c>
      <c r="B1263" s="4" t="s">
        <v>729</v>
      </c>
      <c r="C1263" s="4" t="s">
        <v>728</v>
      </c>
      <c r="D1263" s="4" t="s">
        <v>3226</v>
      </c>
      <c r="E1263" s="4" t="s">
        <v>3227</v>
      </c>
      <c r="F1263" s="4" t="s">
        <v>3226</v>
      </c>
    </row>
    <row r="1264" spans="1:6" ht="14.4" thickBot="1" x14ac:dyDescent="0.35">
      <c r="A1264" s="4" t="s">
        <v>728</v>
      </c>
      <c r="B1264" s="4" t="s">
        <v>729</v>
      </c>
      <c r="C1264" s="4" t="s">
        <v>728</v>
      </c>
      <c r="D1264" s="4" t="s">
        <v>5999</v>
      </c>
      <c r="E1264" s="4" t="s">
        <v>6000</v>
      </c>
      <c r="F1264" s="4" t="s">
        <v>5999</v>
      </c>
    </row>
    <row r="1265" spans="1:6" ht="14.4" thickBot="1" x14ac:dyDescent="0.35">
      <c r="A1265" s="4" t="s">
        <v>728</v>
      </c>
      <c r="B1265" s="4" t="s">
        <v>729</v>
      </c>
      <c r="C1265" s="4" t="s">
        <v>728</v>
      </c>
      <c r="D1265" s="4" t="s">
        <v>1798</v>
      </c>
      <c r="E1265" s="4" t="s">
        <v>1799</v>
      </c>
      <c r="F1265" s="4" t="s">
        <v>1798</v>
      </c>
    </row>
    <row r="1266" spans="1:6" ht="14.4" thickBot="1" x14ac:dyDescent="0.35">
      <c r="A1266" s="4" t="s">
        <v>728</v>
      </c>
      <c r="B1266" s="4" t="s">
        <v>729</v>
      </c>
      <c r="C1266" s="4" t="s">
        <v>728</v>
      </c>
      <c r="D1266" s="4" t="s">
        <v>3228</v>
      </c>
      <c r="E1266" s="4" t="s">
        <v>3229</v>
      </c>
      <c r="F1266" s="4" t="s">
        <v>3228</v>
      </c>
    </row>
    <row r="1267" spans="1:6" ht="14.4" thickBot="1" x14ac:dyDescent="0.35">
      <c r="A1267" s="4" t="s">
        <v>728</v>
      </c>
      <c r="B1267" s="4" t="s">
        <v>729</v>
      </c>
      <c r="C1267" s="4" t="s">
        <v>728</v>
      </c>
      <c r="D1267" s="4" t="s">
        <v>932</v>
      </c>
      <c r="E1267" s="4" t="s">
        <v>933</v>
      </c>
      <c r="F1267" s="4" t="s">
        <v>932</v>
      </c>
    </row>
    <row r="1268" spans="1:6" ht="14.4" thickBot="1" x14ac:dyDescent="0.35">
      <c r="A1268" s="4" t="s">
        <v>728</v>
      </c>
      <c r="B1268" s="4" t="s">
        <v>729</v>
      </c>
      <c r="C1268" s="4" t="s">
        <v>728</v>
      </c>
      <c r="D1268" s="4" t="s">
        <v>2329</v>
      </c>
      <c r="E1268" s="4" t="s">
        <v>2330</v>
      </c>
      <c r="F1268" s="4" t="s">
        <v>2329</v>
      </c>
    </row>
    <row r="1269" spans="1:6" ht="14.4" thickBot="1" x14ac:dyDescent="0.35">
      <c r="A1269" s="4" t="s">
        <v>728</v>
      </c>
      <c r="B1269" s="4" t="s">
        <v>729</v>
      </c>
      <c r="C1269" s="4" t="s">
        <v>728</v>
      </c>
      <c r="D1269" s="4" t="s">
        <v>5997</v>
      </c>
      <c r="E1269" s="4" t="s">
        <v>5998</v>
      </c>
      <c r="F1269" s="4" t="s">
        <v>5997</v>
      </c>
    </row>
    <row r="1270" spans="1:6" ht="14.4" thickBot="1" x14ac:dyDescent="0.35">
      <c r="A1270" s="4" t="s">
        <v>1634</v>
      </c>
      <c r="B1270" s="4" t="s">
        <v>1635</v>
      </c>
      <c r="C1270" s="4" t="s">
        <v>1634</v>
      </c>
      <c r="D1270" s="4" t="s">
        <v>2335</v>
      </c>
      <c r="E1270" s="4" t="s">
        <v>2336</v>
      </c>
      <c r="F1270" s="4" t="s">
        <v>2335</v>
      </c>
    </row>
    <row r="1271" spans="1:6" ht="14.4" thickBot="1" x14ac:dyDescent="0.35">
      <c r="A1271" s="4" t="s">
        <v>1634</v>
      </c>
      <c r="B1271" s="4" t="s">
        <v>1635</v>
      </c>
      <c r="C1271" s="4" t="s">
        <v>1634</v>
      </c>
      <c r="D1271" s="4" t="s">
        <v>3895</v>
      </c>
      <c r="E1271" s="4" t="s">
        <v>3896</v>
      </c>
      <c r="F1271" s="4" t="s">
        <v>3895</v>
      </c>
    </row>
    <row r="1272" spans="1:6" ht="14.4" thickBot="1" x14ac:dyDescent="0.35">
      <c r="A1272" s="4" t="s">
        <v>1634</v>
      </c>
      <c r="B1272" s="4" t="s">
        <v>1635</v>
      </c>
      <c r="C1272" s="4" t="s">
        <v>1634</v>
      </c>
      <c r="D1272" s="4" t="s">
        <v>4615</v>
      </c>
      <c r="E1272" s="4" t="s">
        <v>4616</v>
      </c>
      <c r="F1272" s="4" t="s">
        <v>4615</v>
      </c>
    </row>
    <row r="1273" spans="1:6" ht="14.4" thickBot="1" x14ac:dyDescent="0.35">
      <c r="A1273" s="4" t="s">
        <v>1634</v>
      </c>
      <c r="B1273" s="4" t="s">
        <v>1635</v>
      </c>
      <c r="C1273" s="4" t="s">
        <v>1634</v>
      </c>
      <c r="D1273" s="4" t="s">
        <v>1636</v>
      </c>
      <c r="E1273" s="4" t="s">
        <v>1637</v>
      </c>
      <c r="F1273" s="4" t="s">
        <v>1636</v>
      </c>
    </row>
    <row r="1274" spans="1:6" ht="14.4" thickBot="1" x14ac:dyDescent="0.35">
      <c r="A1274" s="4" t="s">
        <v>1634</v>
      </c>
      <c r="B1274" s="4" t="s">
        <v>1635</v>
      </c>
      <c r="C1274" s="4" t="s">
        <v>1634</v>
      </c>
      <c r="D1274" s="4" t="s">
        <v>3100</v>
      </c>
      <c r="E1274" s="4" t="s">
        <v>3101</v>
      </c>
      <c r="F1274" s="4" t="s">
        <v>3100</v>
      </c>
    </row>
    <row r="1275" spans="1:6" ht="14.4" thickBot="1" x14ac:dyDescent="0.35">
      <c r="A1275" s="4" t="s">
        <v>1634</v>
      </c>
      <c r="B1275" s="4" t="s">
        <v>1635</v>
      </c>
      <c r="C1275" s="4" t="s">
        <v>1634</v>
      </c>
      <c r="D1275" s="4" t="s">
        <v>4617</v>
      </c>
      <c r="E1275" s="4" t="s">
        <v>4618</v>
      </c>
      <c r="F1275" s="4" t="s">
        <v>4617</v>
      </c>
    </row>
    <row r="1276" spans="1:6" ht="14.4" thickBot="1" x14ac:dyDescent="0.35">
      <c r="A1276" s="4" t="s">
        <v>1634</v>
      </c>
      <c r="B1276" s="4" t="s">
        <v>1635</v>
      </c>
      <c r="C1276" s="4" t="s">
        <v>1634</v>
      </c>
      <c r="D1276" s="4" t="s">
        <v>6005</v>
      </c>
      <c r="E1276" s="4" t="s">
        <v>6006</v>
      </c>
      <c r="F1276" s="4" t="s">
        <v>6005</v>
      </c>
    </row>
    <row r="1277" spans="1:6" ht="14.4" thickBot="1" x14ac:dyDescent="0.35">
      <c r="A1277" s="4" t="s">
        <v>546</v>
      </c>
      <c r="B1277" s="4" t="s">
        <v>547</v>
      </c>
      <c r="C1277" s="4" t="s">
        <v>546</v>
      </c>
      <c r="D1277" s="4" t="s">
        <v>2222</v>
      </c>
      <c r="E1277" s="4" t="s">
        <v>2223</v>
      </c>
      <c r="F1277" s="4" t="s">
        <v>2222</v>
      </c>
    </row>
    <row r="1278" spans="1:6" ht="14.4" thickBot="1" x14ac:dyDescent="0.35">
      <c r="A1278" s="4" t="s">
        <v>546</v>
      </c>
      <c r="B1278" s="4" t="s">
        <v>547</v>
      </c>
      <c r="C1278" s="4" t="s">
        <v>546</v>
      </c>
      <c r="D1278" s="4" t="s">
        <v>1487</v>
      </c>
      <c r="E1278" s="4" t="s">
        <v>1488</v>
      </c>
      <c r="F1278" s="4" t="s">
        <v>1487</v>
      </c>
    </row>
    <row r="1279" spans="1:6" ht="14.4" thickBot="1" x14ac:dyDescent="0.35">
      <c r="A1279" s="4" t="s">
        <v>546</v>
      </c>
      <c r="B1279" s="4" t="s">
        <v>547</v>
      </c>
      <c r="C1279" s="4" t="s">
        <v>546</v>
      </c>
      <c r="D1279" s="4" t="s">
        <v>548</v>
      </c>
      <c r="E1279" s="4" t="s">
        <v>549</v>
      </c>
      <c r="F1279" s="4" t="s">
        <v>548</v>
      </c>
    </row>
    <row r="1280" spans="1:6" ht="14.4" thickBot="1" x14ac:dyDescent="0.35">
      <c r="A1280" s="4" t="s">
        <v>2224</v>
      </c>
      <c r="B1280" s="4" t="s">
        <v>2225</v>
      </c>
      <c r="C1280" s="4" t="s">
        <v>2224</v>
      </c>
      <c r="D1280" s="4" t="s">
        <v>2965</v>
      </c>
      <c r="E1280" s="4" t="s">
        <v>2966</v>
      </c>
      <c r="F1280" s="4" t="s">
        <v>2965</v>
      </c>
    </row>
    <row r="1281" spans="1:6" ht="14.4" thickBot="1" x14ac:dyDescent="0.35">
      <c r="A1281" s="4" t="s">
        <v>2224</v>
      </c>
      <c r="B1281" s="4" t="s">
        <v>2225</v>
      </c>
      <c r="C1281" s="4" t="s">
        <v>2224</v>
      </c>
      <c r="D1281" s="4" t="s">
        <v>2963</v>
      </c>
      <c r="E1281" s="4" t="s">
        <v>2964</v>
      </c>
      <c r="F1281" s="4" t="s">
        <v>2963</v>
      </c>
    </row>
    <row r="1282" spans="1:6" ht="14.4" thickBot="1" x14ac:dyDescent="0.35">
      <c r="A1282" s="4" t="s">
        <v>2224</v>
      </c>
      <c r="B1282" s="4" t="s">
        <v>2225</v>
      </c>
      <c r="C1282" s="4" t="s">
        <v>2224</v>
      </c>
      <c r="D1282" s="4" t="s">
        <v>2226</v>
      </c>
      <c r="E1282" s="4" t="s">
        <v>2227</v>
      </c>
      <c r="F1282" s="4" t="s">
        <v>2226</v>
      </c>
    </row>
    <row r="1283" spans="1:6" ht="14.4" thickBot="1" x14ac:dyDescent="0.35">
      <c r="A1283" s="4" t="s">
        <v>2752</v>
      </c>
      <c r="B1283" s="4" t="s">
        <v>3754</v>
      </c>
      <c r="C1283" s="4" t="s">
        <v>2752</v>
      </c>
      <c r="D1283" s="4" t="s">
        <v>5174</v>
      </c>
      <c r="E1283" s="4" t="s">
        <v>5175</v>
      </c>
      <c r="F1283" s="4" t="s">
        <v>5174</v>
      </c>
    </row>
    <row r="1284" spans="1:6" ht="14.4" thickBot="1" x14ac:dyDescent="0.35">
      <c r="A1284" s="4" t="s">
        <v>2752</v>
      </c>
      <c r="B1284" s="4" t="s">
        <v>3754</v>
      </c>
      <c r="C1284" s="4" t="s">
        <v>2752</v>
      </c>
      <c r="D1284" s="4" t="s">
        <v>5172</v>
      </c>
      <c r="E1284" s="4" t="s">
        <v>5173</v>
      </c>
      <c r="F1284" s="4" t="s">
        <v>5172</v>
      </c>
    </row>
    <row r="1285" spans="1:6" ht="14.4" thickBot="1" x14ac:dyDescent="0.35">
      <c r="A1285" s="4" t="s">
        <v>2752</v>
      </c>
      <c r="B1285" s="4" t="s">
        <v>3754</v>
      </c>
      <c r="C1285" s="4" t="s">
        <v>2752</v>
      </c>
      <c r="D1285" s="4" t="s">
        <v>3755</v>
      </c>
      <c r="E1285" s="4" t="s">
        <v>3756</v>
      </c>
      <c r="F1285" s="4" t="s">
        <v>3755</v>
      </c>
    </row>
    <row r="1286" spans="1:6" ht="14.4" thickBot="1" x14ac:dyDescent="0.35">
      <c r="A1286" s="4" t="s">
        <v>550</v>
      </c>
      <c r="B1286" s="4" t="s">
        <v>551</v>
      </c>
      <c r="C1286" s="4" t="s">
        <v>550</v>
      </c>
      <c r="D1286" s="4" t="s">
        <v>552</v>
      </c>
      <c r="E1286" s="4" t="s">
        <v>553</v>
      </c>
      <c r="F1286" s="4" t="s">
        <v>552</v>
      </c>
    </row>
    <row r="1287" spans="1:6" ht="14.4" thickBot="1" x14ac:dyDescent="0.35">
      <c r="A1287" s="4" t="s">
        <v>550</v>
      </c>
      <c r="B1287" s="4" t="s">
        <v>551</v>
      </c>
      <c r="C1287" s="4" t="s">
        <v>550</v>
      </c>
      <c r="D1287" s="4" t="s">
        <v>3708</v>
      </c>
      <c r="E1287" s="4" t="s">
        <v>3709</v>
      </c>
      <c r="F1287" s="4" t="s">
        <v>3708</v>
      </c>
    </row>
    <row r="1288" spans="1:6" ht="14.4" thickBot="1" x14ac:dyDescent="0.35">
      <c r="A1288" s="4" t="s">
        <v>1552</v>
      </c>
      <c r="B1288" s="4" t="s">
        <v>1553</v>
      </c>
      <c r="C1288" s="4" t="s">
        <v>1552</v>
      </c>
      <c r="D1288" s="4" t="s">
        <v>3757</v>
      </c>
      <c r="E1288" s="4" t="s">
        <v>3758</v>
      </c>
      <c r="F1288" s="4" t="s">
        <v>3757</v>
      </c>
    </row>
    <row r="1289" spans="1:6" ht="14.4" thickBot="1" x14ac:dyDescent="0.35">
      <c r="A1289" s="4" t="s">
        <v>1552</v>
      </c>
      <c r="B1289" s="4" t="s">
        <v>1553</v>
      </c>
      <c r="C1289" s="4" t="s">
        <v>1552</v>
      </c>
      <c r="D1289" s="4" t="s">
        <v>1554</v>
      </c>
      <c r="E1289" s="4" t="s">
        <v>1555</v>
      </c>
      <c r="F1289" s="4" t="s">
        <v>1554</v>
      </c>
    </row>
    <row r="1290" spans="1:6" ht="14.4" thickBot="1" x14ac:dyDescent="0.35">
      <c r="A1290" s="4" t="s">
        <v>797</v>
      </c>
      <c r="B1290" s="4" t="s">
        <v>798</v>
      </c>
      <c r="C1290" s="4" t="s">
        <v>797</v>
      </c>
      <c r="D1290" s="4" t="s">
        <v>5359</v>
      </c>
      <c r="E1290" s="4" t="s">
        <v>5360</v>
      </c>
      <c r="F1290" s="4" t="s">
        <v>5359</v>
      </c>
    </row>
    <row r="1291" spans="1:6" ht="14.4" thickBot="1" x14ac:dyDescent="0.35">
      <c r="A1291" s="4" t="s">
        <v>797</v>
      </c>
      <c r="B1291" s="4" t="s">
        <v>798</v>
      </c>
      <c r="C1291" s="4" t="s">
        <v>797</v>
      </c>
      <c r="D1291" s="4" t="s">
        <v>799</v>
      </c>
      <c r="E1291" s="4" t="s">
        <v>800</v>
      </c>
      <c r="F1291" s="4" t="s">
        <v>799</v>
      </c>
    </row>
    <row r="1292" spans="1:6" ht="14.4" thickBot="1" x14ac:dyDescent="0.35">
      <c r="A1292" s="4" t="s">
        <v>797</v>
      </c>
      <c r="B1292" s="4" t="s">
        <v>798</v>
      </c>
      <c r="C1292" s="4" t="s">
        <v>797</v>
      </c>
      <c r="D1292" s="4" t="s">
        <v>805</v>
      </c>
      <c r="E1292" s="4" t="s">
        <v>6062</v>
      </c>
      <c r="F1292" s="4" t="s">
        <v>805</v>
      </c>
    </row>
    <row r="1293" spans="1:6" ht="14.4" thickBot="1" x14ac:dyDescent="0.35">
      <c r="A1293" s="4" t="s">
        <v>797</v>
      </c>
      <c r="B1293" s="4" t="s">
        <v>798</v>
      </c>
      <c r="C1293" s="4" t="s">
        <v>797</v>
      </c>
      <c r="D1293" s="4" t="s">
        <v>3964</v>
      </c>
      <c r="E1293" s="4" t="s">
        <v>3965</v>
      </c>
      <c r="F1293" s="4" t="s">
        <v>3964</v>
      </c>
    </row>
    <row r="1294" spans="1:6" ht="14.4" thickBot="1" x14ac:dyDescent="0.35">
      <c r="A1294" s="4" t="s">
        <v>797</v>
      </c>
      <c r="B1294" s="4" t="s">
        <v>798</v>
      </c>
      <c r="C1294" s="4" t="s">
        <v>797</v>
      </c>
      <c r="D1294" s="4" t="s">
        <v>4661</v>
      </c>
      <c r="E1294" s="4" t="s">
        <v>4662</v>
      </c>
      <c r="F1294" s="4" t="s">
        <v>4661</v>
      </c>
    </row>
    <row r="1295" spans="1:6" ht="14.4" thickBot="1" x14ac:dyDescent="0.35">
      <c r="A1295" s="4" t="s">
        <v>797</v>
      </c>
      <c r="B1295" s="4" t="s">
        <v>798</v>
      </c>
      <c r="C1295" s="4" t="s">
        <v>797</v>
      </c>
      <c r="D1295" s="4" t="s">
        <v>3153</v>
      </c>
      <c r="E1295" s="4" t="s">
        <v>3154</v>
      </c>
      <c r="F1295" s="4" t="s">
        <v>3153</v>
      </c>
    </row>
    <row r="1296" spans="1:6" ht="14.4" thickBot="1" x14ac:dyDescent="0.35">
      <c r="A1296" s="4" t="s">
        <v>797</v>
      </c>
      <c r="B1296" s="4" t="s">
        <v>798</v>
      </c>
      <c r="C1296" s="4" t="s">
        <v>797</v>
      </c>
      <c r="D1296" s="4" t="s">
        <v>3151</v>
      </c>
      <c r="E1296" s="4" t="s">
        <v>3152</v>
      </c>
      <c r="F1296" s="4" t="s">
        <v>3151</v>
      </c>
    </row>
    <row r="1297" spans="1:6" ht="14.4" thickBot="1" x14ac:dyDescent="0.35">
      <c r="A1297" s="4" t="s">
        <v>797</v>
      </c>
      <c r="B1297" s="4" t="s">
        <v>798</v>
      </c>
      <c r="C1297" s="4" t="s">
        <v>797</v>
      </c>
      <c r="D1297" s="4" t="s">
        <v>4667</v>
      </c>
      <c r="E1297" s="4" t="s">
        <v>4668</v>
      </c>
      <c r="F1297" s="4" t="s">
        <v>4667</v>
      </c>
    </row>
    <row r="1298" spans="1:6" ht="14.4" thickBot="1" x14ac:dyDescent="0.35">
      <c r="A1298" s="4" t="s">
        <v>797</v>
      </c>
      <c r="B1298" s="4" t="s">
        <v>798</v>
      </c>
      <c r="C1298" s="4" t="s">
        <v>797</v>
      </c>
      <c r="D1298" s="4" t="s">
        <v>3958</v>
      </c>
      <c r="E1298" s="4" t="s">
        <v>3959</v>
      </c>
      <c r="F1298" s="4" t="s">
        <v>3958</v>
      </c>
    </row>
    <row r="1299" spans="1:6" ht="14.4" thickBot="1" x14ac:dyDescent="0.35">
      <c r="A1299" s="4" t="s">
        <v>797</v>
      </c>
      <c r="B1299" s="4" t="s">
        <v>798</v>
      </c>
      <c r="C1299" s="4" t="s">
        <v>797</v>
      </c>
      <c r="D1299" s="4" t="s">
        <v>1692</v>
      </c>
      <c r="E1299" s="4" t="s">
        <v>1693</v>
      </c>
      <c r="F1299" s="4" t="s">
        <v>1692</v>
      </c>
    </row>
    <row r="1300" spans="1:6" ht="14.4" thickBot="1" x14ac:dyDescent="0.35">
      <c r="A1300" s="4" t="s">
        <v>797</v>
      </c>
      <c r="B1300" s="4" t="s">
        <v>798</v>
      </c>
      <c r="C1300" s="4" t="s">
        <v>797</v>
      </c>
      <c r="D1300" s="4" t="s">
        <v>1696</v>
      </c>
      <c r="E1300" s="4" t="s">
        <v>1697</v>
      </c>
      <c r="F1300" s="4" t="s">
        <v>1696</v>
      </c>
    </row>
    <row r="1301" spans="1:6" ht="14.4" thickBot="1" x14ac:dyDescent="0.35">
      <c r="A1301" s="4" t="s">
        <v>797</v>
      </c>
      <c r="B1301" s="4" t="s">
        <v>798</v>
      </c>
      <c r="C1301" s="4" t="s">
        <v>797</v>
      </c>
      <c r="D1301" s="4" t="s">
        <v>1688</v>
      </c>
      <c r="E1301" s="4" t="s">
        <v>1689</v>
      </c>
      <c r="F1301" s="4" t="s">
        <v>1688</v>
      </c>
    </row>
    <row r="1302" spans="1:6" ht="14.4" thickBot="1" x14ac:dyDescent="0.35">
      <c r="A1302" s="4" t="s">
        <v>797</v>
      </c>
      <c r="B1302" s="4" t="s">
        <v>798</v>
      </c>
      <c r="C1302" s="4" t="s">
        <v>797</v>
      </c>
      <c r="D1302" s="4" t="s">
        <v>1846</v>
      </c>
      <c r="E1302" s="4" t="s">
        <v>625</v>
      </c>
      <c r="F1302" s="4" t="s">
        <v>1846</v>
      </c>
    </row>
    <row r="1303" spans="1:6" ht="14.4" thickBot="1" x14ac:dyDescent="0.35">
      <c r="A1303" s="4" t="s">
        <v>797</v>
      </c>
      <c r="B1303" s="4" t="s">
        <v>798</v>
      </c>
      <c r="C1303" s="4" t="s">
        <v>797</v>
      </c>
      <c r="D1303" s="4" t="s">
        <v>4068</v>
      </c>
      <c r="E1303" s="4" t="s">
        <v>4069</v>
      </c>
      <c r="F1303" s="4" t="s">
        <v>4068</v>
      </c>
    </row>
    <row r="1304" spans="1:6" ht="14.4" thickBot="1" x14ac:dyDescent="0.35">
      <c r="A1304" s="4" t="s">
        <v>797</v>
      </c>
      <c r="B1304" s="4" t="s">
        <v>798</v>
      </c>
      <c r="C1304" s="4" t="s">
        <v>797</v>
      </c>
      <c r="D1304" s="4" t="s">
        <v>6171</v>
      </c>
      <c r="E1304" s="4" t="s">
        <v>6172</v>
      </c>
      <c r="F1304" s="4" t="s">
        <v>6171</v>
      </c>
    </row>
    <row r="1305" spans="1:6" ht="14.4" thickBot="1" x14ac:dyDescent="0.35">
      <c r="A1305" s="4" t="s">
        <v>797</v>
      </c>
      <c r="B1305" s="4" t="s">
        <v>798</v>
      </c>
      <c r="C1305" s="4" t="s">
        <v>797</v>
      </c>
      <c r="D1305" s="4" t="s">
        <v>958</v>
      </c>
      <c r="E1305" s="4" t="s">
        <v>959</v>
      </c>
      <c r="F1305" s="4" t="s">
        <v>958</v>
      </c>
    </row>
    <row r="1306" spans="1:6" ht="14.4" thickBot="1" x14ac:dyDescent="0.35">
      <c r="A1306" s="4" t="s">
        <v>797</v>
      </c>
      <c r="B1306" s="4" t="s">
        <v>798</v>
      </c>
      <c r="C1306" s="4" t="s">
        <v>797</v>
      </c>
      <c r="D1306" s="4" t="s">
        <v>3258</v>
      </c>
      <c r="E1306" s="4" t="s">
        <v>3259</v>
      </c>
      <c r="F1306" s="4" t="s">
        <v>3258</v>
      </c>
    </row>
    <row r="1307" spans="1:6" ht="14.4" thickBot="1" x14ac:dyDescent="0.35">
      <c r="A1307" s="4" t="s">
        <v>797</v>
      </c>
      <c r="B1307" s="4" t="s">
        <v>798</v>
      </c>
      <c r="C1307" s="4" t="s">
        <v>797</v>
      </c>
      <c r="D1307" s="4" t="s">
        <v>6165</v>
      </c>
      <c r="E1307" s="4" t="s">
        <v>6166</v>
      </c>
      <c r="F1307" s="4" t="s">
        <v>6165</v>
      </c>
    </row>
    <row r="1308" spans="1:6" ht="14.4" thickBot="1" x14ac:dyDescent="0.35">
      <c r="A1308" s="4" t="s">
        <v>797</v>
      </c>
      <c r="B1308" s="4" t="s">
        <v>798</v>
      </c>
      <c r="C1308" s="4" t="s">
        <v>797</v>
      </c>
      <c r="D1308" s="4" t="s">
        <v>5464</v>
      </c>
      <c r="E1308" s="4" t="s">
        <v>5465</v>
      </c>
      <c r="F1308" s="4" t="s">
        <v>5464</v>
      </c>
    </row>
    <row r="1309" spans="1:6" ht="14.4" thickBot="1" x14ac:dyDescent="0.35">
      <c r="A1309" s="4" t="s">
        <v>797</v>
      </c>
      <c r="B1309" s="4" t="s">
        <v>798</v>
      </c>
      <c r="C1309" s="4" t="s">
        <v>797</v>
      </c>
      <c r="D1309" s="4" t="s">
        <v>4066</v>
      </c>
      <c r="E1309" s="4" t="s">
        <v>4067</v>
      </c>
      <c r="F1309" s="4" t="s">
        <v>4066</v>
      </c>
    </row>
    <row r="1310" spans="1:6" ht="14.4" thickBot="1" x14ac:dyDescent="0.35">
      <c r="A1310" s="4" t="s">
        <v>797</v>
      </c>
      <c r="B1310" s="4" t="s">
        <v>798</v>
      </c>
      <c r="C1310" s="4" t="s">
        <v>797</v>
      </c>
      <c r="D1310" s="4" t="s">
        <v>1844</v>
      </c>
      <c r="E1310" s="4" t="s">
        <v>1845</v>
      </c>
      <c r="F1310" s="4" t="s">
        <v>1844</v>
      </c>
    </row>
    <row r="1311" spans="1:6" ht="14.4" thickBot="1" x14ac:dyDescent="0.35">
      <c r="A1311" s="4" t="s">
        <v>797</v>
      </c>
      <c r="B1311" s="4" t="s">
        <v>798</v>
      </c>
      <c r="C1311" s="4" t="s">
        <v>797</v>
      </c>
      <c r="D1311" s="4" t="s">
        <v>4064</v>
      </c>
      <c r="E1311" s="4" t="s">
        <v>4065</v>
      </c>
      <c r="F1311" s="4" t="s">
        <v>4064</v>
      </c>
    </row>
    <row r="1312" spans="1:6" ht="14.4" thickBot="1" x14ac:dyDescent="0.35">
      <c r="A1312" s="4" t="s">
        <v>797</v>
      </c>
      <c r="B1312" s="4" t="s">
        <v>798</v>
      </c>
      <c r="C1312" s="4" t="s">
        <v>797</v>
      </c>
      <c r="D1312" s="4" t="s">
        <v>4774</v>
      </c>
      <c r="E1312" s="4" t="s">
        <v>4775</v>
      </c>
      <c r="F1312" s="4" t="s">
        <v>4774</v>
      </c>
    </row>
    <row r="1313" spans="1:6" ht="14.4" thickBot="1" x14ac:dyDescent="0.35">
      <c r="A1313" s="4" t="s">
        <v>797</v>
      </c>
      <c r="B1313" s="4" t="s">
        <v>798</v>
      </c>
      <c r="C1313" s="4" t="s">
        <v>797</v>
      </c>
      <c r="D1313" s="4" t="s">
        <v>4772</v>
      </c>
      <c r="E1313" s="4" t="s">
        <v>4773</v>
      </c>
      <c r="F1313" s="4" t="s">
        <v>4772</v>
      </c>
    </row>
    <row r="1314" spans="1:6" ht="14.4" thickBot="1" x14ac:dyDescent="0.35">
      <c r="A1314" s="4" t="s">
        <v>797</v>
      </c>
      <c r="B1314" s="4" t="s">
        <v>798</v>
      </c>
      <c r="C1314" s="4" t="s">
        <v>797</v>
      </c>
      <c r="D1314" s="4" t="s">
        <v>4062</v>
      </c>
      <c r="E1314" s="4" t="s">
        <v>4063</v>
      </c>
      <c r="F1314" s="4" t="s">
        <v>4062</v>
      </c>
    </row>
    <row r="1315" spans="1:6" ht="14.4" thickBot="1" x14ac:dyDescent="0.35">
      <c r="A1315" s="4" t="s">
        <v>797</v>
      </c>
      <c r="B1315" s="4" t="s">
        <v>798</v>
      </c>
      <c r="C1315" s="4" t="s">
        <v>797</v>
      </c>
      <c r="D1315" s="4" t="s">
        <v>2488</v>
      </c>
      <c r="E1315" s="4" t="s">
        <v>2489</v>
      </c>
      <c r="F1315" s="4" t="s">
        <v>2488</v>
      </c>
    </row>
    <row r="1316" spans="1:6" ht="14.4" thickBot="1" x14ac:dyDescent="0.35">
      <c r="A1316" s="4" t="s">
        <v>797</v>
      </c>
      <c r="B1316" s="4" t="s">
        <v>798</v>
      </c>
      <c r="C1316" s="4" t="s">
        <v>797</v>
      </c>
      <c r="D1316" s="4" t="s">
        <v>1690</v>
      </c>
      <c r="E1316" s="4" t="s">
        <v>1691</v>
      </c>
      <c r="F1316" s="4" t="s">
        <v>1690</v>
      </c>
    </row>
    <row r="1317" spans="1:6" ht="14.4" thickBot="1" x14ac:dyDescent="0.35">
      <c r="A1317" s="4" t="s">
        <v>797</v>
      </c>
      <c r="B1317" s="4" t="s">
        <v>798</v>
      </c>
      <c r="C1317" s="4" t="s">
        <v>797</v>
      </c>
      <c r="D1317" s="4" t="s">
        <v>4657</v>
      </c>
      <c r="E1317" s="4" t="s">
        <v>4658</v>
      </c>
      <c r="F1317" s="4" t="s">
        <v>4657</v>
      </c>
    </row>
    <row r="1318" spans="1:6" ht="14.4" thickBot="1" x14ac:dyDescent="0.35">
      <c r="A1318" s="4" t="s">
        <v>797</v>
      </c>
      <c r="B1318" s="4" t="s">
        <v>798</v>
      </c>
      <c r="C1318" s="4" t="s">
        <v>797</v>
      </c>
      <c r="D1318" s="4" t="s">
        <v>3960</v>
      </c>
      <c r="E1318" s="4" t="s">
        <v>3961</v>
      </c>
      <c r="F1318" s="4" t="s">
        <v>3960</v>
      </c>
    </row>
    <row r="1319" spans="1:6" ht="14.4" thickBot="1" x14ac:dyDescent="0.35">
      <c r="A1319" s="4" t="s">
        <v>797</v>
      </c>
      <c r="B1319" s="4" t="s">
        <v>798</v>
      </c>
      <c r="C1319" s="4" t="s">
        <v>797</v>
      </c>
      <c r="D1319" s="4" t="s">
        <v>4659</v>
      </c>
      <c r="E1319" s="4" t="s">
        <v>4660</v>
      </c>
      <c r="F1319" s="4" t="s">
        <v>4659</v>
      </c>
    </row>
    <row r="1320" spans="1:6" ht="14.4" thickBot="1" x14ac:dyDescent="0.35">
      <c r="A1320" s="4" t="s">
        <v>797</v>
      </c>
      <c r="B1320" s="4" t="s">
        <v>798</v>
      </c>
      <c r="C1320" s="4" t="s">
        <v>797</v>
      </c>
      <c r="D1320" s="4" t="s">
        <v>803</v>
      </c>
      <c r="E1320" s="4" t="s">
        <v>804</v>
      </c>
      <c r="F1320" s="4" t="s">
        <v>803</v>
      </c>
    </row>
    <row r="1321" spans="1:6" ht="14.4" thickBot="1" x14ac:dyDescent="0.35">
      <c r="A1321" s="4" t="s">
        <v>797</v>
      </c>
      <c r="B1321" s="4" t="s">
        <v>798</v>
      </c>
      <c r="C1321" s="4" t="s">
        <v>797</v>
      </c>
      <c r="D1321" s="4" t="s">
        <v>2392</v>
      </c>
      <c r="E1321" s="4" t="s">
        <v>2393</v>
      </c>
      <c r="F1321" s="4" t="s">
        <v>2392</v>
      </c>
    </row>
    <row r="1322" spans="1:6" ht="14.4" thickBot="1" x14ac:dyDescent="0.35">
      <c r="A1322" s="4" t="s">
        <v>797</v>
      </c>
      <c r="B1322" s="4" t="s">
        <v>798</v>
      </c>
      <c r="C1322" s="4" t="s">
        <v>797</v>
      </c>
      <c r="D1322" s="4" t="s">
        <v>5466</v>
      </c>
      <c r="E1322" s="4" t="s">
        <v>5467</v>
      </c>
      <c r="F1322" s="4" t="s">
        <v>5466</v>
      </c>
    </row>
    <row r="1323" spans="1:6" ht="14.4" thickBot="1" x14ac:dyDescent="0.35">
      <c r="A1323" s="4" t="s">
        <v>797</v>
      </c>
      <c r="B1323" s="4" t="s">
        <v>798</v>
      </c>
      <c r="C1323" s="4" t="s">
        <v>797</v>
      </c>
      <c r="D1323" s="4" t="s">
        <v>1840</v>
      </c>
      <c r="E1323" s="4" t="s">
        <v>1841</v>
      </c>
      <c r="F1323" s="4" t="s">
        <v>1840</v>
      </c>
    </row>
    <row r="1324" spans="1:6" ht="14.4" thickBot="1" x14ac:dyDescent="0.35">
      <c r="A1324" s="4" t="s">
        <v>797</v>
      </c>
      <c r="B1324" s="4" t="s">
        <v>798</v>
      </c>
      <c r="C1324" s="4" t="s">
        <v>797</v>
      </c>
      <c r="D1324" s="4" t="s">
        <v>3256</v>
      </c>
      <c r="E1324" s="4" t="s">
        <v>3257</v>
      </c>
      <c r="F1324" s="4" t="s">
        <v>3256</v>
      </c>
    </row>
    <row r="1325" spans="1:6" ht="14.4" thickBot="1" x14ac:dyDescent="0.35">
      <c r="A1325" s="4" t="s">
        <v>797</v>
      </c>
      <c r="B1325" s="4" t="s">
        <v>798</v>
      </c>
      <c r="C1325" s="4" t="s">
        <v>797</v>
      </c>
      <c r="D1325" s="4" t="s">
        <v>1842</v>
      </c>
      <c r="E1325" s="4" t="s">
        <v>1843</v>
      </c>
      <c r="F1325" s="4" t="s">
        <v>1842</v>
      </c>
    </row>
    <row r="1326" spans="1:6" ht="14.4" thickBot="1" x14ac:dyDescent="0.35">
      <c r="A1326" s="4" t="s">
        <v>797</v>
      </c>
      <c r="B1326" s="4" t="s">
        <v>798</v>
      </c>
      <c r="C1326" s="4" t="s">
        <v>797</v>
      </c>
      <c r="D1326" s="4" t="s">
        <v>2486</v>
      </c>
      <c r="E1326" s="4" t="s">
        <v>2487</v>
      </c>
      <c r="F1326" s="4" t="s">
        <v>2486</v>
      </c>
    </row>
    <row r="1327" spans="1:6" ht="14.4" thickBot="1" x14ac:dyDescent="0.35">
      <c r="A1327" s="4" t="s">
        <v>797</v>
      </c>
      <c r="B1327" s="4" t="s">
        <v>798</v>
      </c>
      <c r="C1327" s="4" t="s">
        <v>797</v>
      </c>
      <c r="D1327" s="4" t="s">
        <v>4665</v>
      </c>
      <c r="E1327" s="4" t="s">
        <v>4666</v>
      </c>
      <c r="F1327" s="4" t="s">
        <v>4665</v>
      </c>
    </row>
    <row r="1328" spans="1:6" ht="14.4" thickBot="1" x14ac:dyDescent="0.35">
      <c r="A1328" s="4" t="s">
        <v>797</v>
      </c>
      <c r="B1328" s="4" t="s">
        <v>798</v>
      </c>
      <c r="C1328" s="4" t="s">
        <v>797</v>
      </c>
      <c r="D1328" s="4" t="s">
        <v>6060</v>
      </c>
      <c r="E1328" s="4" t="s">
        <v>6061</v>
      </c>
      <c r="F1328" s="4" t="s">
        <v>6060</v>
      </c>
    </row>
    <row r="1329" spans="1:6" ht="14.4" thickBot="1" x14ac:dyDescent="0.35">
      <c r="A1329" s="4" t="s">
        <v>797</v>
      </c>
      <c r="B1329" s="4" t="s">
        <v>798</v>
      </c>
      <c r="C1329" s="4" t="s">
        <v>797</v>
      </c>
      <c r="D1329" s="4" t="s">
        <v>801</v>
      </c>
      <c r="E1329" s="4" t="s">
        <v>802</v>
      </c>
      <c r="F1329" s="4" t="s">
        <v>801</v>
      </c>
    </row>
    <row r="1330" spans="1:6" ht="14.4" thickBot="1" x14ac:dyDescent="0.35">
      <c r="A1330" s="4" t="s">
        <v>797</v>
      </c>
      <c r="B1330" s="4" t="s">
        <v>798</v>
      </c>
      <c r="C1330" s="4" t="s">
        <v>797</v>
      </c>
      <c r="D1330" s="4" t="s">
        <v>6058</v>
      </c>
      <c r="E1330" s="4" t="s">
        <v>6059</v>
      </c>
      <c r="F1330" s="4" t="s">
        <v>6058</v>
      </c>
    </row>
    <row r="1331" spans="1:6" ht="14.4" thickBot="1" x14ac:dyDescent="0.35">
      <c r="A1331" s="4" t="s">
        <v>797</v>
      </c>
      <c r="B1331" s="4" t="s">
        <v>798</v>
      </c>
      <c r="C1331" s="4" t="s">
        <v>797</v>
      </c>
      <c r="D1331" s="4" t="s">
        <v>3962</v>
      </c>
      <c r="E1331" s="4" t="s">
        <v>3963</v>
      </c>
      <c r="F1331" s="4" t="s">
        <v>3962</v>
      </c>
    </row>
    <row r="1332" spans="1:6" ht="14.4" thickBot="1" x14ac:dyDescent="0.35">
      <c r="A1332" s="4" t="s">
        <v>797</v>
      </c>
      <c r="B1332" s="4" t="s">
        <v>798</v>
      </c>
      <c r="C1332" s="4" t="s">
        <v>797</v>
      </c>
      <c r="D1332" s="4" t="s">
        <v>4663</v>
      </c>
      <c r="E1332" s="4" t="s">
        <v>4664</v>
      </c>
      <c r="F1332" s="4" t="s">
        <v>4663</v>
      </c>
    </row>
    <row r="1333" spans="1:6" ht="14.4" thickBot="1" x14ac:dyDescent="0.35">
      <c r="A1333" s="4" t="s">
        <v>797</v>
      </c>
      <c r="B1333" s="4" t="s">
        <v>798</v>
      </c>
      <c r="C1333" s="4" t="s">
        <v>797</v>
      </c>
      <c r="D1333" s="4" t="s">
        <v>1694</v>
      </c>
      <c r="E1333" s="4" t="s">
        <v>1695</v>
      </c>
      <c r="F1333" s="4" t="s">
        <v>1694</v>
      </c>
    </row>
    <row r="1334" spans="1:6" ht="14.4" thickBot="1" x14ac:dyDescent="0.35">
      <c r="A1334" s="4" t="s">
        <v>797</v>
      </c>
      <c r="B1334" s="4" t="s">
        <v>798</v>
      </c>
      <c r="C1334" s="4" t="s">
        <v>797</v>
      </c>
      <c r="D1334" s="4" t="s">
        <v>6169</v>
      </c>
      <c r="E1334" s="4" t="s">
        <v>6170</v>
      </c>
      <c r="F1334" s="4" t="s">
        <v>6169</v>
      </c>
    </row>
    <row r="1335" spans="1:6" ht="14.4" thickBot="1" x14ac:dyDescent="0.35">
      <c r="A1335" s="4" t="s">
        <v>797</v>
      </c>
      <c r="B1335" s="4" t="s">
        <v>798</v>
      </c>
      <c r="C1335" s="4" t="s">
        <v>797</v>
      </c>
      <c r="D1335" s="4" t="s">
        <v>6167</v>
      </c>
      <c r="E1335" s="4" t="s">
        <v>6168</v>
      </c>
      <c r="F1335" s="4" t="s">
        <v>6167</v>
      </c>
    </row>
    <row r="1336" spans="1:6" ht="14.4" thickBot="1" x14ac:dyDescent="0.35">
      <c r="A1336" s="4" t="s">
        <v>797</v>
      </c>
      <c r="B1336" s="4" t="s">
        <v>798</v>
      </c>
      <c r="C1336" s="4" t="s">
        <v>797</v>
      </c>
      <c r="D1336" s="4" t="s">
        <v>1838</v>
      </c>
      <c r="E1336" s="4" t="s">
        <v>1839</v>
      </c>
      <c r="F1336" s="4" t="s">
        <v>1838</v>
      </c>
    </row>
    <row r="1337" spans="1:6" ht="14.4" thickBot="1" x14ac:dyDescent="0.35">
      <c r="A1337" s="4" t="s">
        <v>797</v>
      </c>
      <c r="B1337" s="4" t="s">
        <v>798</v>
      </c>
      <c r="C1337" s="4" t="s">
        <v>797</v>
      </c>
      <c r="D1337" s="4" t="s">
        <v>3956</v>
      </c>
      <c r="E1337" s="4" t="s">
        <v>3957</v>
      </c>
      <c r="F1337" s="4" t="s">
        <v>3956</v>
      </c>
    </row>
    <row r="1338" spans="1:6" ht="14.4" thickBot="1" x14ac:dyDescent="0.35">
      <c r="A1338" s="4" t="s">
        <v>797</v>
      </c>
      <c r="B1338" s="4" t="s">
        <v>798</v>
      </c>
      <c r="C1338" s="4" t="s">
        <v>797</v>
      </c>
      <c r="D1338" s="4" t="s">
        <v>5361</v>
      </c>
      <c r="E1338" s="4" t="s">
        <v>5362</v>
      </c>
      <c r="F1338" s="4" t="s">
        <v>5361</v>
      </c>
    </row>
    <row r="1339" spans="1:6" ht="14.4" thickBot="1" x14ac:dyDescent="0.35">
      <c r="A1339" s="4" t="s">
        <v>610</v>
      </c>
      <c r="B1339" s="4" t="s">
        <v>611</v>
      </c>
      <c r="C1339" s="4" t="s">
        <v>610</v>
      </c>
      <c r="D1339" s="4" t="s">
        <v>3765</v>
      </c>
      <c r="E1339" s="4" t="s">
        <v>3766</v>
      </c>
      <c r="F1339" s="4" t="s">
        <v>3765</v>
      </c>
    </row>
    <row r="1340" spans="1:6" ht="14.4" thickBot="1" x14ac:dyDescent="0.35">
      <c r="A1340" s="4" t="s">
        <v>610</v>
      </c>
      <c r="B1340" s="4" t="s">
        <v>611</v>
      </c>
      <c r="C1340" s="4" t="s">
        <v>610</v>
      </c>
      <c r="D1340" s="4" t="s">
        <v>4527</v>
      </c>
      <c r="E1340" s="4" t="s">
        <v>4528</v>
      </c>
      <c r="F1340" s="4" t="s">
        <v>4527</v>
      </c>
    </row>
    <row r="1341" spans="1:6" ht="14.4" thickBot="1" x14ac:dyDescent="0.35">
      <c r="A1341" s="4" t="s">
        <v>610</v>
      </c>
      <c r="B1341" s="4" t="s">
        <v>611</v>
      </c>
      <c r="C1341" s="4" t="s">
        <v>610</v>
      </c>
      <c r="D1341" s="4" t="s">
        <v>5903</v>
      </c>
      <c r="E1341" s="4" t="s">
        <v>5904</v>
      </c>
      <c r="F1341" s="4" t="s">
        <v>5903</v>
      </c>
    </row>
    <row r="1342" spans="1:6" ht="14.4" thickBot="1" x14ac:dyDescent="0.35">
      <c r="A1342" s="4" t="s">
        <v>610</v>
      </c>
      <c r="B1342" s="4" t="s">
        <v>611</v>
      </c>
      <c r="C1342" s="4" t="s">
        <v>610</v>
      </c>
      <c r="D1342" s="4" t="s">
        <v>4535</v>
      </c>
      <c r="E1342" s="4" t="s">
        <v>4536</v>
      </c>
      <c r="F1342" s="4" t="s">
        <v>4535</v>
      </c>
    </row>
    <row r="1343" spans="1:6" ht="14.4" thickBot="1" x14ac:dyDescent="0.35">
      <c r="A1343" s="4" t="s">
        <v>610</v>
      </c>
      <c r="B1343" s="4" t="s">
        <v>611</v>
      </c>
      <c r="C1343" s="4" t="s">
        <v>610</v>
      </c>
      <c r="D1343" s="4" t="s">
        <v>2268</v>
      </c>
      <c r="E1343" s="4" t="s">
        <v>2269</v>
      </c>
      <c r="F1343" s="4" t="s">
        <v>2268</v>
      </c>
    </row>
    <row r="1344" spans="1:6" ht="14.4" thickBot="1" x14ac:dyDescent="0.35">
      <c r="A1344" s="4" t="s">
        <v>610</v>
      </c>
      <c r="B1344" s="4" t="s">
        <v>611</v>
      </c>
      <c r="C1344" s="4" t="s">
        <v>610</v>
      </c>
      <c r="D1344" s="4" t="s">
        <v>1556</v>
      </c>
      <c r="E1344" s="4" t="s">
        <v>1557</v>
      </c>
      <c r="F1344" s="4" t="s">
        <v>1556</v>
      </c>
    </row>
    <row r="1345" spans="1:6" ht="14.4" thickBot="1" x14ac:dyDescent="0.35">
      <c r="A1345" s="4" t="s">
        <v>610</v>
      </c>
      <c r="B1345" s="4" t="s">
        <v>611</v>
      </c>
      <c r="C1345" s="4" t="s">
        <v>610</v>
      </c>
      <c r="D1345" s="4" t="s">
        <v>2266</v>
      </c>
      <c r="E1345" s="4" t="s">
        <v>2267</v>
      </c>
      <c r="F1345" s="4" t="s">
        <v>2266</v>
      </c>
    </row>
    <row r="1346" spans="1:6" ht="14.4" thickBot="1" x14ac:dyDescent="0.35">
      <c r="A1346" s="4" t="s">
        <v>610</v>
      </c>
      <c r="B1346" s="4" t="s">
        <v>611</v>
      </c>
      <c r="C1346" s="4" t="s">
        <v>610</v>
      </c>
      <c r="D1346" s="4" t="s">
        <v>5901</v>
      </c>
      <c r="E1346" s="4" t="s">
        <v>5902</v>
      </c>
      <c r="F1346" s="4" t="s">
        <v>5901</v>
      </c>
    </row>
    <row r="1347" spans="1:6" ht="14.4" thickBot="1" x14ac:dyDescent="0.35">
      <c r="A1347" s="4" t="s">
        <v>610</v>
      </c>
      <c r="B1347" s="4" t="s">
        <v>611</v>
      </c>
      <c r="C1347" s="4" t="s">
        <v>610</v>
      </c>
      <c r="D1347" s="4" t="s">
        <v>5218</v>
      </c>
      <c r="E1347" s="4" t="s">
        <v>5219</v>
      </c>
      <c r="F1347" s="4" t="s">
        <v>5218</v>
      </c>
    </row>
    <row r="1348" spans="1:6" ht="14.4" thickBot="1" x14ac:dyDescent="0.35">
      <c r="A1348" s="4" t="s">
        <v>610</v>
      </c>
      <c r="B1348" s="4" t="s">
        <v>611</v>
      </c>
      <c r="C1348" s="4" t="s">
        <v>610</v>
      </c>
      <c r="D1348" s="4" t="s">
        <v>5220</v>
      </c>
      <c r="E1348" s="4" t="s">
        <v>5221</v>
      </c>
      <c r="F1348" s="4" t="s">
        <v>5220</v>
      </c>
    </row>
    <row r="1349" spans="1:6" ht="14.4" thickBot="1" x14ac:dyDescent="0.35">
      <c r="A1349" s="4" t="s">
        <v>610</v>
      </c>
      <c r="B1349" s="4" t="s">
        <v>611</v>
      </c>
      <c r="C1349" s="4" t="s">
        <v>610</v>
      </c>
      <c r="D1349" s="4" t="s">
        <v>2272</v>
      </c>
      <c r="E1349" s="4" t="s">
        <v>2273</v>
      </c>
      <c r="F1349" s="4" t="s">
        <v>2272</v>
      </c>
    </row>
    <row r="1350" spans="1:6" ht="14.4" thickBot="1" x14ac:dyDescent="0.35">
      <c r="A1350" s="4" t="s">
        <v>610</v>
      </c>
      <c r="B1350" s="4" t="s">
        <v>611</v>
      </c>
      <c r="C1350" s="4" t="s">
        <v>610</v>
      </c>
      <c r="D1350" s="4" t="s">
        <v>4529</v>
      </c>
      <c r="E1350" s="4" t="s">
        <v>4530</v>
      </c>
      <c r="F1350" s="4" t="s">
        <v>4529</v>
      </c>
    </row>
    <row r="1351" spans="1:6" ht="14.4" thickBot="1" x14ac:dyDescent="0.35">
      <c r="A1351" s="4" t="s">
        <v>610</v>
      </c>
      <c r="B1351" s="4" t="s">
        <v>611</v>
      </c>
      <c r="C1351" s="4" t="s">
        <v>610</v>
      </c>
      <c r="D1351" s="4" t="s">
        <v>3763</v>
      </c>
      <c r="E1351" s="4" t="s">
        <v>3764</v>
      </c>
      <c r="F1351" s="4" t="s">
        <v>3763</v>
      </c>
    </row>
    <row r="1352" spans="1:6" ht="14.4" thickBot="1" x14ac:dyDescent="0.35">
      <c r="A1352" s="4" t="s">
        <v>610</v>
      </c>
      <c r="B1352" s="4" t="s">
        <v>611</v>
      </c>
      <c r="C1352" s="4" t="s">
        <v>610</v>
      </c>
      <c r="D1352" s="4" t="s">
        <v>612</v>
      </c>
      <c r="E1352" s="4" t="s">
        <v>613</v>
      </c>
      <c r="F1352" s="4" t="s">
        <v>612</v>
      </c>
    </row>
    <row r="1353" spans="1:6" ht="14.4" thickBot="1" x14ac:dyDescent="0.35">
      <c r="A1353" s="4" t="s">
        <v>610</v>
      </c>
      <c r="B1353" s="4" t="s">
        <v>611</v>
      </c>
      <c r="C1353" s="4" t="s">
        <v>610</v>
      </c>
      <c r="D1353" s="4" t="s">
        <v>1558</v>
      </c>
      <c r="E1353" s="4" t="s">
        <v>1559</v>
      </c>
      <c r="F1353" s="4" t="s">
        <v>1558</v>
      </c>
    </row>
    <row r="1354" spans="1:6" ht="14.4" thickBot="1" x14ac:dyDescent="0.35">
      <c r="A1354" s="4" t="s">
        <v>610</v>
      </c>
      <c r="B1354" s="4" t="s">
        <v>611</v>
      </c>
      <c r="C1354" s="4" t="s">
        <v>610</v>
      </c>
      <c r="D1354" s="4" t="s">
        <v>5899</v>
      </c>
      <c r="E1354" s="4" t="s">
        <v>5900</v>
      </c>
      <c r="F1354" s="4" t="s">
        <v>5899</v>
      </c>
    </row>
    <row r="1355" spans="1:6" ht="14.4" thickBot="1" x14ac:dyDescent="0.35">
      <c r="A1355" s="4" t="s">
        <v>610</v>
      </c>
      <c r="B1355" s="4" t="s">
        <v>611</v>
      </c>
      <c r="C1355" s="4" t="s">
        <v>610</v>
      </c>
      <c r="D1355" s="4" t="s">
        <v>2270</v>
      </c>
      <c r="E1355" s="4" t="s">
        <v>2271</v>
      </c>
      <c r="F1355" s="4" t="s">
        <v>2270</v>
      </c>
    </row>
    <row r="1356" spans="1:6" ht="14.4" thickBot="1" x14ac:dyDescent="0.35">
      <c r="A1356" s="4" t="s">
        <v>610</v>
      </c>
      <c r="B1356" s="4" t="s">
        <v>611</v>
      </c>
      <c r="C1356" s="4" t="s">
        <v>610</v>
      </c>
      <c r="D1356" s="4" t="s">
        <v>3759</v>
      </c>
      <c r="E1356" s="4" t="s">
        <v>3760</v>
      </c>
      <c r="F1356" s="4" t="s">
        <v>3759</v>
      </c>
    </row>
    <row r="1357" spans="1:6" ht="14.4" thickBot="1" x14ac:dyDescent="0.35">
      <c r="A1357" s="4" t="s">
        <v>610</v>
      </c>
      <c r="B1357" s="4" t="s">
        <v>611</v>
      </c>
      <c r="C1357" s="4" t="s">
        <v>610</v>
      </c>
      <c r="D1357" s="4" t="s">
        <v>3025</v>
      </c>
      <c r="E1357" s="4" t="s">
        <v>3026</v>
      </c>
      <c r="F1357" s="4" t="s">
        <v>3025</v>
      </c>
    </row>
    <row r="1358" spans="1:6" ht="14.4" thickBot="1" x14ac:dyDescent="0.35">
      <c r="A1358" s="4" t="s">
        <v>610</v>
      </c>
      <c r="B1358" s="4" t="s">
        <v>611</v>
      </c>
      <c r="C1358" s="4" t="s">
        <v>610</v>
      </c>
      <c r="D1358" s="4" t="s">
        <v>4533</v>
      </c>
      <c r="E1358" s="4" t="s">
        <v>4534</v>
      </c>
      <c r="F1358" s="4" t="s">
        <v>4533</v>
      </c>
    </row>
    <row r="1359" spans="1:6" ht="14.4" thickBot="1" x14ac:dyDescent="0.35">
      <c r="A1359" s="4" t="s">
        <v>610</v>
      </c>
      <c r="B1359" s="4" t="s">
        <v>611</v>
      </c>
      <c r="C1359" s="4" t="s">
        <v>610</v>
      </c>
      <c r="D1359" s="4" t="s">
        <v>3761</v>
      </c>
      <c r="E1359" s="4" t="s">
        <v>3762</v>
      </c>
      <c r="F1359" s="4" t="s">
        <v>3761</v>
      </c>
    </row>
    <row r="1360" spans="1:6" ht="14.4" thickBot="1" x14ac:dyDescent="0.35">
      <c r="A1360" s="4" t="s">
        <v>610</v>
      </c>
      <c r="B1360" s="4" t="s">
        <v>611</v>
      </c>
      <c r="C1360" s="4" t="s">
        <v>610</v>
      </c>
      <c r="D1360" s="4" t="s">
        <v>4531</v>
      </c>
      <c r="E1360" s="4" t="s">
        <v>4532</v>
      </c>
      <c r="F1360" s="4" t="s">
        <v>4531</v>
      </c>
    </row>
    <row r="1361" spans="1:6" ht="14.4" thickBot="1" x14ac:dyDescent="0.35">
      <c r="A1361" s="4" t="s">
        <v>805</v>
      </c>
      <c r="B1361" s="4" t="s">
        <v>806</v>
      </c>
      <c r="C1361" s="4" t="s">
        <v>805</v>
      </c>
      <c r="D1361" s="4" t="s">
        <v>5363</v>
      </c>
      <c r="E1361" s="4" t="s">
        <v>5364</v>
      </c>
      <c r="F1361" s="4" t="s">
        <v>5363</v>
      </c>
    </row>
    <row r="1362" spans="1:6" ht="14.4" thickBot="1" x14ac:dyDescent="0.35">
      <c r="A1362" s="4" t="s">
        <v>805</v>
      </c>
      <c r="B1362" s="4" t="s">
        <v>806</v>
      </c>
      <c r="C1362" s="4" t="s">
        <v>805</v>
      </c>
      <c r="D1362" s="4" t="s">
        <v>809</v>
      </c>
      <c r="E1362" s="4" t="s">
        <v>810</v>
      </c>
      <c r="F1362" s="4" t="s">
        <v>809</v>
      </c>
    </row>
    <row r="1363" spans="1:6" ht="14.4" thickBot="1" x14ac:dyDescent="0.35">
      <c r="A1363" s="4" t="s">
        <v>805</v>
      </c>
      <c r="B1363" s="4" t="s">
        <v>806</v>
      </c>
      <c r="C1363" s="4" t="s">
        <v>805</v>
      </c>
      <c r="D1363" s="4" t="s">
        <v>5365</v>
      </c>
      <c r="E1363" s="4" t="s">
        <v>5366</v>
      </c>
      <c r="F1363" s="4" t="s">
        <v>5365</v>
      </c>
    </row>
    <row r="1364" spans="1:6" ht="14.4" thickBot="1" x14ac:dyDescent="0.35">
      <c r="A1364" s="4" t="s">
        <v>805</v>
      </c>
      <c r="B1364" s="4" t="s">
        <v>806</v>
      </c>
      <c r="C1364" s="4" t="s">
        <v>805</v>
      </c>
      <c r="D1364" s="4" t="s">
        <v>4070</v>
      </c>
      <c r="E1364" s="4" t="s">
        <v>4071</v>
      </c>
      <c r="F1364" s="4" t="s">
        <v>4070</v>
      </c>
    </row>
    <row r="1365" spans="1:6" ht="14.4" thickBot="1" x14ac:dyDescent="0.35">
      <c r="A1365" s="4" t="s">
        <v>805</v>
      </c>
      <c r="B1365" s="4" t="s">
        <v>806</v>
      </c>
      <c r="C1365" s="4" t="s">
        <v>805</v>
      </c>
      <c r="D1365" s="4" t="s">
        <v>4669</v>
      </c>
      <c r="E1365" s="4" t="s">
        <v>4670</v>
      </c>
      <c r="F1365" s="4" t="s">
        <v>4669</v>
      </c>
    </row>
    <row r="1366" spans="1:6" ht="14.4" thickBot="1" x14ac:dyDescent="0.35">
      <c r="A1366" s="4" t="s">
        <v>805</v>
      </c>
      <c r="B1366" s="4" t="s">
        <v>806</v>
      </c>
      <c r="C1366" s="4" t="s">
        <v>805</v>
      </c>
      <c r="D1366" s="4" t="s">
        <v>4776</v>
      </c>
      <c r="E1366" s="4" t="s">
        <v>4777</v>
      </c>
      <c r="F1366" s="4" t="s">
        <v>4776</v>
      </c>
    </row>
    <row r="1367" spans="1:6" ht="14.4" thickBot="1" x14ac:dyDescent="0.35">
      <c r="A1367" s="4" t="s">
        <v>805</v>
      </c>
      <c r="B1367" s="4" t="s">
        <v>806</v>
      </c>
      <c r="C1367" s="4" t="s">
        <v>805</v>
      </c>
      <c r="D1367" s="4" t="s">
        <v>4671</v>
      </c>
      <c r="E1367" s="4" t="s">
        <v>4672</v>
      </c>
      <c r="F1367" s="4" t="s">
        <v>4671</v>
      </c>
    </row>
    <row r="1368" spans="1:6" ht="14.4" thickBot="1" x14ac:dyDescent="0.35">
      <c r="A1368" s="4" t="s">
        <v>805</v>
      </c>
      <c r="B1368" s="4" t="s">
        <v>806</v>
      </c>
      <c r="C1368" s="4" t="s">
        <v>805</v>
      </c>
      <c r="D1368" s="4" t="s">
        <v>807</v>
      </c>
      <c r="E1368" s="4" t="s">
        <v>808</v>
      </c>
      <c r="F1368" s="4" t="s">
        <v>807</v>
      </c>
    </row>
    <row r="1369" spans="1:6" ht="14.4" thickBot="1" x14ac:dyDescent="0.35">
      <c r="A1369" s="4" t="s">
        <v>805</v>
      </c>
      <c r="B1369" s="4" t="s">
        <v>806</v>
      </c>
      <c r="C1369" s="4" t="s">
        <v>805</v>
      </c>
      <c r="D1369" s="4" t="s">
        <v>1698</v>
      </c>
      <c r="E1369" s="4" t="s">
        <v>1699</v>
      </c>
      <c r="F1369" s="4" t="s">
        <v>1698</v>
      </c>
    </row>
    <row r="1370" spans="1:6" ht="14.4" thickBot="1" x14ac:dyDescent="0.35">
      <c r="A1370" s="4" t="s">
        <v>805</v>
      </c>
      <c r="B1370" s="4" t="s">
        <v>806</v>
      </c>
      <c r="C1370" s="4" t="s">
        <v>805</v>
      </c>
      <c r="D1370" s="4" t="s">
        <v>3968</v>
      </c>
      <c r="E1370" s="4" t="s">
        <v>762</v>
      </c>
      <c r="F1370" s="4" t="s">
        <v>3968</v>
      </c>
    </row>
    <row r="1371" spans="1:6" ht="14.4" thickBot="1" x14ac:dyDescent="0.35">
      <c r="A1371" s="4" t="s">
        <v>805</v>
      </c>
      <c r="B1371" s="4" t="s">
        <v>806</v>
      </c>
      <c r="C1371" s="4" t="s">
        <v>805</v>
      </c>
      <c r="D1371" s="4" t="s">
        <v>1423</v>
      </c>
      <c r="E1371" s="4" t="s">
        <v>3971</v>
      </c>
      <c r="F1371" s="4" t="s">
        <v>1423</v>
      </c>
    </row>
    <row r="1372" spans="1:6" ht="14.4" thickBot="1" x14ac:dyDescent="0.35">
      <c r="A1372" s="4" t="s">
        <v>805</v>
      </c>
      <c r="B1372" s="4" t="s">
        <v>806</v>
      </c>
      <c r="C1372" s="4" t="s">
        <v>805</v>
      </c>
      <c r="D1372" s="4" t="s">
        <v>3155</v>
      </c>
      <c r="E1372" s="4" t="s">
        <v>3156</v>
      </c>
      <c r="F1372" s="4" t="s">
        <v>3155</v>
      </c>
    </row>
    <row r="1373" spans="1:6" ht="14.4" thickBot="1" x14ac:dyDescent="0.35">
      <c r="A1373" s="4" t="s">
        <v>805</v>
      </c>
      <c r="B1373" s="4" t="s">
        <v>806</v>
      </c>
      <c r="C1373" s="4" t="s">
        <v>805</v>
      </c>
      <c r="D1373" s="4" t="s">
        <v>2490</v>
      </c>
      <c r="E1373" s="4" t="s">
        <v>2491</v>
      </c>
      <c r="F1373" s="4" t="s">
        <v>2490</v>
      </c>
    </row>
    <row r="1374" spans="1:6" ht="14.4" thickBot="1" x14ac:dyDescent="0.35">
      <c r="A1374" s="4" t="s">
        <v>805</v>
      </c>
      <c r="B1374" s="4" t="s">
        <v>806</v>
      </c>
      <c r="C1374" s="4" t="s">
        <v>805</v>
      </c>
      <c r="D1374" s="4" t="s">
        <v>3969</v>
      </c>
      <c r="E1374" s="4" t="s">
        <v>3970</v>
      </c>
      <c r="F1374" s="4" t="s">
        <v>3969</v>
      </c>
    </row>
    <row r="1375" spans="1:6" ht="14.4" thickBot="1" x14ac:dyDescent="0.35">
      <c r="A1375" s="4" t="s">
        <v>805</v>
      </c>
      <c r="B1375" s="4" t="s">
        <v>806</v>
      </c>
      <c r="C1375" s="4" t="s">
        <v>805</v>
      </c>
      <c r="D1375" s="4" t="s">
        <v>6063</v>
      </c>
      <c r="E1375" s="4" t="s">
        <v>6064</v>
      </c>
      <c r="F1375" s="4" t="s">
        <v>6063</v>
      </c>
    </row>
    <row r="1376" spans="1:6" ht="14.4" thickBot="1" x14ac:dyDescent="0.35">
      <c r="A1376" s="4" t="s">
        <v>805</v>
      </c>
      <c r="B1376" s="4" t="s">
        <v>806</v>
      </c>
      <c r="C1376" s="4" t="s">
        <v>805</v>
      </c>
      <c r="D1376" s="4" t="s">
        <v>960</v>
      </c>
      <c r="E1376" s="4" t="s">
        <v>961</v>
      </c>
      <c r="F1376" s="4" t="s">
        <v>960</v>
      </c>
    </row>
    <row r="1377" spans="1:6" ht="14.4" thickBot="1" x14ac:dyDescent="0.35">
      <c r="A1377" s="4" t="s">
        <v>805</v>
      </c>
      <c r="B1377" s="4" t="s">
        <v>806</v>
      </c>
      <c r="C1377" s="4" t="s">
        <v>805</v>
      </c>
      <c r="D1377" s="4" t="s">
        <v>3966</v>
      </c>
      <c r="E1377" s="4" t="s">
        <v>3967</v>
      </c>
      <c r="F1377" s="4" t="s">
        <v>3966</v>
      </c>
    </row>
    <row r="1378" spans="1:6" ht="14.4" thickBot="1" x14ac:dyDescent="0.35">
      <c r="A1378" s="4" t="s">
        <v>614</v>
      </c>
      <c r="B1378" s="4" t="s">
        <v>615</v>
      </c>
      <c r="C1378" s="4" t="s">
        <v>614</v>
      </c>
      <c r="D1378" s="4" t="s">
        <v>3775</v>
      </c>
      <c r="E1378" s="4" t="s">
        <v>3776</v>
      </c>
      <c r="F1378" s="4" t="s">
        <v>3775</v>
      </c>
    </row>
    <row r="1379" spans="1:6" ht="14.4" thickBot="1" x14ac:dyDescent="0.35">
      <c r="A1379" s="4" t="s">
        <v>614</v>
      </c>
      <c r="B1379" s="4" t="s">
        <v>615</v>
      </c>
      <c r="C1379" s="4" t="s">
        <v>614</v>
      </c>
      <c r="D1379" s="4" t="s">
        <v>660</v>
      </c>
      <c r="E1379" s="4" t="s">
        <v>661</v>
      </c>
      <c r="F1379" s="4" t="s">
        <v>660</v>
      </c>
    </row>
    <row r="1380" spans="1:6" ht="14.4" thickBot="1" x14ac:dyDescent="0.35">
      <c r="A1380" s="4" t="s">
        <v>614</v>
      </c>
      <c r="B1380" s="4" t="s">
        <v>615</v>
      </c>
      <c r="C1380" s="4" t="s">
        <v>614</v>
      </c>
      <c r="D1380" s="4" t="s">
        <v>5234</v>
      </c>
      <c r="E1380" s="4" t="s">
        <v>5235</v>
      </c>
      <c r="F1380" s="4" t="s">
        <v>5234</v>
      </c>
    </row>
    <row r="1381" spans="1:6" ht="14.4" thickBot="1" x14ac:dyDescent="0.35">
      <c r="A1381" s="4" t="s">
        <v>614</v>
      </c>
      <c r="B1381" s="4" t="s">
        <v>615</v>
      </c>
      <c r="C1381" s="4" t="s">
        <v>614</v>
      </c>
      <c r="D1381" s="4" t="s">
        <v>5910</v>
      </c>
      <c r="E1381" s="4" t="s">
        <v>5911</v>
      </c>
      <c r="F1381" s="4" t="s">
        <v>5910</v>
      </c>
    </row>
    <row r="1382" spans="1:6" ht="14.4" thickBot="1" x14ac:dyDescent="0.35">
      <c r="A1382" s="4" t="s">
        <v>614</v>
      </c>
      <c r="B1382" s="4" t="s">
        <v>615</v>
      </c>
      <c r="C1382" s="4" t="s">
        <v>614</v>
      </c>
      <c r="D1382" s="4" t="s">
        <v>667</v>
      </c>
      <c r="E1382" s="4" t="s">
        <v>5909</v>
      </c>
      <c r="F1382" s="4" t="s">
        <v>667</v>
      </c>
    </row>
    <row r="1383" spans="1:6" ht="14.4" thickBot="1" x14ac:dyDescent="0.35">
      <c r="A1383" s="4" t="s">
        <v>614</v>
      </c>
      <c r="B1383" s="4" t="s">
        <v>615</v>
      </c>
      <c r="C1383" s="4" t="s">
        <v>614</v>
      </c>
      <c r="D1383" s="4" t="s">
        <v>3047</v>
      </c>
      <c r="E1383" s="4" t="s">
        <v>3048</v>
      </c>
      <c r="F1383" s="4" t="s">
        <v>3047</v>
      </c>
    </row>
    <row r="1384" spans="1:6" ht="14.4" thickBot="1" x14ac:dyDescent="0.35">
      <c r="A1384" s="4" t="s">
        <v>614</v>
      </c>
      <c r="B1384" s="4" t="s">
        <v>615</v>
      </c>
      <c r="C1384" s="4" t="s">
        <v>614</v>
      </c>
      <c r="D1384" s="4" t="s">
        <v>1584</v>
      </c>
      <c r="E1384" s="4" t="s">
        <v>1585</v>
      </c>
      <c r="F1384" s="4" t="s">
        <v>1584</v>
      </c>
    </row>
    <row r="1385" spans="1:6" ht="14.4" thickBot="1" x14ac:dyDescent="0.35">
      <c r="A1385" s="4" t="s">
        <v>614</v>
      </c>
      <c r="B1385" s="4" t="s">
        <v>615</v>
      </c>
      <c r="C1385" s="4" t="s">
        <v>614</v>
      </c>
      <c r="D1385" s="4" t="s">
        <v>1450</v>
      </c>
      <c r="E1385" s="4" t="s">
        <v>3800</v>
      </c>
      <c r="F1385" s="4" t="s">
        <v>1450</v>
      </c>
    </row>
    <row r="1386" spans="1:6" ht="14.4" thickBot="1" x14ac:dyDescent="0.35">
      <c r="A1386" s="4" t="s">
        <v>614</v>
      </c>
      <c r="B1386" s="4" t="s">
        <v>615</v>
      </c>
      <c r="C1386" s="4" t="s">
        <v>614</v>
      </c>
      <c r="D1386" s="4" t="s">
        <v>4553</v>
      </c>
      <c r="E1386" s="4" t="s">
        <v>4554</v>
      </c>
      <c r="F1386" s="4" t="s">
        <v>4553</v>
      </c>
    </row>
    <row r="1387" spans="1:6" ht="14.4" thickBot="1" x14ac:dyDescent="0.35">
      <c r="A1387" s="4" t="s">
        <v>614</v>
      </c>
      <c r="B1387" s="4" t="s">
        <v>615</v>
      </c>
      <c r="C1387" s="4" t="s">
        <v>614</v>
      </c>
      <c r="D1387" s="4" t="s">
        <v>1580</v>
      </c>
      <c r="E1387" s="4" t="s">
        <v>1581</v>
      </c>
      <c r="F1387" s="4" t="s">
        <v>1580</v>
      </c>
    </row>
    <row r="1388" spans="1:6" ht="14.4" thickBot="1" x14ac:dyDescent="0.35">
      <c r="A1388" s="4" t="s">
        <v>614</v>
      </c>
      <c r="B1388" s="4" t="s">
        <v>615</v>
      </c>
      <c r="C1388" s="4" t="s">
        <v>614</v>
      </c>
      <c r="D1388" s="4" t="s">
        <v>640</v>
      </c>
      <c r="E1388" s="4" t="s">
        <v>641</v>
      </c>
      <c r="F1388" s="4" t="s">
        <v>640</v>
      </c>
    </row>
    <row r="1389" spans="1:6" ht="14.4" thickBot="1" x14ac:dyDescent="0.35">
      <c r="A1389" s="4" t="s">
        <v>614</v>
      </c>
      <c r="B1389" s="4" t="s">
        <v>615</v>
      </c>
      <c r="C1389" s="4" t="s">
        <v>614</v>
      </c>
      <c r="D1389" s="4" t="s">
        <v>1582</v>
      </c>
      <c r="E1389" s="4" t="s">
        <v>1583</v>
      </c>
      <c r="F1389" s="4" t="s">
        <v>1582</v>
      </c>
    </row>
    <row r="1390" spans="1:6" ht="14.4" thickBot="1" x14ac:dyDescent="0.35">
      <c r="A1390" s="4" t="s">
        <v>614</v>
      </c>
      <c r="B1390" s="4" t="s">
        <v>615</v>
      </c>
      <c r="C1390" s="4" t="s">
        <v>614</v>
      </c>
      <c r="D1390" s="4" t="s">
        <v>1578</v>
      </c>
      <c r="E1390" s="4" t="s">
        <v>1579</v>
      </c>
      <c r="F1390" s="4" t="s">
        <v>1578</v>
      </c>
    </row>
    <row r="1391" spans="1:6" ht="14.4" thickBot="1" x14ac:dyDescent="0.35">
      <c r="A1391" s="4" t="s">
        <v>614</v>
      </c>
      <c r="B1391" s="4" t="s">
        <v>615</v>
      </c>
      <c r="C1391" s="4" t="s">
        <v>614</v>
      </c>
      <c r="D1391" s="4" t="s">
        <v>5922</v>
      </c>
      <c r="E1391" s="4" t="s">
        <v>5923</v>
      </c>
      <c r="F1391" s="4" t="s">
        <v>5922</v>
      </c>
    </row>
    <row r="1392" spans="1:6" ht="14.4" thickBot="1" x14ac:dyDescent="0.35">
      <c r="A1392" s="4" t="s">
        <v>614</v>
      </c>
      <c r="B1392" s="4" t="s">
        <v>615</v>
      </c>
      <c r="C1392" s="4" t="s">
        <v>614</v>
      </c>
      <c r="D1392" s="4" t="s">
        <v>5228</v>
      </c>
      <c r="E1392" s="4" t="s">
        <v>5229</v>
      </c>
      <c r="F1392" s="4" t="s">
        <v>5228</v>
      </c>
    </row>
    <row r="1393" spans="1:6" ht="14.4" thickBot="1" x14ac:dyDescent="0.35">
      <c r="A1393" s="4" t="s">
        <v>614</v>
      </c>
      <c r="B1393" s="4" t="s">
        <v>615</v>
      </c>
      <c r="C1393" s="4" t="s">
        <v>614</v>
      </c>
      <c r="D1393" s="4" t="s">
        <v>3777</v>
      </c>
      <c r="E1393" s="4" t="s">
        <v>3778</v>
      </c>
      <c r="F1393" s="4" t="s">
        <v>3777</v>
      </c>
    </row>
    <row r="1394" spans="1:6" ht="14.4" thickBot="1" x14ac:dyDescent="0.35">
      <c r="A1394" s="4" t="s">
        <v>614</v>
      </c>
      <c r="B1394" s="4" t="s">
        <v>615</v>
      </c>
      <c r="C1394" s="4" t="s">
        <v>614</v>
      </c>
      <c r="D1394" s="4" t="s">
        <v>5226</v>
      </c>
      <c r="E1394" s="4" t="s">
        <v>5227</v>
      </c>
      <c r="F1394" s="4" t="s">
        <v>5226</v>
      </c>
    </row>
    <row r="1395" spans="1:6" ht="14.4" thickBot="1" x14ac:dyDescent="0.35">
      <c r="A1395" s="4" t="s">
        <v>614</v>
      </c>
      <c r="B1395" s="4" t="s">
        <v>615</v>
      </c>
      <c r="C1395" s="4" t="s">
        <v>614</v>
      </c>
      <c r="D1395" s="4" t="s">
        <v>3045</v>
      </c>
      <c r="E1395" s="4" t="s">
        <v>3046</v>
      </c>
      <c r="F1395" s="4" t="s">
        <v>3045</v>
      </c>
    </row>
    <row r="1396" spans="1:6" ht="14.4" thickBot="1" x14ac:dyDescent="0.35">
      <c r="A1396" s="4" t="s">
        <v>614</v>
      </c>
      <c r="B1396" s="4" t="s">
        <v>615</v>
      </c>
      <c r="C1396" s="4" t="s">
        <v>614</v>
      </c>
      <c r="D1396" s="4" t="s">
        <v>3029</v>
      </c>
      <c r="E1396" s="4" t="s">
        <v>3030</v>
      </c>
      <c r="F1396" s="4" t="s">
        <v>3029</v>
      </c>
    </row>
    <row r="1397" spans="1:6" ht="14.4" thickBot="1" x14ac:dyDescent="0.35">
      <c r="A1397" s="4" t="s">
        <v>614</v>
      </c>
      <c r="B1397" s="4" t="s">
        <v>615</v>
      </c>
      <c r="C1397" s="4" t="s">
        <v>614</v>
      </c>
      <c r="D1397" s="4" t="s">
        <v>658</v>
      </c>
      <c r="E1397" s="4" t="s">
        <v>659</v>
      </c>
      <c r="F1397" s="4" t="s">
        <v>658</v>
      </c>
    </row>
    <row r="1398" spans="1:6" ht="14.4" thickBot="1" x14ac:dyDescent="0.35">
      <c r="A1398" s="4" t="s">
        <v>614</v>
      </c>
      <c r="B1398" s="4" t="s">
        <v>615</v>
      </c>
      <c r="C1398" s="4" t="s">
        <v>614</v>
      </c>
      <c r="D1398" s="4" t="s">
        <v>3796</v>
      </c>
      <c r="E1398" s="4" t="s">
        <v>3797</v>
      </c>
      <c r="F1398" s="4" t="s">
        <v>3796</v>
      </c>
    </row>
    <row r="1399" spans="1:6" ht="14.4" thickBot="1" x14ac:dyDescent="0.35">
      <c r="A1399" s="4" t="s">
        <v>614</v>
      </c>
      <c r="B1399" s="4" t="s">
        <v>615</v>
      </c>
      <c r="C1399" s="4" t="s">
        <v>614</v>
      </c>
      <c r="D1399" s="4" t="s">
        <v>626</v>
      </c>
      <c r="E1399" s="4" t="s">
        <v>627</v>
      </c>
      <c r="F1399" s="4" t="s">
        <v>626</v>
      </c>
    </row>
    <row r="1400" spans="1:6" ht="14.4" thickBot="1" x14ac:dyDescent="0.35">
      <c r="A1400" s="4" t="s">
        <v>614</v>
      </c>
      <c r="B1400" s="4" t="s">
        <v>615</v>
      </c>
      <c r="C1400" s="4" t="s">
        <v>614</v>
      </c>
      <c r="D1400" s="4" t="s">
        <v>3035</v>
      </c>
      <c r="E1400" s="4" t="s">
        <v>3036</v>
      </c>
      <c r="F1400" s="4" t="s">
        <v>3035</v>
      </c>
    </row>
    <row r="1401" spans="1:6" ht="14.4" thickBot="1" x14ac:dyDescent="0.35">
      <c r="A1401" s="4" t="s">
        <v>614</v>
      </c>
      <c r="B1401" s="4" t="s">
        <v>615</v>
      </c>
      <c r="C1401" s="4" t="s">
        <v>614</v>
      </c>
      <c r="D1401" s="4" t="s">
        <v>2280</v>
      </c>
      <c r="E1401" s="4" t="s">
        <v>2281</v>
      </c>
      <c r="F1401" s="4" t="s">
        <v>2280</v>
      </c>
    </row>
    <row r="1402" spans="1:6" ht="14.4" thickBot="1" x14ac:dyDescent="0.35">
      <c r="A1402" s="4" t="s">
        <v>614</v>
      </c>
      <c r="B1402" s="4" t="s">
        <v>615</v>
      </c>
      <c r="C1402" s="4" t="s">
        <v>614</v>
      </c>
      <c r="D1402" s="4" t="s">
        <v>2288</v>
      </c>
      <c r="E1402" s="4" t="s">
        <v>2289</v>
      </c>
      <c r="F1402" s="4" t="s">
        <v>2288</v>
      </c>
    </row>
    <row r="1403" spans="1:6" ht="14.4" thickBot="1" x14ac:dyDescent="0.35">
      <c r="A1403" s="4" t="s">
        <v>614</v>
      </c>
      <c r="B1403" s="4" t="s">
        <v>615</v>
      </c>
      <c r="C1403" s="4" t="s">
        <v>614</v>
      </c>
      <c r="D1403" s="4" t="s">
        <v>4552</v>
      </c>
      <c r="E1403" s="4" t="s">
        <v>1272</v>
      </c>
      <c r="F1403" s="4" t="s">
        <v>4552</v>
      </c>
    </row>
    <row r="1404" spans="1:6" ht="14.4" thickBot="1" x14ac:dyDescent="0.35">
      <c r="A1404" s="4" t="s">
        <v>614</v>
      </c>
      <c r="B1404" s="4" t="s">
        <v>615</v>
      </c>
      <c r="C1404" s="4" t="s">
        <v>614</v>
      </c>
      <c r="D1404" s="4" t="s">
        <v>622</v>
      </c>
      <c r="E1404" s="4" t="s">
        <v>623</v>
      </c>
      <c r="F1404" s="4" t="s">
        <v>622</v>
      </c>
    </row>
    <row r="1405" spans="1:6" ht="14.4" thickBot="1" x14ac:dyDescent="0.35">
      <c r="A1405" s="4" t="s">
        <v>614</v>
      </c>
      <c r="B1405" s="4" t="s">
        <v>615</v>
      </c>
      <c r="C1405" s="4" t="s">
        <v>614</v>
      </c>
      <c r="D1405" s="4" t="s">
        <v>2278</v>
      </c>
      <c r="E1405" s="4" t="s">
        <v>2279</v>
      </c>
      <c r="F1405" s="4" t="s">
        <v>2278</v>
      </c>
    </row>
    <row r="1406" spans="1:6" ht="14.4" thickBot="1" x14ac:dyDescent="0.35">
      <c r="A1406" s="4" t="s">
        <v>614</v>
      </c>
      <c r="B1406" s="4" t="s">
        <v>615</v>
      </c>
      <c r="C1406" s="4" t="s">
        <v>614</v>
      </c>
      <c r="D1406" s="4" t="s">
        <v>5222</v>
      </c>
      <c r="E1406" s="4" t="s">
        <v>5223</v>
      </c>
      <c r="F1406" s="4" t="s">
        <v>5222</v>
      </c>
    </row>
    <row r="1407" spans="1:6" ht="14.4" thickBot="1" x14ac:dyDescent="0.35">
      <c r="A1407" s="4" t="s">
        <v>614</v>
      </c>
      <c r="B1407" s="4" t="s">
        <v>615</v>
      </c>
      <c r="C1407" s="4" t="s">
        <v>614</v>
      </c>
      <c r="D1407" s="4" t="s">
        <v>3767</v>
      </c>
      <c r="E1407" s="4" t="s">
        <v>3768</v>
      </c>
      <c r="F1407" s="4" t="s">
        <v>3767</v>
      </c>
    </row>
    <row r="1408" spans="1:6" ht="14.4" thickBot="1" x14ac:dyDescent="0.35">
      <c r="A1408" s="4" t="s">
        <v>614</v>
      </c>
      <c r="B1408" s="4" t="s">
        <v>615</v>
      </c>
      <c r="C1408" s="4" t="s">
        <v>614</v>
      </c>
      <c r="D1408" s="4" t="s">
        <v>5905</v>
      </c>
      <c r="E1408" s="4" t="s">
        <v>5906</v>
      </c>
      <c r="F1408" s="4" t="s">
        <v>5905</v>
      </c>
    </row>
    <row r="1409" spans="1:6" ht="14.4" thickBot="1" x14ac:dyDescent="0.35">
      <c r="A1409" s="4" t="s">
        <v>614</v>
      </c>
      <c r="B1409" s="4" t="s">
        <v>615</v>
      </c>
      <c r="C1409" s="4" t="s">
        <v>614</v>
      </c>
      <c r="D1409" s="4" t="s">
        <v>5920</v>
      </c>
      <c r="E1409" s="4" t="s">
        <v>5921</v>
      </c>
      <c r="F1409" s="4" t="s">
        <v>5920</v>
      </c>
    </row>
    <row r="1410" spans="1:6" ht="14.4" thickBot="1" x14ac:dyDescent="0.35">
      <c r="A1410" s="4" t="s">
        <v>614</v>
      </c>
      <c r="B1410" s="4" t="s">
        <v>615</v>
      </c>
      <c r="C1410" s="4" t="s">
        <v>614</v>
      </c>
      <c r="D1410" s="4" t="s">
        <v>5230</v>
      </c>
      <c r="E1410" s="4" t="s">
        <v>5231</v>
      </c>
      <c r="F1410" s="4" t="s">
        <v>5230</v>
      </c>
    </row>
    <row r="1411" spans="1:6" ht="14.4" thickBot="1" x14ac:dyDescent="0.35">
      <c r="A1411" s="4" t="s">
        <v>614</v>
      </c>
      <c r="B1411" s="4" t="s">
        <v>615</v>
      </c>
      <c r="C1411" s="4" t="s">
        <v>614</v>
      </c>
      <c r="D1411" s="4" t="s">
        <v>5924</v>
      </c>
      <c r="E1411" s="4" t="s">
        <v>2754</v>
      </c>
      <c r="F1411" s="4" t="s">
        <v>5924</v>
      </c>
    </row>
    <row r="1412" spans="1:6" ht="14.4" thickBot="1" x14ac:dyDescent="0.35">
      <c r="A1412" s="4" t="s">
        <v>614</v>
      </c>
      <c r="B1412" s="4" t="s">
        <v>615</v>
      </c>
      <c r="C1412" s="4" t="s">
        <v>614</v>
      </c>
      <c r="D1412" s="4" t="s">
        <v>3043</v>
      </c>
      <c r="E1412" s="4" t="s">
        <v>3044</v>
      </c>
      <c r="F1412" s="4" t="s">
        <v>3043</v>
      </c>
    </row>
    <row r="1413" spans="1:6" ht="14.4" thickBot="1" x14ac:dyDescent="0.35">
      <c r="A1413" s="4" t="s">
        <v>614</v>
      </c>
      <c r="B1413" s="4" t="s">
        <v>615</v>
      </c>
      <c r="C1413" s="4" t="s">
        <v>614</v>
      </c>
      <c r="D1413" s="4" t="s">
        <v>3791</v>
      </c>
      <c r="E1413" s="4" t="s">
        <v>3792</v>
      </c>
      <c r="F1413" s="4" t="s">
        <v>3791</v>
      </c>
    </row>
    <row r="1414" spans="1:6" ht="14.4" thickBot="1" x14ac:dyDescent="0.35">
      <c r="A1414" s="4" t="s">
        <v>614</v>
      </c>
      <c r="B1414" s="4" t="s">
        <v>615</v>
      </c>
      <c r="C1414" s="4" t="s">
        <v>614</v>
      </c>
      <c r="D1414" s="4" t="s">
        <v>636</v>
      </c>
      <c r="E1414" s="4" t="s">
        <v>637</v>
      </c>
      <c r="F1414" s="4" t="s">
        <v>636</v>
      </c>
    </row>
    <row r="1415" spans="1:6" ht="14.4" thickBot="1" x14ac:dyDescent="0.35">
      <c r="A1415" s="4" t="s">
        <v>614</v>
      </c>
      <c r="B1415" s="4" t="s">
        <v>615</v>
      </c>
      <c r="C1415" s="4" t="s">
        <v>614</v>
      </c>
      <c r="D1415" s="4" t="s">
        <v>3789</v>
      </c>
      <c r="E1415" s="4" t="s">
        <v>3790</v>
      </c>
      <c r="F1415" s="4" t="s">
        <v>3789</v>
      </c>
    </row>
    <row r="1416" spans="1:6" ht="14.4" thickBot="1" x14ac:dyDescent="0.35">
      <c r="A1416" s="4" t="s">
        <v>614</v>
      </c>
      <c r="B1416" s="4" t="s">
        <v>615</v>
      </c>
      <c r="C1416" s="4" t="s">
        <v>614</v>
      </c>
      <c r="D1416" s="4" t="s">
        <v>2286</v>
      </c>
      <c r="E1416" s="4" t="s">
        <v>2287</v>
      </c>
      <c r="F1416" s="4" t="s">
        <v>2286</v>
      </c>
    </row>
    <row r="1417" spans="1:6" ht="14.4" thickBot="1" x14ac:dyDescent="0.35">
      <c r="A1417" s="4" t="s">
        <v>614</v>
      </c>
      <c r="B1417" s="4" t="s">
        <v>615</v>
      </c>
      <c r="C1417" s="4" t="s">
        <v>614</v>
      </c>
      <c r="D1417" s="4" t="s">
        <v>5238</v>
      </c>
      <c r="E1417" s="4" t="s">
        <v>5239</v>
      </c>
      <c r="F1417" s="4" t="s">
        <v>5238</v>
      </c>
    </row>
    <row r="1418" spans="1:6" ht="14.4" thickBot="1" x14ac:dyDescent="0.35">
      <c r="A1418" s="4" t="s">
        <v>614</v>
      </c>
      <c r="B1418" s="4" t="s">
        <v>615</v>
      </c>
      <c r="C1418" s="4" t="s">
        <v>614</v>
      </c>
      <c r="D1418" s="4" t="s">
        <v>5907</v>
      </c>
      <c r="E1418" s="4" t="s">
        <v>5908</v>
      </c>
      <c r="F1418" s="4" t="s">
        <v>5907</v>
      </c>
    </row>
    <row r="1419" spans="1:6" ht="14.4" thickBot="1" x14ac:dyDescent="0.35">
      <c r="A1419" s="4" t="s">
        <v>614</v>
      </c>
      <c r="B1419" s="4" t="s">
        <v>615</v>
      </c>
      <c r="C1419" s="4" t="s">
        <v>614</v>
      </c>
      <c r="D1419" s="4" t="s">
        <v>5248</v>
      </c>
      <c r="E1419" s="4" t="s">
        <v>5249</v>
      </c>
      <c r="F1419" s="4" t="s">
        <v>5248</v>
      </c>
    </row>
    <row r="1420" spans="1:6" ht="14.4" thickBot="1" x14ac:dyDescent="0.35">
      <c r="A1420" s="4" t="s">
        <v>614</v>
      </c>
      <c r="B1420" s="4" t="s">
        <v>615</v>
      </c>
      <c r="C1420" s="4" t="s">
        <v>614</v>
      </c>
      <c r="D1420" s="4" t="s">
        <v>648</v>
      </c>
      <c r="E1420" s="4" t="s">
        <v>649</v>
      </c>
      <c r="F1420" s="4" t="s">
        <v>648</v>
      </c>
    </row>
    <row r="1421" spans="1:6" ht="14.4" thickBot="1" x14ac:dyDescent="0.35">
      <c r="A1421" s="4" t="s">
        <v>614</v>
      </c>
      <c r="B1421" s="4" t="s">
        <v>615</v>
      </c>
      <c r="C1421" s="4" t="s">
        <v>614</v>
      </c>
      <c r="D1421" s="4" t="s">
        <v>642</v>
      </c>
      <c r="E1421" s="4" t="s">
        <v>643</v>
      </c>
      <c r="F1421" s="4" t="s">
        <v>642</v>
      </c>
    </row>
    <row r="1422" spans="1:6" ht="14.4" thickBot="1" x14ac:dyDescent="0.35">
      <c r="A1422" s="4" t="s">
        <v>614</v>
      </c>
      <c r="B1422" s="4" t="s">
        <v>615</v>
      </c>
      <c r="C1422" s="4" t="s">
        <v>614</v>
      </c>
      <c r="D1422" s="4" t="s">
        <v>3027</v>
      </c>
      <c r="E1422" s="4" t="s">
        <v>3028</v>
      </c>
      <c r="F1422" s="4" t="s">
        <v>3027</v>
      </c>
    </row>
    <row r="1423" spans="1:6" ht="14.4" thickBot="1" x14ac:dyDescent="0.35">
      <c r="A1423" s="4" t="s">
        <v>614</v>
      </c>
      <c r="B1423" s="4" t="s">
        <v>615</v>
      </c>
      <c r="C1423" s="4" t="s">
        <v>614</v>
      </c>
      <c r="D1423" s="4" t="s">
        <v>3795</v>
      </c>
      <c r="E1423" s="4" t="s">
        <v>2432</v>
      </c>
      <c r="F1423" s="4" t="s">
        <v>3795</v>
      </c>
    </row>
    <row r="1424" spans="1:6" ht="14.4" thickBot="1" x14ac:dyDescent="0.35">
      <c r="A1424" s="4" t="s">
        <v>614</v>
      </c>
      <c r="B1424" s="4" t="s">
        <v>615</v>
      </c>
      <c r="C1424" s="4" t="s">
        <v>614</v>
      </c>
      <c r="D1424" s="4" t="s">
        <v>3787</v>
      </c>
      <c r="E1424" s="4" t="s">
        <v>3788</v>
      </c>
      <c r="F1424" s="4" t="s">
        <v>3787</v>
      </c>
    </row>
    <row r="1425" spans="1:6" ht="14.4" thickBot="1" x14ac:dyDescent="0.35">
      <c r="A1425" s="4" t="s">
        <v>614</v>
      </c>
      <c r="B1425" s="4" t="s">
        <v>615</v>
      </c>
      <c r="C1425" s="4" t="s">
        <v>614</v>
      </c>
      <c r="D1425" s="4" t="s">
        <v>3785</v>
      </c>
      <c r="E1425" s="4" t="s">
        <v>3786</v>
      </c>
      <c r="F1425" s="4" t="s">
        <v>3785</v>
      </c>
    </row>
    <row r="1426" spans="1:6" ht="14.4" thickBot="1" x14ac:dyDescent="0.35">
      <c r="A1426" s="4" t="s">
        <v>614</v>
      </c>
      <c r="B1426" s="4" t="s">
        <v>615</v>
      </c>
      <c r="C1426" s="4" t="s">
        <v>614</v>
      </c>
      <c r="D1426" s="4" t="s">
        <v>1574</v>
      </c>
      <c r="E1426" s="4" t="s">
        <v>1575</v>
      </c>
      <c r="F1426" s="4" t="s">
        <v>1574</v>
      </c>
    </row>
    <row r="1427" spans="1:6" ht="14.4" thickBot="1" x14ac:dyDescent="0.35">
      <c r="A1427" s="4" t="s">
        <v>614</v>
      </c>
      <c r="B1427" s="4" t="s">
        <v>615</v>
      </c>
      <c r="C1427" s="4" t="s">
        <v>614</v>
      </c>
      <c r="D1427" s="4" t="s">
        <v>5917</v>
      </c>
      <c r="E1427" s="4" t="s">
        <v>5918</v>
      </c>
      <c r="F1427" s="4" t="s">
        <v>5917</v>
      </c>
    </row>
    <row r="1428" spans="1:6" ht="14.4" thickBot="1" x14ac:dyDescent="0.35">
      <c r="A1428" s="4" t="s">
        <v>614</v>
      </c>
      <c r="B1428" s="4" t="s">
        <v>615</v>
      </c>
      <c r="C1428" s="4" t="s">
        <v>614</v>
      </c>
      <c r="D1428" s="4" t="s">
        <v>616</v>
      </c>
      <c r="E1428" s="4" t="s">
        <v>617</v>
      </c>
      <c r="F1428" s="4" t="s">
        <v>616</v>
      </c>
    </row>
    <row r="1429" spans="1:6" ht="14.4" thickBot="1" x14ac:dyDescent="0.35">
      <c r="A1429" s="4" t="s">
        <v>614</v>
      </c>
      <c r="B1429" s="4" t="s">
        <v>615</v>
      </c>
      <c r="C1429" s="4" t="s">
        <v>614</v>
      </c>
      <c r="D1429" s="4" t="s">
        <v>3783</v>
      </c>
      <c r="E1429" s="4" t="s">
        <v>3784</v>
      </c>
      <c r="F1429" s="4" t="s">
        <v>3783</v>
      </c>
    </row>
    <row r="1430" spans="1:6" ht="14.4" thickBot="1" x14ac:dyDescent="0.35">
      <c r="A1430" s="4" t="s">
        <v>614</v>
      </c>
      <c r="B1430" s="4" t="s">
        <v>615</v>
      </c>
      <c r="C1430" s="4" t="s">
        <v>614</v>
      </c>
      <c r="D1430" s="4" t="s">
        <v>634</v>
      </c>
      <c r="E1430" s="4" t="s">
        <v>635</v>
      </c>
      <c r="F1430" s="4" t="s">
        <v>634</v>
      </c>
    </row>
    <row r="1431" spans="1:6" ht="14.4" thickBot="1" x14ac:dyDescent="0.35">
      <c r="A1431" s="4" t="s">
        <v>614</v>
      </c>
      <c r="B1431" s="4" t="s">
        <v>615</v>
      </c>
      <c r="C1431" s="4" t="s">
        <v>614</v>
      </c>
      <c r="D1431" s="4" t="s">
        <v>4539</v>
      </c>
      <c r="E1431" s="4" t="s">
        <v>4540</v>
      </c>
      <c r="F1431" s="4" t="s">
        <v>4539</v>
      </c>
    </row>
    <row r="1432" spans="1:6" ht="14.4" thickBot="1" x14ac:dyDescent="0.35">
      <c r="A1432" s="4" t="s">
        <v>614</v>
      </c>
      <c r="B1432" s="4" t="s">
        <v>615</v>
      </c>
      <c r="C1432" s="4" t="s">
        <v>614</v>
      </c>
      <c r="D1432" s="4" t="s">
        <v>3037</v>
      </c>
      <c r="E1432" s="4" t="s">
        <v>3038</v>
      </c>
      <c r="F1432" s="4" t="s">
        <v>3037</v>
      </c>
    </row>
    <row r="1433" spans="1:6" ht="14.4" thickBot="1" x14ac:dyDescent="0.35">
      <c r="A1433" s="4" t="s">
        <v>614</v>
      </c>
      <c r="B1433" s="4" t="s">
        <v>615</v>
      </c>
      <c r="C1433" s="4" t="s">
        <v>614</v>
      </c>
      <c r="D1433" s="4" t="s">
        <v>3782</v>
      </c>
      <c r="E1433" s="4" t="s">
        <v>3038</v>
      </c>
      <c r="F1433" s="4" t="s">
        <v>3782</v>
      </c>
    </row>
    <row r="1434" spans="1:6" ht="14.4" thickBot="1" x14ac:dyDescent="0.35">
      <c r="A1434" s="4" t="s">
        <v>614</v>
      </c>
      <c r="B1434" s="4" t="s">
        <v>615</v>
      </c>
      <c r="C1434" s="4" t="s">
        <v>614</v>
      </c>
      <c r="D1434" s="4" t="s">
        <v>2284</v>
      </c>
      <c r="E1434" s="4" t="s">
        <v>2285</v>
      </c>
      <c r="F1434" s="4" t="s">
        <v>2284</v>
      </c>
    </row>
    <row r="1435" spans="1:6" ht="14.4" thickBot="1" x14ac:dyDescent="0.35">
      <c r="A1435" s="4" t="s">
        <v>614</v>
      </c>
      <c r="B1435" s="4" t="s">
        <v>615</v>
      </c>
      <c r="C1435" s="4" t="s">
        <v>614</v>
      </c>
      <c r="D1435" s="4" t="s">
        <v>2282</v>
      </c>
      <c r="E1435" s="4" t="s">
        <v>2283</v>
      </c>
      <c r="F1435" s="4" t="s">
        <v>2282</v>
      </c>
    </row>
    <row r="1436" spans="1:6" ht="14.4" thickBot="1" x14ac:dyDescent="0.35">
      <c r="A1436" s="4" t="s">
        <v>614</v>
      </c>
      <c r="B1436" s="4" t="s">
        <v>615</v>
      </c>
      <c r="C1436" s="4" t="s">
        <v>614</v>
      </c>
      <c r="D1436" s="4" t="s">
        <v>5912</v>
      </c>
      <c r="E1436" s="4" t="s">
        <v>5913</v>
      </c>
      <c r="F1436" s="4" t="s">
        <v>5912</v>
      </c>
    </row>
    <row r="1437" spans="1:6" ht="14.4" thickBot="1" x14ac:dyDescent="0.35">
      <c r="A1437" s="4" t="s">
        <v>614</v>
      </c>
      <c r="B1437" s="4" t="s">
        <v>615</v>
      </c>
      <c r="C1437" s="4" t="s">
        <v>614</v>
      </c>
      <c r="D1437" s="4" t="s">
        <v>2274</v>
      </c>
      <c r="E1437" s="4" t="s">
        <v>2275</v>
      </c>
      <c r="F1437" s="4" t="s">
        <v>2274</v>
      </c>
    </row>
    <row r="1438" spans="1:6" ht="14.4" thickBot="1" x14ac:dyDescent="0.35">
      <c r="A1438" s="4" t="s">
        <v>614</v>
      </c>
      <c r="B1438" s="4" t="s">
        <v>615</v>
      </c>
      <c r="C1438" s="4" t="s">
        <v>614</v>
      </c>
      <c r="D1438" s="4" t="s">
        <v>1570</v>
      </c>
      <c r="E1438" s="4" t="s">
        <v>1571</v>
      </c>
      <c r="F1438" s="4" t="s">
        <v>1570</v>
      </c>
    </row>
    <row r="1439" spans="1:6" ht="14.4" thickBot="1" x14ac:dyDescent="0.35">
      <c r="A1439" s="4" t="s">
        <v>614</v>
      </c>
      <c r="B1439" s="4" t="s">
        <v>615</v>
      </c>
      <c r="C1439" s="4" t="s">
        <v>614</v>
      </c>
      <c r="D1439" s="4" t="s">
        <v>3779</v>
      </c>
      <c r="E1439" s="4" t="s">
        <v>635</v>
      </c>
      <c r="F1439" s="4" t="s">
        <v>3779</v>
      </c>
    </row>
    <row r="1440" spans="1:6" ht="14.4" thickBot="1" x14ac:dyDescent="0.35">
      <c r="A1440" s="4" t="s">
        <v>614</v>
      </c>
      <c r="B1440" s="4" t="s">
        <v>615</v>
      </c>
      <c r="C1440" s="4" t="s">
        <v>614</v>
      </c>
      <c r="D1440" s="4" t="s">
        <v>630</v>
      </c>
      <c r="E1440" s="4" t="s">
        <v>631</v>
      </c>
      <c r="F1440" s="4" t="s">
        <v>630</v>
      </c>
    </row>
    <row r="1441" spans="1:6" ht="14.4" thickBot="1" x14ac:dyDescent="0.35">
      <c r="A1441" s="4" t="s">
        <v>614</v>
      </c>
      <c r="B1441" s="4" t="s">
        <v>615</v>
      </c>
      <c r="C1441" s="4" t="s">
        <v>614</v>
      </c>
      <c r="D1441" s="4" t="s">
        <v>4537</v>
      </c>
      <c r="E1441" s="4" t="s">
        <v>4538</v>
      </c>
      <c r="F1441" s="4" t="s">
        <v>4537</v>
      </c>
    </row>
    <row r="1442" spans="1:6" ht="14.4" thickBot="1" x14ac:dyDescent="0.35">
      <c r="A1442" s="4" t="s">
        <v>614</v>
      </c>
      <c r="B1442" s="4" t="s">
        <v>615</v>
      </c>
      <c r="C1442" s="4" t="s">
        <v>614</v>
      </c>
      <c r="D1442" s="4" t="s">
        <v>618</v>
      </c>
      <c r="E1442" s="4" t="s">
        <v>619</v>
      </c>
      <c r="F1442" s="4" t="s">
        <v>618</v>
      </c>
    </row>
    <row r="1443" spans="1:6" ht="14.4" thickBot="1" x14ac:dyDescent="0.35">
      <c r="A1443" s="4" t="s">
        <v>614</v>
      </c>
      <c r="B1443" s="4" t="s">
        <v>615</v>
      </c>
      <c r="C1443" s="4" t="s">
        <v>614</v>
      </c>
      <c r="D1443" s="4" t="s">
        <v>1566</v>
      </c>
      <c r="E1443" s="4" t="s">
        <v>1567</v>
      </c>
      <c r="F1443" s="4" t="s">
        <v>1566</v>
      </c>
    </row>
    <row r="1444" spans="1:6" ht="14.4" thickBot="1" x14ac:dyDescent="0.35">
      <c r="A1444" s="4" t="s">
        <v>614</v>
      </c>
      <c r="B1444" s="4" t="s">
        <v>615</v>
      </c>
      <c r="C1444" s="4" t="s">
        <v>614</v>
      </c>
      <c r="D1444" s="4" t="s">
        <v>4543</v>
      </c>
      <c r="E1444" s="4" t="s">
        <v>4544</v>
      </c>
      <c r="F1444" s="4" t="s">
        <v>4543</v>
      </c>
    </row>
    <row r="1445" spans="1:6" ht="14.4" thickBot="1" x14ac:dyDescent="0.35">
      <c r="A1445" s="4" t="s">
        <v>614</v>
      </c>
      <c r="B1445" s="4" t="s">
        <v>615</v>
      </c>
      <c r="C1445" s="4" t="s">
        <v>614</v>
      </c>
      <c r="D1445" s="4" t="s">
        <v>1564</v>
      </c>
      <c r="E1445" s="4" t="s">
        <v>1565</v>
      </c>
      <c r="F1445" s="4" t="s">
        <v>1564</v>
      </c>
    </row>
    <row r="1446" spans="1:6" ht="14.4" thickBot="1" x14ac:dyDescent="0.35">
      <c r="A1446" s="4" t="s">
        <v>614</v>
      </c>
      <c r="B1446" s="4" t="s">
        <v>615</v>
      </c>
      <c r="C1446" s="4" t="s">
        <v>614</v>
      </c>
      <c r="D1446" s="4" t="s">
        <v>5224</v>
      </c>
      <c r="E1446" s="4" t="s">
        <v>5225</v>
      </c>
      <c r="F1446" s="4" t="s">
        <v>5224</v>
      </c>
    </row>
    <row r="1447" spans="1:6" ht="14.4" thickBot="1" x14ac:dyDescent="0.35">
      <c r="A1447" s="4" t="s">
        <v>614</v>
      </c>
      <c r="B1447" s="4" t="s">
        <v>615</v>
      </c>
      <c r="C1447" s="4" t="s">
        <v>614</v>
      </c>
      <c r="D1447" s="4" t="s">
        <v>3033</v>
      </c>
      <c r="E1447" s="4" t="s">
        <v>3034</v>
      </c>
      <c r="F1447" s="4" t="s">
        <v>3033</v>
      </c>
    </row>
    <row r="1448" spans="1:6" ht="14.4" thickBot="1" x14ac:dyDescent="0.35">
      <c r="A1448" s="4" t="s">
        <v>614</v>
      </c>
      <c r="B1448" s="4" t="s">
        <v>615</v>
      </c>
      <c r="C1448" s="4" t="s">
        <v>614</v>
      </c>
      <c r="D1448" s="4" t="s">
        <v>1562</v>
      </c>
      <c r="E1448" s="4" t="s">
        <v>1563</v>
      </c>
      <c r="F1448" s="4" t="s">
        <v>1562</v>
      </c>
    </row>
    <row r="1449" spans="1:6" ht="14.4" thickBot="1" x14ac:dyDescent="0.35">
      <c r="A1449" s="4" t="s">
        <v>614</v>
      </c>
      <c r="B1449" s="4" t="s">
        <v>615</v>
      </c>
      <c r="C1449" s="4" t="s">
        <v>614</v>
      </c>
      <c r="D1449" s="4" t="s">
        <v>624</v>
      </c>
      <c r="E1449" s="4" t="s">
        <v>625</v>
      </c>
      <c r="F1449" s="4" t="s">
        <v>624</v>
      </c>
    </row>
    <row r="1450" spans="1:6" ht="14.4" thickBot="1" x14ac:dyDescent="0.35">
      <c r="A1450" s="4" t="s">
        <v>614</v>
      </c>
      <c r="B1450" s="4" t="s">
        <v>615</v>
      </c>
      <c r="C1450" s="4" t="s">
        <v>614</v>
      </c>
      <c r="D1450" s="4" t="s">
        <v>3793</v>
      </c>
      <c r="E1450" s="4" t="s">
        <v>3794</v>
      </c>
      <c r="F1450" s="4" t="s">
        <v>3793</v>
      </c>
    </row>
    <row r="1451" spans="1:6" ht="14.4" thickBot="1" x14ac:dyDescent="0.35">
      <c r="A1451" s="4" t="s">
        <v>614</v>
      </c>
      <c r="B1451" s="4" t="s">
        <v>615</v>
      </c>
      <c r="C1451" s="4" t="s">
        <v>614</v>
      </c>
      <c r="D1451" s="4" t="s">
        <v>5236</v>
      </c>
      <c r="E1451" s="4" t="s">
        <v>5237</v>
      </c>
      <c r="F1451" s="4" t="s">
        <v>5236</v>
      </c>
    </row>
    <row r="1452" spans="1:6" ht="14.4" thickBot="1" x14ac:dyDescent="0.35">
      <c r="A1452" s="4" t="s">
        <v>614</v>
      </c>
      <c r="B1452" s="4" t="s">
        <v>615</v>
      </c>
      <c r="C1452" s="4" t="s">
        <v>614</v>
      </c>
      <c r="D1452" s="4" t="s">
        <v>4541</v>
      </c>
      <c r="E1452" s="4" t="s">
        <v>4542</v>
      </c>
      <c r="F1452" s="4" t="s">
        <v>4541</v>
      </c>
    </row>
    <row r="1453" spans="1:6" ht="14.4" thickBot="1" x14ac:dyDescent="0.35">
      <c r="A1453" s="4" t="s">
        <v>614</v>
      </c>
      <c r="B1453" s="4" t="s">
        <v>615</v>
      </c>
      <c r="C1453" s="4" t="s">
        <v>614</v>
      </c>
      <c r="D1453" s="4" t="s">
        <v>3773</v>
      </c>
      <c r="E1453" s="4" t="s">
        <v>3774</v>
      </c>
      <c r="F1453" s="4" t="s">
        <v>3773</v>
      </c>
    </row>
    <row r="1454" spans="1:6" ht="14.4" thickBot="1" x14ac:dyDescent="0.35">
      <c r="A1454" s="4" t="s">
        <v>614</v>
      </c>
      <c r="B1454" s="4" t="s">
        <v>615</v>
      </c>
      <c r="C1454" s="4" t="s">
        <v>614</v>
      </c>
      <c r="D1454" s="4" t="s">
        <v>4547</v>
      </c>
      <c r="E1454" s="4" t="s">
        <v>4395</v>
      </c>
      <c r="F1454" s="4" t="s">
        <v>4547</v>
      </c>
    </row>
    <row r="1455" spans="1:6" ht="14.4" thickBot="1" x14ac:dyDescent="0.35">
      <c r="A1455" s="4" t="s">
        <v>614</v>
      </c>
      <c r="B1455" s="4" t="s">
        <v>615</v>
      </c>
      <c r="C1455" s="4" t="s">
        <v>614</v>
      </c>
      <c r="D1455" s="4" t="s">
        <v>3041</v>
      </c>
      <c r="E1455" s="4" t="s">
        <v>3042</v>
      </c>
      <c r="F1455" s="4" t="s">
        <v>3041</v>
      </c>
    </row>
    <row r="1456" spans="1:6" ht="14.4" thickBot="1" x14ac:dyDescent="0.35">
      <c r="A1456" s="4" t="s">
        <v>614</v>
      </c>
      <c r="B1456" s="4" t="s">
        <v>615</v>
      </c>
      <c r="C1456" s="4" t="s">
        <v>614</v>
      </c>
      <c r="D1456" s="4" t="s">
        <v>5914</v>
      </c>
      <c r="E1456" s="4" t="s">
        <v>5400</v>
      </c>
      <c r="F1456" s="4" t="s">
        <v>5914</v>
      </c>
    </row>
    <row r="1457" spans="1:6" ht="14.4" thickBot="1" x14ac:dyDescent="0.35">
      <c r="A1457" s="4" t="s">
        <v>614</v>
      </c>
      <c r="B1457" s="4" t="s">
        <v>615</v>
      </c>
      <c r="C1457" s="4" t="s">
        <v>614</v>
      </c>
      <c r="D1457" s="4" t="s">
        <v>4550</v>
      </c>
      <c r="E1457" s="4" t="s">
        <v>4551</v>
      </c>
      <c r="F1457" s="4" t="s">
        <v>4550</v>
      </c>
    </row>
    <row r="1458" spans="1:6" ht="14.4" thickBot="1" x14ac:dyDescent="0.35">
      <c r="A1458" s="4" t="s">
        <v>614</v>
      </c>
      <c r="B1458" s="4" t="s">
        <v>615</v>
      </c>
      <c r="C1458" s="4" t="s">
        <v>614</v>
      </c>
      <c r="D1458" s="4" t="s">
        <v>1572</v>
      </c>
      <c r="E1458" s="4" t="s">
        <v>1573</v>
      </c>
      <c r="F1458" s="4" t="s">
        <v>1572</v>
      </c>
    </row>
    <row r="1459" spans="1:6" ht="14.4" thickBot="1" x14ac:dyDescent="0.35">
      <c r="A1459" s="4" t="s">
        <v>614</v>
      </c>
      <c r="B1459" s="4" t="s">
        <v>615</v>
      </c>
      <c r="C1459" s="4" t="s">
        <v>614</v>
      </c>
      <c r="D1459" s="4" t="s">
        <v>656</v>
      </c>
      <c r="E1459" s="4" t="s">
        <v>657</v>
      </c>
      <c r="F1459" s="4" t="s">
        <v>656</v>
      </c>
    </row>
    <row r="1460" spans="1:6" ht="14.4" thickBot="1" x14ac:dyDescent="0.35">
      <c r="A1460" s="4" t="s">
        <v>614</v>
      </c>
      <c r="B1460" s="4" t="s">
        <v>615</v>
      </c>
      <c r="C1460" s="4" t="s">
        <v>614</v>
      </c>
      <c r="D1460" s="4" t="s">
        <v>3031</v>
      </c>
      <c r="E1460" s="4" t="s">
        <v>3032</v>
      </c>
      <c r="F1460" s="4" t="s">
        <v>3031</v>
      </c>
    </row>
    <row r="1461" spans="1:6" ht="14.4" thickBot="1" x14ac:dyDescent="0.35">
      <c r="A1461" s="4" t="s">
        <v>614</v>
      </c>
      <c r="B1461" s="4" t="s">
        <v>615</v>
      </c>
      <c r="C1461" s="4" t="s">
        <v>614</v>
      </c>
      <c r="D1461" s="4" t="s">
        <v>638</v>
      </c>
      <c r="E1461" s="4" t="s">
        <v>639</v>
      </c>
      <c r="F1461" s="4" t="s">
        <v>638</v>
      </c>
    </row>
    <row r="1462" spans="1:6" ht="14.4" thickBot="1" x14ac:dyDescent="0.35">
      <c r="A1462" s="4" t="s">
        <v>614</v>
      </c>
      <c r="B1462" s="4" t="s">
        <v>615</v>
      </c>
      <c r="C1462" s="4" t="s">
        <v>614</v>
      </c>
      <c r="D1462" s="4" t="s">
        <v>5232</v>
      </c>
      <c r="E1462" s="4" t="s">
        <v>5233</v>
      </c>
      <c r="F1462" s="4" t="s">
        <v>5232</v>
      </c>
    </row>
    <row r="1463" spans="1:6" ht="14.4" thickBot="1" x14ac:dyDescent="0.35">
      <c r="A1463" s="4" t="s">
        <v>614</v>
      </c>
      <c r="B1463" s="4" t="s">
        <v>615</v>
      </c>
      <c r="C1463" s="4" t="s">
        <v>614</v>
      </c>
      <c r="D1463" s="4" t="s">
        <v>654</v>
      </c>
      <c r="E1463" s="4" t="s">
        <v>655</v>
      </c>
      <c r="F1463" s="4" t="s">
        <v>654</v>
      </c>
    </row>
    <row r="1464" spans="1:6" ht="14.4" thickBot="1" x14ac:dyDescent="0.35">
      <c r="A1464" s="4" t="s">
        <v>614</v>
      </c>
      <c r="B1464" s="4" t="s">
        <v>615</v>
      </c>
      <c r="C1464" s="4" t="s">
        <v>614</v>
      </c>
      <c r="D1464" s="4" t="s">
        <v>3798</v>
      </c>
      <c r="E1464" s="4" t="s">
        <v>3799</v>
      </c>
      <c r="F1464" s="4" t="s">
        <v>3798</v>
      </c>
    </row>
    <row r="1465" spans="1:6" ht="14.4" thickBot="1" x14ac:dyDescent="0.35">
      <c r="A1465" s="4" t="s">
        <v>614</v>
      </c>
      <c r="B1465" s="4" t="s">
        <v>615</v>
      </c>
      <c r="C1465" s="4" t="s">
        <v>614</v>
      </c>
      <c r="D1465" s="4" t="s">
        <v>2294</v>
      </c>
      <c r="E1465" s="4" t="s">
        <v>2295</v>
      </c>
      <c r="F1465" s="4" t="s">
        <v>2294</v>
      </c>
    </row>
    <row r="1466" spans="1:6" ht="14.4" thickBot="1" x14ac:dyDescent="0.35">
      <c r="A1466" s="4" t="s">
        <v>614</v>
      </c>
      <c r="B1466" s="4" t="s">
        <v>615</v>
      </c>
      <c r="C1466" s="4" t="s">
        <v>614</v>
      </c>
      <c r="D1466" s="4" t="s">
        <v>3780</v>
      </c>
      <c r="E1466" s="4" t="s">
        <v>3781</v>
      </c>
      <c r="F1466" s="4" t="s">
        <v>3780</v>
      </c>
    </row>
    <row r="1467" spans="1:6" ht="14.4" thickBot="1" x14ac:dyDescent="0.35">
      <c r="A1467" s="4" t="s">
        <v>614</v>
      </c>
      <c r="B1467" s="4" t="s">
        <v>615</v>
      </c>
      <c r="C1467" s="4" t="s">
        <v>614</v>
      </c>
      <c r="D1467" s="4" t="s">
        <v>652</v>
      </c>
      <c r="E1467" s="4" t="s">
        <v>653</v>
      </c>
      <c r="F1467" s="4" t="s">
        <v>652</v>
      </c>
    </row>
    <row r="1468" spans="1:6" ht="14.4" thickBot="1" x14ac:dyDescent="0.35">
      <c r="A1468" s="4" t="s">
        <v>614</v>
      </c>
      <c r="B1468" s="4" t="s">
        <v>615</v>
      </c>
      <c r="C1468" s="4" t="s">
        <v>614</v>
      </c>
      <c r="D1468" s="4" t="s">
        <v>632</v>
      </c>
      <c r="E1468" s="4" t="s">
        <v>633</v>
      </c>
      <c r="F1468" s="4" t="s">
        <v>632</v>
      </c>
    </row>
    <row r="1469" spans="1:6" ht="14.4" thickBot="1" x14ac:dyDescent="0.35">
      <c r="A1469" s="4" t="s">
        <v>614</v>
      </c>
      <c r="B1469" s="4" t="s">
        <v>615</v>
      </c>
      <c r="C1469" s="4" t="s">
        <v>614</v>
      </c>
      <c r="D1469" s="4" t="s">
        <v>2276</v>
      </c>
      <c r="E1469" s="4" t="s">
        <v>2277</v>
      </c>
      <c r="F1469" s="4" t="s">
        <v>2276</v>
      </c>
    </row>
    <row r="1470" spans="1:6" ht="14.4" thickBot="1" x14ac:dyDescent="0.35">
      <c r="A1470" s="4" t="s">
        <v>614</v>
      </c>
      <c r="B1470" s="4" t="s">
        <v>615</v>
      </c>
      <c r="C1470" s="4" t="s">
        <v>614</v>
      </c>
      <c r="D1470" s="4" t="s">
        <v>628</v>
      </c>
      <c r="E1470" s="4" t="s">
        <v>629</v>
      </c>
      <c r="F1470" s="4" t="s">
        <v>628</v>
      </c>
    </row>
    <row r="1471" spans="1:6" ht="14.4" thickBot="1" x14ac:dyDescent="0.35">
      <c r="A1471" s="4" t="s">
        <v>614</v>
      </c>
      <c r="B1471" s="4" t="s">
        <v>615</v>
      </c>
      <c r="C1471" s="4" t="s">
        <v>614</v>
      </c>
      <c r="D1471" s="4" t="s">
        <v>650</v>
      </c>
      <c r="E1471" s="4" t="s">
        <v>651</v>
      </c>
      <c r="F1471" s="4" t="s">
        <v>650</v>
      </c>
    </row>
    <row r="1472" spans="1:6" ht="14.4" thickBot="1" x14ac:dyDescent="0.35">
      <c r="A1472" s="4" t="s">
        <v>614</v>
      </c>
      <c r="B1472" s="4" t="s">
        <v>615</v>
      </c>
      <c r="C1472" s="4" t="s">
        <v>614</v>
      </c>
      <c r="D1472" s="4" t="s">
        <v>1576</v>
      </c>
      <c r="E1472" s="4" t="s">
        <v>1577</v>
      </c>
      <c r="F1472" s="4" t="s">
        <v>1576</v>
      </c>
    </row>
    <row r="1473" spans="1:6" ht="14.4" thickBot="1" x14ac:dyDescent="0.35">
      <c r="A1473" s="4" t="s">
        <v>614</v>
      </c>
      <c r="B1473" s="4" t="s">
        <v>615</v>
      </c>
      <c r="C1473" s="4" t="s">
        <v>614</v>
      </c>
      <c r="D1473" s="4" t="s">
        <v>620</v>
      </c>
      <c r="E1473" s="4" t="s">
        <v>621</v>
      </c>
      <c r="F1473" s="4" t="s">
        <v>620</v>
      </c>
    </row>
    <row r="1474" spans="1:6" ht="14.4" thickBot="1" x14ac:dyDescent="0.35">
      <c r="A1474" s="4" t="s">
        <v>614</v>
      </c>
      <c r="B1474" s="4" t="s">
        <v>615</v>
      </c>
      <c r="C1474" s="4" t="s">
        <v>614</v>
      </c>
      <c r="D1474" s="4" t="s">
        <v>2292</v>
      </c>
      <c r="E1474" s="4" t="s">
        <v>2293</v>
      </c>
      <c r="F1474" s="4" t="s">
        <v>2292</v>
      </c>
    </row>
    <row r="1475" spans="1:6" ht="14.4" thickBot="1" x14ac:dyDescent="0.35">
      <c r="A1475" s="4" t="s">
        <v>614</v>
      </c>
      <c r="B1475" s="4" t="s">
        <v>615</v>
      </c>
      <c r="C1475" s="4" t="s">
        <v>614</v>
      </c>
      <c r="D1475" s="4" t="s">
        <v>4545</v>
      </c>
      <c r="E1475" s="4" t="s">
        <v>4546</v>
      </c>
      <c r="F1475" s="4" t="s">
        <v>4545</v>
      </c>
    </row>
    <row r="1476" spans="1:6" ht="14.4" thickBot="1" x14ac:dyDescent="0.35">
      <c r="A1476" s="4" t="s">
        <v>614</v>
      </c>
      <c r="B1476" s="4" t="s">
        <v>615</v>
      </c>
      <c r="C1476" s="4" t="s">
        <v>614</v>
      </c>
      <c r="D1476" s="4" t="s">
        <v>1568</v>
      </c>
      <c r="E1476" s="4" t="s">
        <v>1569</v>
      </c>
      <c r="F1476" s="4" t="s">
        <v>1568</v>
      </c>
    </row>
    <row r="1477" spans="1:6" ht="14.4" thickBot="1" x14ac:dyDescent="0.35">
      <c r="A1477" s="4" t="s">
        <v>614</v>
      </c>
      <c r="B1477" s="4" t="s">
        <v>615</v>
      </c>
      <c r="C1477" s="4" t="s">
        <v>614</v>
      </c>
      <c r="D1477" s="4" t="s">
        <v>4548</v>
      </c>
      <c r="E1477" s="4" t="s">
        <v>4549</v>
      </c>
      <c r="F1477" s="4" t="s">
        <v>4548</v>
      </c>
    </row>
    <row r="1478" spans="1:6" ht="14.4" thickBot="1" x14ac:dyDescent="0.35">
      <c r="A1478" s="4" t="s">
        <v>614</v>
      </c>
      <c r="B1478" s="4" t="s">
        <v>615</v>
      </c>
      <c r="C1478" s="4" t="s">
        <v>614</v>
      </c>
      <c r="D1478" s="4" t="s">
        <v>5246</v>
      </c>
      <c r="E1478" s="4" t="s">
        <v>5247</v>
      </c>
      <c r="F1478" s="4" t="s">
        <v>5246</v>
      </c>
    </row>
    <row r="1479" spans="1:6" ht="14.4" thickBot="1" x14ac:dyDescent="0.35">
      <c r="A1479" s="4" t="s">
        <v>614</v>
      </c>
      <c r="B1479" s="4" t="s">
        <v>615</v>
      </c>
      <c r="C1479" s="4" t="s">
        <v>614</v>
      </c>
      <c r="D1479" s="4" t="s">
        <v>3771</v>
      </c>
      <c r="E1479" s="4" t="s">
        <v>3772</v>
      </c>
      <c r="F1479" s="4" t="s">
        <v>3771</v>
      </c>
    </row>
    <row r="1480" spans="1:6" ht="14.4" thickBot="1" x14ac:dyDescent="0.35">
      <c r="A1480" s="4" t="s">
        <v>614</v>
      </c>
      <c r="B1480" s="4" t="s">
        <v>615</v>
      </c>
      <c r="C1480" s="4" t="s">
        <v>614</v>
      </c>
      <c r="D1480" s="4" t="s">
        <v>646</v>
      </c>
      <c r="E1480" s="4" t="s">
        <v>647</v>
      </c>
      <c r="F1480" s="4" t="s">
        <v>646</v>
      </c>
    </row>
    <row r="1481" spans="1:6" ht="14.4" thickBot="1" x14ac:dyDescent="0.35">
      <c r="A1481" s="4" t="s">
        <v>614</v>
      </c>
      <c r="B1481" s="4" t="s">
        <v>615</v>
      </c>
      <c r="C1481" s="4" t="s">
        <v>614</v>
      </c>
      <c r="D1481" s="4" t="s">
        <v>5244</v>
      </c>
      <c r="E1481" s="4" t="s">
        <v>5245</v>
      </c>
      <c r="F1481" s="4" t="s">
        <v>5244</v>
      </c>
    </row>
    <row r="1482" spans="1:6" ht="14.4" thickBot="1" x14ac:dyDescent="0.35">
      <c r="A1482" s="4" t="s">
        <v>614</v>
      </c>
      <c r="B1482" s="4" t="s">
        <v>615</v>
      </c>
      <c r="C1482" s="4" t="s">
        <v>614</v>
      </c>
      <c r="D1482" s="4" t="s">
        <v>5915</v>
      </c>
      <c r="E1482" s="4" t="s">
        <v>5916</v>
      </c>
      <c r="F1482" s="4" t="s">
        <v>5915</v>
      </c>
    </row>
    <row r="1483" spans="1:6" ht="14.4" thickBot="1" x14ac:dyDescent="0.35">
      <c r="A1483" s="4" t="s">
        <v>614</v>
      </c>
      <c r="B1483" s="4" t="s">
        <v>615</v>
      </c>
      <c r="C1483" s="4" t="s">
        <v>614</v>
      </c>
      <c r="D1483" s="4" t="s">
        <v>644</v>
      </c>
      <c r="E1483" s="4" t="s">
        <v>645</v>
      </c>
      <c r="F1483" s="4" t="s">
        <v>644</v>
      </c>
    </row>
    <row r="1484" spans="1:6" ht="14.4" thickBot="1" x14ac:dyDescent="0.35">
      <c r="A1484" s="4" t="s">
        <v>614</v>
      </c>
      <c r="B1484" s="4" t="s">
        <v>615</v>
      </c>
      <c r="C1484" s="4" t="s">
        <v>614</v>
      </c>
      <c r="D1484" s="4" t="s">
        <v>5242</v>
      </c>
      <c r="E1484" s="4" t="s">
        <v>5243</v>
      </c>
      <c r="F1484" s="4" t="s">
        <v>5242</v>
      </c>
    </row>
    <row r="1485" spans="1:6" ht="14.4" thickBot="1" x14ac:dyDescent="0.35">
      <c r="A1485" s="4" t="s">
        <v>614</v>
      </c>
      <c r="B1485" s="4" t="s">
        <v>615</v>
      </c>
      <c r="C1485" s="4" t="s">
        <v>614</v>
      </c>
      <c r="D1485" s="4" t="s">
        <v>3769</v>
      </c>
      <c r="E1485" s="4" t="s">
        <v>3770</v>
      </c>
      <c r="F1485" s="4" t="s">
        <v>3769</v>
      </c>
    </row>
    <row r="1486" spans="1:6" ht="14.4" thickBot="1" x14ac:dyDescent="0.35">
      <c r="A1486" s="4" t="s">
        <v>614</v>
      </c>
      <c r="B1486" s="4" t="s">
        <v>615</v>
      </c>
      <c r="C1486" s="4" t="s">
        <v>614</v>
      </c>
      <c r="D1486" s="4" t="s">
        <v>2290</v>
      </c>
      <c r="E1486" s="4" t="s">
        <v>2291</v>
      </c>
      <c r="F1486" s="4" t="s">
        <v>2290</v>
      </c>
    </row>
    <row r="1487" spans="1:6" ht="14.4" thickBot="1" x14ac:dyDescent="0.35">
      <c r="A1487" s="4" t="s">
        <v>614</v>
      </c>
      <c r="B1487" s="4" t="s">
        <v>615</v>
      </c>
      <c r="C1487" s="4" t="s">
        <v>614</v>
      </c>
      <c r="D1487" s="4" t="s">
        <v>2296</v>
      </c>
      <c r="E1487" s="4" t="s">
        <v>2297</v>
      </c>
      <c r="F1487" s="4" t="s">
        <v>2296</v>
      </c>
    </row>
    <row r="1488" spans="1:6" ht="14.4" thickBot="1" x14ac:dyDescent="0.35">
      <c r="A1488" s="4" t="s">
        <v>614</v>
      </c>
      <c r="B1488" s="4" t="s">
        <v>615</v>
      </c>
      <c r="C1488" s="4" t="s">
        <v>614</v>
      </c>
      <c r="D1488" s="4" t="s">
        <v>5919</v>
      </c>
      <c r="E1488" s="4" t="s">
        <v>1345</v>
      </c>
      <c r="F1488" s="4" t="s">
        <v>5919</v>
      </c>
    </row>
    <row r="1489" spans="1:6" ht="14.4" thickBot="1" x14ac:dyDescent="0.35">
      <c r="A1489" s="4" t="s">
        <v>614</v>
      </c>
      <c r="B1489" s="4" t="s">
        <v>615</v>
      </c>
      <c r="C1489" s="4" t="s">
        <v>614</v>
      </c>
      <c r="D1489" s="4" t="s">
        <v>1560</v>
      </c>
      <c r="E1489" s="4" t="s">
        <v>1561</v>
      </c>
      <c r="F1489" s="4" t="s">
        <v>1560</v>
      </c>
    </row>
    <row r="1490" spans="1:6" ht="14.4" thickBot="1" x14ac:dyDescent="0.35">
      <c r="A1490" s="4" t="s">
        <v>614</v>
      </c>
      <c r="B1490" s="4" t="s">
        <v>615</v>
      </c>
      <c r="C1490" s="4" t="s">
        <v>614</v>
      </c>
      <c r="D1490" s="4" t="s">
        <v>3039</v>
      </c>
      <c r="E1490" s="4" t="s">
        <v>3040</v>
      </c>
      <c r="F1490" s="4" t="s">
        <v>3039</v>
      </c>
    </row>
    <row r="1491" spans="1:6" ht="14.4" thickBot="1" x14ac:dyDescent="0.35">
      <c r="A1491" s="4" t="s">
        <v>614</v>
      </c>
      <c r="B1491" s="4" t="s">
        <v>615</v>
      </c>
      <c r="C1491" s="4" t="s">
        <v>614</v>
      </c>
      <c r="D1491" s="4" t="s">
        <v>5240</v>
      </c>
      <c r="E1491" s="4" t="s">
        <v>5241</v>
      </c>
      <c r="F1491" s="4" t="s">
        <v>5240</v>
      </c>
    </row>
    <row r="1492" spans="1:6" ht="14.4" thickBot="1" x14ac:dyDescent="0.35">
      <c r="A1492" s="4" t="s">
        <v>962</v>
      </c>
      <c r="B1492" s="4" t="s">
        <v>963</v>
      </c>
      <c r="C1492" s="4" t="s">
        <v>962</v>
      </c>
      <c r="D1492" s="4" t="s">
        <v>3972</v>
      </c>
      <c r="E1492" s="4" t="s">
        <v>3973</v>
      </c>
      <c r="F1492" s="4" t="s">
        <v>3972</v>
      </c>
    </row>
    <row r="1493" spans="1:6" ht="14.4" thickBot="1" x14ac:dyDescent="0.35">
      <c r="A1493" s="4" t="s">
        <v>962</v>
      </c>
      <c r="B1493" s="4" t="s">
        <v>963</v>
      </c>
      <c r="C1493" s="4" t="s">
        <v>962</v>
      </c>
      <c r="D1493" s="4" t="s">
        <v>1702</v>
      </c>
      <c r="E1493" s="4" t="s">
        <v>1703</v>
      </c>
      <c r="F1493" s="4" t="s">
        <v>1702</v>
      </c>
    </row>
    <row r="1494" spans="1:6" ht="14.4" thickBot="1" x14ac:dyDescent="0.35">
      <c r="A1494" s="4" t="s">
        <v>962</v>
      </c>
      <c r="B1494" s="4" t="s">
        <v>963</v>
      </c>
      <c r="C1494" s="4" t="s">
        <v>962</v>
      </c>
      <c r="D1494" s="4" t="s">
        <v>1704</v>
      </c>
      <c r="E1494" s="4" t="s">
        <v>1705</v>
      </c>
      <c r="F1494" s="4" t="s">
        <v>1704</v>
      </c>
    </row>
    <row r="1495" spans="1:6" ht="14.4" thickBot="1" x14ac:dyDescent="0.35">
      <c r="A1495" s="4" t="s">
        <v>962</v>
      </c>
      <c r="B1495" s="4" t="s">
        <v>963</v>
      </c>
      <c r="C1495" s="4" t="s">
        <v>962</v>
      </c>
      <c r="D1495" s="4" t="s">
        <v>247</v>
      </c>
      <c r="E1495" s="4" t="s">
        <v>6065</v>
      </c>
      <c r="F1495" s="4" t="s">
        <v>247</v>
      </c>
    </row>
    <row r="1496" spans="1:6" ht="14.4" thickBot="1" x14ac:dyDescent="0.35">
      <c r="A1496" s="4" t="s">
        <v>962</v>
      </c>
      <c r="B1496" s="4" t="s">
        <v>963</v>
      </c>
      <c r="C1496" s="4" t="s">
        <v>962</v>
      </c>
      <c r="D1496" s="4" t="s">
        <v>2396</v>
      </c>
      <c r="E1496" s="4" t="s">
        <v>2397</v>
      </c>
      <c r="F1496" s="4" t="s">
        <v>2396</v>
      </c>
    </row>
    <row r="1497" spans="1:6" ht="14.4" thickBot="1" x14ac:dyDescent="0.35">
      <c r="A1497" s="4" t="s">
        <v>962</v>
      </c>
      <c r="B1497" s="4" t="s">
        <v>963</v>
      </c>
      <c r="C1497" s="4" t="s">
        <v>962</v>
      </c>
      <c r="D1497" s="4" t="s">
        <v>1700</v>
      </c>
      <c r="E1497" s="4" t="s">
        <v>1701</v>
      </c>
      <c r="F1497" s="4" t="s">
        <v>1700</v>
      </c>
    </row>
    <row r="1498" spans="1:6" ht="14.4" thickBot="1" x14ac:dyDescent="0.35">
      <c r="A1498" s="4" t="s">
        <v>962</v>
      </c>
      <c r="B1498" s="4" t="s">
        <v>963</v>
      </c>
      <c r="C1498" s="4" t="s">
        <v>962</v>
      </c>
      <c r="D1498" s="4" t="s">
        <v>5369</v>
      </c>
      <c r="E1498" s="4" t="s">
        <v>5370</v>
      </c>
      <c r="F1498" s="4" t="s">
        <v>5369</v>
      </c>
    </row>
    <row r="1499" spans="1:6" ht="14.4" thickBot="1" x14ac:dyDescent="0.35">
      <c r="A1499" s="4" t="s">
        <v>962</v>
      </c>
      <c r="B1499" s="4" t="s">
        <v>963</v>
      </c>
      <c r="C1499" s="4" t="s">
        <v>962</v>
      </c>
      <c r="D1499" s="4" t="s">
        <v>5371</v>
      </c>
      <c r="E1499" s="4" t="s">
        <v>5372</v>
      </c>
      <c r="F1499" s="4" t="s">
        <v>5371</v>
      </c>
    </row>
    <row r="1500" spans="1:6" ht="14.4" thickBot="1" x14ac:dyDescent="0.35">
      <c r="A1500" s="4" t="s">
        <v>962</v>
      </c>
      <c r="B1500" s="4" t="s">
        <v>963</v>
      </c>
      <c r="C1500" s="4" t="s">
        <v>962</v>
      </c>
      <c r="D1500" s="4" t="s">
        <v>3157</v>
      </c>
      <c r="E1500" s="4" t="s">
        <v>3158</v>
      </c>
      <c r="F1500" s="4" t="s">
        <v>3157</v>
      </c>
    </row>
    <row r="1501" spans="1:6" ht="14.4" thickBot="1" x14ac:dyDescent="0.35">
      <c r="A1501" s="4" t="s">
        <v>962</v>
      </c>
      <c r="B1501" s="4" t="s">
        <v>963</v>
      </c>
      <c r="C1501" s="4" t="s">
        <v>962</v>
      </c>
      <c r="D1501" s="4" t="s">
        <v>2492</v>
      </c>
      <c r="E1501" s="4" t="s">
        <v>2493</v>
      </c>
      <c r="F1501" s="4" t="s">
        <v>2492</v>
      </c>
    </row>
    <row r="1502" spans="1:6" ht="14.4" thickBot="1" x14ac:dyDescent="0.35">
      <c r="A1502" s="4" t="s">
        <v>962</v>
      </c>
      <c r="B1502" s="4" t="s">
        <v>963</v>
      </c>
      <c r="C1502" s="4" t="s">
        <v>962</v>
      </c>
      <c r="D1502" s="4" t="s">
        <v>6173</v>
      </c>
      <c r="E1502" s="4" t="s">
        <v>6174</v>
      </c>
      <c r="F1502" s="4" t="s">
        <v>6173</v>
      </c>
    </row>
    <row r="1503" spans="1:6" ht="14.4" thickBot="1" x14ac:dyDescent="0.35">
      <c r="A1503" s="4" t="s">
        <v>962</v>
      </c>
      <c r="B1503" s="4" t="s">
        <v>963</v>
      </c>
      <c r="C1503" s="4" t="s">
        <v>962</v>
      </c>
      <c r="D1503" s="4" t="s">
        <v>5367</v>
      </c>
      <c r="E1503" s="4" t="s">
        <v>5368</v>
      </c>
      <c r="F1503" s="4" t="s">
        <v>5367</v>
      </c>
    </row>
    <row r="1504" spans="1:6" ht="14.4" thickBot="1" x14ac:dyDescent="0.35">
      <c r="A1504" s="4" t="s">
        <v>962</v>
      </c>
      <c r="B1504" s="4" t="s">
        <v>963</v>
      </c>
      <c r="C1504" s="4" t="s">
        <v>962</v>
      </c>
      <c r="D1504" s="4" t="s">
        <v>2394</v>
      </c>
      <c r="E1504" s="4" t="s">
        <v>2395</v>
      </c>
      <c r="F1504" s="4" t="s">
        <v>2394</v>
      </c>
    </row>
    <row r="1505" spans="1:6" ht="14.4" thickBot="1" x14ac:dyDescent="0.35">
      <c r="A1505" s="4" t="s">
        <v>962</v>
      </c>
      <c r="B1505" s="4" t="s">
        <v>963</v>
      </c>
      <c r="C1505" s="4" t="s">
        <v>962</v>
      </c>
      <c r="D1505" s="4" t="s">
        <v>964</v>
      </c>
      <c r="E1505" s="4" t="s">
        <v>965</v>
      </c>
      <c r="F1505" s="4" t="s">
        <v>964</v>
      </c>
    </row>
    <row r="1506" spans="1:6" ht="14.4" thickBot="1" x14ac:dyDescent="0.35">
      <c r="A1506" s="4" t="s">
        <v>3801</v>
      </c>
      <c r="B1506" s="4" t="s">
        <v>3802</v>
      </c>
      <c r="C1506" s="4" t="s">
        <v>3801</v>
      </c>
      <c r="D1506" s="4" t="s">
        <v>5250</v>
      </c>
      <c r="E1506" s="4" t="s">
        <v>5251</v>
      </c>
      <c r="F1506" s="4" t="s">
        <v>5250</v>
      </c>
    </row>
    <row r="1507" spans="1:6" ht="14.4" thickBot="1" x14ac:dyDescent="0.35">
      <c r="A1507" s="4" t="s">
        <v>3801</v>
      </c>
      <c r="B1507" s="4" t="s">
        <v>3802</v>
      </c>
      <c r="C1507" s="4" t="s">
        <v>3801</v>
      </c>
      <c r="D1507" s="4" t="s">
        <v>5925</v>
      </c>
      <c r="E1507" s="4" t="s">
        <v>5926</v>
      </c>
      <c r="F1507" s="4" t="s">
        <v>5925</v>
      </c>
    </row>
    <row r="1508" spans="1:6" ht="14.4" thickBot="1" x14ac:dyDescent="0.35">
      <c r="A1508" s="4" t="s">
        <v>3801</v>
      </c>
      <c r="B1508" s="4" t="s">
        <v>3802</v>
      </c>
      <c r="C1508" s="4" t="s">
        <v>3801</v>
      </c>
      <c r="D1508" s="4" t="s">
        <v>3803</v>
      </c>
      <c r="E1508" s="4" t="s">
        <v>3804</v>
      </c>
      <c r="F1508" s="4" t="s">
        <v>3803</v>
      </c>
    </row>
    <row r="1509" spans="1:6" ht="14.4" thickBot="1" x14ac:dyDescent="0.35">
      <c r="A1509" s="4" t="s">
        <v>3801</v>
      </c>
      <c r="B1509" s="4" t="s">
        <v>3802</v>
      </c>
      <c r="C1509" s="4" t="s">
        <v>3801</v>
      </c>
      <c r="D1509" s="4" t="s">
        <v>5927</v>
      </c>
      <c r="E1509" s="4" t="s">
        <v>5928</v>
      </c>
      <c r="F1509" s="4" t="s">
        <v>5927</v>
      </c>
    </row>
    <row r="1510" spans="1:6" ht="14.4" thickBot="1" x14ac:dyDescent="0.35">
      <c r="A1510" s="4" t="s">
        <v>506</v>
      </c>
      <c r="B1510" s="4" t="s">
        <v>507</v>
      </c>
      <c r="C1510" s="4" t="s">
        <v>506</v>
      </c>
      <c r="D1510" s="4" t="s">
        <v>520</v>
      </c>
      <c r="E1510" s="4" t="s">
        <v>521</v>
      </c>
      <c r="F1510" s="4" t="s">
        <v>520</v>
      </c>
    </row>
    <row r="1511" spans="1:6" ht="14.4" thickBot="1" x14ac:dyDescent="0.35">
      <c r="A1511" s="4" t="s">
        <v>506</v>
      </c>
      <c r="B1511" s="4" t="s">
        <v>507</v>
      </c>
      <c r="C1511" s="4" t="s">
        <v>506</v>
      </c>
      <c r="D1511" s="4" t="s">
        <v>5849</v>
      </c>
      <c r="E1511" s="4" t="s">
        <v>5850</v>
      </c>
      <c r="F1511" s="4" t="s">
        <v>5849</v>
      </c>
    </row>
    <row r="1512" spans="1:6" ht="14.4" thickBot="1" x14ac:dyDescent="0.35">
      <c r="A1512" s="4" t="s">
        <v>506</v>
      </c>
      <c r="B1512" s="4" t="s">
        <v>507</v>
      </c>
      <c r="C1512" s="4" t="s">
        <v>506</v>
      </c>
      <c r="D1512" s="4" t="s">
        <v>5847</v>
      </c>
      <c r="E1512" s="4" t="s">
        <v>5848</v>
      </c>
      <c r="F1512" s="4" t="s">
        <v>5847</v>
      </c>
    </row>
    <row r="1513" spans="1:6" ht="14.4" thickBot="1" x14ac:dyDescent="0.35">
      <c r="A1513" s="4" t="s">
        <v>506</v>
      </c>
      <c r="B1513" s="4" t="s">
        <v>507</v>
      </c>
      <c r="C1513" s="4" t="s">
        <v>506</v>
      </c>
      <c r="D1513" s="4" t="s">
        <v>1466</v>
      </c>
      <c r="E1513" s="4" t="s">
        <v>1467</v>
      </c>
      <c r="F1513" s="4" t="s">
        <v>1466</v>
      </c>
    </row>
    <row r="1514" spans="1:6" ht="14.4" thickBot="1" x14ac:dyDescent="0.35">
      <c r="A1514" s="4" t="s">
        <v>506</v>
      </c>
      <c r="B1514" s="4" t="s">
        <v>507</v>
      </c>
      <c r="C1514" s="4" t="s">
        <v>506</v>
      </c>
      <c r="D1514" s="4" t="s">
        <v>2185</v>
      </c>
      <c r="E1514" s="4" t="s">
        <v>2203</v>
      </c>
      <c r="F1514" s="4" t="s">
        <v>2185</v>
      </c>
    </row>
    <row r="1515" spans="1:6" ht="14.4" thickBot="1" x14ac:dyDescent="0.35">
      <c r="A1515" s="4" t="s">
        <v>506</v>
      </c>
      <c r="B1515" s="4" t="s">
        <v>507</v>
      </c>
      <c r="C1515" s="4" t="s">
        <v>506</v>
      </c>
      <c r="D1515" s="4" t="s">
        <v>3695</v>
      </c>
      <c r="E1515" s="4" t="s">
        <v>3696</v>
      </c>
      <c r="F1515" s="4" t="s">
        <v>3695</v>
      </c>
    </row>
    <row r="1516" spans="1:6" ht="14.4" thickBot="1" x14ac:dyDescent="0.35">
      <c r="A1516" s="4" t="s">
        <v>506</v>
      </c>
      <c r="B1516" s="4" t="s">
        <v>507</v>
      </c>
      <c r="C1516" s="4" t="s">
        <v>506</v>
      </c>
      <c r="D1516" s="4" t="s">
        <v>3685</v>
      </c>
      <c r="E1516" s="4" t="s">
        <v>3686</v>
      </c>
      <c r="F1516" s="4" t="s">
        <v>3685</v>
      </c>
    </row>
    <row r="1517" spans="1:6" ht="14.4" thickBot="1" x14ac:dyDescent="0.35">
      <c r="A1517" s="4" t="s">
        <v>506</v>
      </c>
      <c r="B1517" s="4" t="s">
        <v>507</v>
      </c>
      <c r="C1517" s="4" t="s">
        <v>506</v>
      </c>
      <c r="D1517" s="4" t="s">
        <v>4465</v>
      </c>
      <c r="E1517" s="4" t="s">
        <v>4466</v>
      </c>
      <c r="F1517" s="4" t="s">
        <v>4465</v>
      </c>
    </row>
    <row r="1518" spans="1:6" ht="14.4" thickBot="1" x14ac:dyDescent="0.35">
      <c r="A1518" s="4" t="s">
        <v>506</v>
      </c>
      <c r="B1518" s="4" t="s">
        <v>507</v>
      </c>
      <c r="C1518" s="4" t="s">
        <v>506</v>
      </c>
      <c r="D1518" s="4" t="s">
        <v>3683</v>
      </c>
      <c r="E1518" s="4" t="s">
        <v>3684</v>
      </c>
      <c r="F1518" s="4" t="s">
        <v>3683</v>
      </c>
    </row>
    <row r="1519" spans="1:6" ht="14.4" thickBot="1" x14ac:dyDescent="0.35">
      <c r="A1519" s="4" t="s">
        <v>506</v>
      </c>
      <c r="B1519" s="4" t="s">
        <v>507</v>
      </c>
      <c r="C1519" s="4" t="s">
        <v>506</v>
      </c>
      <c r="D1519" s="4" t="s">
        <v>2201</v>
      </c>
      <c r="E1519" s="4" t="s">
        <v>2202</v>
      </c>
      <c r="F1519" s="4" t="s">
        <v>2201</v>
      </c>
    </row>
    <row r="1520" spans="1:6" ht="14.4" thickBot="1" x14ac:dyDescent="0.35">
      <c r="A1520" s="4" t="s">
        <v>506</v>
      </c>
      <c r="B1520" s="4" t="s">
        <v>507</v>
      </c>
      <c r="C1520" s="4" t="s">
        <v>506</v>
      </c>
      <c r="D1520" s="4" t="s">
        <v>5893</v>
      </c>
      <c r="E1520" s="4" t="s">
        <v>5894</v>
      </c>
      <c r="F1520" s="4" t="s">
        <v>5893</v>
      </c>
    </row>
    <row r="1521" spans="1:6" ht="14.4" thickBot="1" x14ac:dyDescent="0.35">
      <c r="A1521" s="4" t="s">
        <v>506</v>
      </c>
      <c r="B1521" s="4" t="s">
        <v>507</v>
      </c>
      <c r="C1521" s="4" t="s">
        <v>506</v>
      </c>
      <c r="D1521" s="4" t="s">
        <v>4467</v>
      </c>
      <c r="E1521" s="4" t="s">
        <v>4468</v>
      </c>
      <c r="F1521" s="4" t="s">
        <v>4467</v>
      </c>
    </row>
    <row r="1522" spans="1:6" ht="14.4" thickBot="1" x14ac:dyDescent="0.35">
      <c r="A1522" s="4" t="s">
        <v>506</v>
      </c>
      <c r="B1522" s="4" t="s">
        <v>507</v>
      </c>
      <c r="C1522" s="4" t="s">
        <v>506</v>
      </c>
      <c r="D1522" s="4" t="s">
        <v>2208</v>
      </c>
      <c r="E1522" s="4" t="s">
        <v>2209</v>
      </c>
      <c r="F1522" s="4" t="s">
        <v>2208</v>
      </c>
    </row>
    <row r="1523" spans="1:6" ht="14.4" thickBot="1" x14ac:dyDescent="0.35">
      <c r="A1523" s="4" t="s">
        <v>506</v>
      </c>
      <c r="B1523" s="4" t="s">
        <v>507</v>
      </c>
      <c r="C1523" s="4" t="s">
        <v>506</v>
      </c>
      <c r="D1523" s="4" t="s">
        <v>1458</v>
      </c>
      <c r="E1523" s="4" t="s">
        <v>1459</v>
      </c>
      <c r="F1523" s="4" t="s">
        <v>1458</v>
      </c>
    </row>
    <row r="1524" spans="1:6" ht="14.4" thickBot="1" x14ac:dyDescent="0.35">
      <c r="A1524" s="4" t="s">
        <v>506</v>
      </c>
      <c r="B1524" s="4" t="s">
        <v>507</v>
      </c>
      <c r="C1524" s="4" t="s">
        <v>506</v>
      </c>
      <c r="D1524" s="4" t="s">
        <v>1460</v>
      </c>
      <c r="E1524" s="4" t="s">
        <v>1461</v>
      </c>
      <c r="F1524" s="4" t="s">
        <v>1460</v>
      </c>
    </row>
    <row r="1525" spans="1:6" ht="14.4" thickBot="1" x14ac:dyDescent="0.35">
      <c r="A1525" s="4" t="s">
        <v>506</v>
      </c>
      <c r="B1525" s="4" t="s">
        <v>507</v>
      </c>
      <c r="C1525" s="4" t="s">
        <v>506</v>
      </c>
      <c r="D1525" s="4" t="s">
        <v>1456</v>
      </c>
      <c r="E1525" s="4" t="s">
        <v>1457</v>
      </c>
      <c r="F1525" s="4" t="s">
        <v>1456</v>
      </c>
    </row>
    <row r="1526" spans="1:6" ht="14.4" thickBot="1" x14ac:dyDescent="0.35">
      <c r="A1526" s="4" t="s">
        <v>506</v>
      </c>
      <c r="B1526" s="4" t="s">
        <v>507</v>
      </c>
      <c r="C1526" s="4" t="s">
        <v>506</v>
      </c>
      <c r="D1526" s="4" t="s">
        <v>5163</v>
      </c>
      <c r="E1526" s="4" t="s">
        <v>5164</v>
      </c>
      <c r="F1526" s="4" t="s">
        <v>5163</v>
      </c>
    </row>
    <row r="1527" spans="1:6" ht="14.4" thickBot="1" x14ac:dyDescent="0.35">
      <c r="A1527" s="4" t="s">
        <v>506</v>
      </c>
      <c r="B1527" s="4" t="s">
        <v>507</v>
      </c>
      <c r="C1527" s="4" t="s">
        <v>506</v>
      </c>
      <c r="D1527" s="4" t="s">
        <v>2204</v>
      </c>
      <c r="E1527" s="4" t="s">
        <v>2205</v>
      </c>
      <c r="F1527" s="4" t="s">
        <v>2204</v>
      </c>
    </row>
    <row r="1528" spans="1:6" ht="14.4" thickBot="1" x14ac:dyDescent="0.35">
      <c r="A1528" s="4" t="s">
        <v>506</v>
      </c>
      <c r="B1528" s="4" t="s">
        <v>507</v>
      </c>
      <c r="C1528" s="4" t="s">
        <v>506</v>
      </c>
      <c r="D1528" s="4" t="s">
        <v>2206</v>
      </c>
      <c r="E1528" s="4" t="s">
        <v>2207</v>
      </c>
      <c r="F1528" s="4" t="s">
        <v>2206</v>
      </c>
    </row>
    <row r="1529" spans="1:6" ht="14.4" thickBot="1" x14ac:dyDescent="0.35">
      <c r="A1529" s="4" t="s">
        <v>506</v>
      </c>
      <c r="B1529" s="4" t="s">
        <v>507</v>
      </c>
      <c r="C1529" s="4" t="s">
        <v>506</v>
      </c>
      <c r="D1529" s="4" t="s">
        <v>514</v>
      </c>
      <c r="E1529" s="4" t="s">
        <v>515</v>
      </c>
      <c r="F1529" s="4" t="s">
        <v>514</v>
      </c>
    </row>
    <row r="1530" spans="1:6" ht="14.4" thickBot="1" x14ac:dyDescent="0.35">
      <c r="A1530" s="4" t="s">
        <v>506</v>
      </c>
      <c r="B1530" s="4" t="s">
        <v>507</v>
      </c>
      <c r="C1530" s="4" t="s">
        <v>506</v>
      </c>
      <c r="D1530" s="4" t="s">
        <v>5845</v>
      </c>
      <c r="E1530" s="4" t="s">
        <v>5846</v>
      </c>
      <c r="F1530" s="4" t="s">
        <v>5845</v>
      </c>
    </row>
    <row r="1531" spans="1:6" ht="14.4" thickBot="1" x14ac:dyDescent="0.35">
      <c r="A1531" s="4" t="s">
        <v>506</v>
      </c>
      <c r="B1531" s="4" t="s">
        <v>507</v>
      </c>
      <c r="C1531" s="4" t="s">
        <v>506</v>
      </c>
      <c r="D1531" s="4" t="s">
        <v>3693</v>
      </c>
      <c r="E1531" s="4" t="s">
        <v>3694</v>
      </c>
      <c r="F1531" s="4" t="s">
        <v>3693</v>
      </c>
    </row>
    <row r="1532" spans="1:6" ht="14.4" thickBot="1" x14ac:dyDescent="0.35">
      <c r="A1532" s="4" t="s">
        <v>506</v>
      </c>
      <c r="B1532" s="4" t="s">
        <v>507</v>
      </c>
      <c r="C1532" s="4" t="s">
        <v>506</v>
      </c>
      <c r="D1532" s="4" t="s">
        <v>1048</v>
      </c>
      <c r="E1532" s="4" t="s">
        <v>5844</v>
      </c>
      <c r="F1532" s="4" t="s">
        <v>1048</v>
      </c>
    </row>
    <row r="1533" spans="1:6" ht="14.4" thickBot="1" x14ac:dyDescent="0.35">
      <c r="A1533" s="4" t="s">
        <v>506</v>
      </c>
      <c r="B1533" s="4" t="s">
        <v>507</v>
      </c>
      <c r="C1533" s="4" t="s">
        <v>506</v>
      </c>
      <c r="D1533" s="4" t="s">
        <v>1464</v>
      </c>
      <c r="E1533" s="4" t="s">
        <v>1465</v>
      </c>
      <c r="F1533" s="4" t="s">
        <v>1464</v>
      </c>
    </row>
    <row r="1534" spans="1:6" ht="14.4" thickBot="1" x14ac:dyDescent="0.35">
      <c r="A1534" s="4" t="s">
        <v>506</v>
      </c>
      <c r="B1534" s="4" t="s">
        <v>507</v>
      </c>
      <c r="C1534" s="4" t="s">
        <v>506</v>
      </c>
      <c r="D1534" s="4" t="s">
        <v>1468</v>
      </c>
      <c r="E1534" s="4" t="s">
        <v>1469</v>
      </c>
      <c r="F1534" s="4" t="s">
        <v>1468</v>
      </c>
    </row>
    <row r="1535" spans="1:6" ht="14.4" thickBot="1" x14ac:dyDescent="0.35">
      <c r="A1535" s="4" t="s">
        <v>506</v>
      </c>
      <c r="B1535" s="4" t="s">
        <v>507</v>
      </c>
      <c r="C1535" s="4" t="s">
        <v>506</v>
      </c>
      <c r="D1535" s="4" t="s">
        <v>5843</v>
      </c>
      <c r="E1535" s="4" t="s">
        <v>5756</v>
      </c>
      <c r="F1535" s="4" t="s">
        <v>5843</v>
      </c>
    </row>
    <row r="1536" spans="1:6" ht="14.4" thickBot="1" x14ac:dyDescent="0.35">
      <c r="A1536" s="4" t="s">
        <v>506</v>
      </c>
      <c r="B1536" s="4" t="s">
        <v>507</v>
      </c>
      <c r="C1536" s="4" t="s">
        <v>506</v>
      </c>
      <c r="D1536" s="4" t="s">
        <v>594</v>
      </c>
      <c r="E1536" s="4" t="s">
        <v>595</v>
      </c>
      <c r="F1536" s="4" t="s">
        <v>594</v>
      </c>
    </row>
    <row r="1537" spans="1:6" ht="14.4" thickBot="1" x14ac:dyDescent="0.35">
      <c r="A1537" s="4" t="s">
        <v>506</v>
      </c>
      <c r="B1537" s="4" t="s">
        <v>507</v>
      </c>
      <c r="C1537" s="4" t="s">
        <v>506</v>
      </c>
      <c r="D1537" s="4" t="s">
        <v>1538</v>
      </c>
      <c r="E1537" s="4" t="s">
        <v>1539</v>
      </c>
      <c r="F1537" s="4" t="s">
        <v>1538</v>
      </c>
    </row>
    <row r="1538" spans="1:6" ht="14.4" thickBot="1" x14ac:dyDescent="0.35">
      <c r="A1538" s="4" t="s">
        <v>506</v>
      </c>
      <c r="B1538" s="4" t="s">
        <v>507</v>
      </c>
      <c r="C1538" s="4" t="s">
        <v>506</v>
      </c>
      <c r="D1538" s="4" t="s">
        <v>2256</v>
      </c>
      <c r="E1538" s="4" t="s">
        <v>2257</v>
      </c>
      <c r="F1538" s="4" t="s">
        <v>2256</v>
      </c>
    </row>
    <row r="1539" spans="1:6" ht="14.4" thickBot="1" x14ac:dyDescent="0.35">
      <c r="A1539" s="4" t="s">
        <v>506</v>
      </c>
      <c r="B1539" s="4" t="s">
        <v>507</v>
      </c>
      <c r="C1539" s="4" t="s">
        <v>506</v>
      </c>
      <c r="D1539" s="4" t="s">
        <v>3744</v>
      </c>
      <c r="E1539" s="4" t="s">
        <v>3745</v>
      </c>
      <c r="F1539" s="4" t="s">
        <v>3744</v>
      </c>
    </row>
    <row r="1540" spans="1:6" ht="14.4" thickBot="1" x14ac:dyDescent="0.35">
      <c r="A1540" s="4" t="s">
        <v>506</v>
      </c>
      <c r="B1540" s="4" t="s">
        <v>507</v>
      </c>
      <c r="C1540" s="4" t="s">
        <v>506</v>
      </c>
      <c r="D1540" s="4" t="s">
        <v>3689</v>
      </c>
      <c r="E1540" s="4" t="s">
        <v>3690</v>
      </c>
      <c r="F1540" s="4" t="s">
        <v>3689</v>
      </c>
    </row>
    <row r="1541" spans="1:6" ht="14.4" thickBot="1" x14ac:dyDescent="0.35">
      <c r="A1541" s="4" t="s">
        <v>506</v>
      </c>
      <c r="B1541" s="4" t="s">
        <v>507</v>
      </c>
      <c r="C1541" s="4" t="s">
        <v>506</v>
      </c>
      <c r="D1541" s="4" t="s">
        <v>1462</v>
      </c>
      <c r="E1541" s="4" t="s">
        <v>1463</v>
      </c>
      <c r="F1541" s="4" t="s">
        <v>1462</v>
      </c>
    </row>
    <row r="1542" spans="1:6" ht="14.4" thickBot="1" x14ac:dyDescent="0.35">
      <c r="A1542" s="4" t="s">
        <v>506</v>
      </c>
      <c r="B1542" s="4" t="s">
        <v>507</v>
      </c>
      <c r="C1542" s="4" t="s">
        <v>506</v>
      </c>
      <c r="D1542" s="4" t="s">
        <v>2946</v>
      </c>
      <c r="E1542" s="4" t="s">
        <v>1309</v>
      </c>
      <c r="F1542" s="4" t="s">
        <v>2946</v>
      </c>
    </row>
    <row r="1543" spans="1:6" ht="14.4" thickBot="1" x14ac:dyDescent="0.35">
      <c r="A1543" s="4" t="s">
        <v>506</v>
      </c>
      <c r="B1543" s="4" t="s">
        <v>507</v>
      </c>
      <c r="C1543" s="4" t="s">
        <v>506</v>
      </c>
      <c r="D1543" s="4" t="s">
        <v>2942</v>
      </c>
      <c r="E1543" s="4" t="s">
        <v>2943</v>
      </c>
      <c r="F1543" s="4" t="s">
        <v>2942</v>
      </c>
    </row>
    <row r="1544" spans="1:6" ht="14.4" thickBot="1" x14ac:dyDescent="0.35">
      <c r="A1544" s="4" t="s">
        <v>506</v>
      </c>
      <c r="B1544" s="4" t="s">
        <v>507</v>
      </c>
      <c r="C1544" s="4" t="s">
        <v>506</v>
      </c>
      <c r="D1544" s="4" t="s">
        <v>508</v>
      </c>
      <c r="E1544" s="4" t="s">
        <v>509</v>
      </c>
      <c r="F1544" s="4" t="s">
        <v>508</v>
      </c>
    </row>
    <row r="1545" spans="1:6" ht="14.4" thickBot="1" x14ac:dyDescent="0.35">
      <c r="A1545" s="4" t="s">
        <v>506</v>
      </c>
      <c r="B1545" s="4" t="s">
        <v>507</v>
      </c>
      <c r="C1545" s="4" t="s">
        <v>506</v>
      </c>
      <c r="D1545" s="4" t="s">
        <v>4521</v>
      </c>
      <c r="E1545" s="4" t="s">
        <v>4522</v>
      </c>
      <c r="F1545" s="4" t="s">
        <v>4521</v>
      </c>
    </row>
    <row r="1546" spans="1:6" ht="14.4" thickBot="1" x14ac:dyDescent="0.35">
      <c r="A1546" s="4" t="s">
        <v>506</v>
      </c>
      <c r="B1546" s="4" t="s">
        <v>507</v>
      </c>
      <c r="C1546" s="4" t="s">
        <v>506</v>
      </c>
      <c r="D1546" s="4" t="s">
        <v>518</v>
      </c>
      <c r="E1546" s="4" t="s">
        <v>519</v>
      </c>
      <c r="F1546" s="4" t="s">
        <v>518</v>
      </c>
    </row>
    <row r="1547" spans="1:6" ht="14.4" thickBot="1" x14ac:dyDescent="0.35">
      <c r="A1547" s="4" t="s">
        <v>506</v>
      </c>
      <c r="B1547" s="4" t="s">
        <v>507</v>
      </c>
      <c r="C1547" s="4" t="s">
        <v>506</v>
      </c>
      <c r="D1547" s="4" t="s">
        <v>2944</v>
      </c>
      <c r="E1547" s="4" t="s">
        <v>2945</v>
      </c>
      <c r="F1547" s="4" t="s">
        <v>2944</v>
      </c>
    </row>
    <row r="1548" spans="1:6" ht="14.4" thickBot="1" x14ac:dyDescent="0.35">
      <c r="A1548" s="4" t="s">
        <v>506</v>
      </c>
      <c r="B1548" s="4" t="s">
        <v>507</v>
      </c>
      <c r="C1548" s="4" t="s">
        <v>506</v>
      </c>
      <c r="D1548" s="4" t="s">
        <v>2254</v>
      </c>
      <c r="E1548" s="4" t="s">
        <v>2255</v>
      </c>
      <c r="F1548" s="4" t="s">
        <v>2254</v>
      </c>
    </row>
    <row r="1549" spans="1:6" ht="14.4" thickBot="1" x14ac:dyDescent="0.35">
      <c r="A1549" s="4" t="s">
        <v>506</v>
      </c>
      <c r="B1549" s="4" t="s">
        <v>507</v>
      </c>
      <c r="C1549" s="4" t="s">
        <v>506</v>
      </c>
      <c r="D1549" s="4" t="s">
        <v>516</v>
      </c>
      <c r="E1549" s="4" t="s">
        <v>517</v>
      </c>
      <c r="F1549" s="4" t="s">
        <v>516</v>
      </c>
    </row>
    <row r="1550" spans="1:6" ht="14.4" thickBot="1" x14ac:dyDescent="0.35">
      <c r="A1550" s="4" t="s">
        <v>506</v>
      </c>
      <c r="B1550" s="4" t="s">
        <v>507</v>
      </c>
      <c r="C1550" s="4" t="s">
        <v>506</v>
      </c>
      <c r="D1550" s="4" t="s">
        <v>5839</v>
      </c>
      <c r="E1550" s="4" t="s">
        <v>5840</v>
      </c>
      <c r="F1550" s="4" t="s">
        <v>5839</v>
      </c>
    </row>
    <row r="1551" spans="1:6" ht="14.4" thickBot="1" x14ac:dyDescent="0.35">
      <c r="A1551" s="4" t="s">
        <v>506</v>
      </c>
      <c r="B1551" s="4" t="s">
        <v>507</v>
      </c>
      <c r="C1551" s="4" t="s">
        <v>506</v>
      </c>
      <c r="D1551" s="4" t="s">
        <v>512</v>
      </c>
      <c r="E1551" s="4" t="s">
        <v>513</v>
      </c>
      <c r="F1551" s="4" t="s">
        <v>512</v>
      </c>
    </row>
    <row r="1552" spans="1:6" ht="14.4" thickBot="1" x14ac:dyDescent="0.35">
      <c r="A1552" s="4" t="s">
        <v>506</v>
      </c>
      <c r="B1552" s="4" t="s">
        <v>507</v>
      </c>
      <c r="C1552" s="4" t="s">
        <v>506</v>
      </c>
      <c r="D1552" s="4" t="s">
        <v>5841</v>
      </c>
      <c r="E1552" s="4" t="s">
        <v>5842</v>
      </c>
      <c r="F1552" s="4" t="s">
        <v>5841</v>
      </c>
    </row>
    <row r="1553" spans="1:6" ht="14.4" thickBot="1" x14ac:dyDescent="0.35">
      <c r="A1553" s="4" t="s">
        <v>506</v>
      </c>
      <c r="B1553" s="4" t="s">
        <v>507</v>
      </c>
      <c r="C1553" s="4" t="s">
        <v>506</v>
      </c>
      <c r="D1553" s="4" t="s">
        <v>3743</v>
      </c>
      <c r="E1553" s="4" t="s">
        <v>1292</v>
      </c>
      <c r="F1553" s="4" t="s">
        <v>3743</v>
      </c>
    </row>
    <row r="1554" spans="1:6" ht="14.4" thickBot="1" x14ac:dyDescent="0.35">
      <c r="A1554" s="4" t="s">
        <v>506</v>
      </c>
      <c r="B1554" s="4" t="s">
        <v>507</v>
      </c>
      <c r="C1554" s="4" t="s">
        <v>506</v>
      </c>
      <c r="D1554" s="4" t="s">
        <v>592</v>
      </c>
      <c r="E1554" s="4" t="s">
        <v>593</v>
      </c>
      <c r="F1554" s="4" t="s">
        <v>592</v>
      </c>
    </row>
    <row r="1555" spans="1:6" ht="14.4" thickBot="1" x14ac:dyDescent="0.35">
      <c r="A1555" s="4" t="s">
        <v>506</v>
      </c>
      <c r="B1555" s="4" t="s">
        <v>507</v>
      </c>
      <c r="C1555" s="4" t="s">
        <v>506</v>
      </c>
      <c r="D1555" s="4" t="s">
        <v>510</v>
      </c>
      <c r="E1555" s="4" t="s">
        <v>511</v>
      </c>
      <c r="F1555" s="4" t="s">
        <v>510</v>
      </c>
    </row>
    <row r="1556" spans="1:6" ht="14.4" thickBot="1" x14ac:dyDescent="0.35">
      <c r="A1556" s="4" t="s">
        <v>506</v>
      </c>
      <c r="B1556" s="4" t="s">
        <v>507</v>
      </c>
      <c r="C1556" s="4" t="s">
        <v>506</v>
      </c>
      <c r="D1556" s="4" t="s">
        <v>3691</v>
      </c>
      <c r="E1556" s="4" t="s">
        <v>3692</v>
      </c>
      <c r="F1556" s="4" t="s">
        <v>3691</v>
      </c>
    </row>
    <row r="1557" spans="1:6" ht="14.4" thickBot="1" x14ac:dyDescent="0.35">
      <c r="A1557" s="4" t="s">
        <v>506</v>
      </c>
      <c r="B1557" s="4" t="s">
        <v>507</v>
      </c>
      <c r="C1557" s="4" t="s">
        <v>506</v>
      </c>
      <c r="D1557" s="4" t="s">
        <v>2947</v>
      </c>
      <c r="E1557" s="4" t="s">
        <v>2948</v>
      </c>
      <c r="F1557" s="4" t="s">
        <v>2947</v>
      </c>
    </row>
    <row r="1558" spans="1:6" ht="14.4" thickBot="1" x14ac:dyDescent="0.35">
      <c r="A1558" s="4" t="s">
        <v>506</v>
      </c>
      <c r="B1558" s="4" t="s">
        <v>507</v>
      </c>
      <c r="C1558" s="4" t="s">
        <v>506</v>
      </c>
      <c r="D1558" s="4" t="s">
        <v>3687</v>
      </c>
      <c r="E1558" s="4" t="s">
        <v>3688</v>
      </c>
      <c r="F1558" s="4" t="s">
        <v>3687</v>
      </c>
    </row>
    <row r="1559" spans="1:6" ht="14.4" thickBot="1" x14ac:dyDescent="0.35">
      <c r="A1559" s="4" t="s">
        <v>522</v>
      </c>
      <c r="B1559" s="4" t="s">
        <v>523</v>
      </c>
      <c r="C1559" s="4" t="s">
        <v>522</v>
      </c>
      <c r="D1559" s="4" t="s">
        <v>524</v>
      </c>
      <c r="E1559" s="4" t="s">
        <v>525</v>
      </c>
      <c r="F1559" s="4" t="s">
        <v>524</v>
      </c>
    </row>
    <row r="1560" spans="1:6" ht="14.4" thickBot="1" x14ac:dyDescent="0.35">
      <c r="A1560" s="4" t="s">
        <v>522</v>
      </c>
      <c r="B1560" s="4" t="s">
        <v>523</v>
      </c>
      <c r="C1560" s="4" t="s">
        <v>522</v>
      </c>
      <c r="D1560" s="4" t="s">
        <v>832</v>
      </c>
      <c r="E1560" s="4" t="s">
        <v>1470</v>
      </c>
      <c r="F1560" s="4" t="s">
        <v>832</v>
      </c>
    </row>
    <row r="1561" spans="1:6" ht="14.4" thickBot="1" x14ac:dyDescent="0.35">
      <c r="A1561" s="4" t="s">
        <v>522</v>
      </c>
      <c r="B1561" s="4" t="s">
        <v>523</v>
      </c>
      <c r="C1561" s="4" t="s">
        <v>522</v>
      </c>
      <c r="D1561" s="4" t="s">
        <v>4469</v>
      </c>
      <c r="E1561" s="4" t="s">
        <v>4470</v>
      </c>
      <c r="F1561" s="4" t="s">
        <v>4469</v>
      </c>
    </row>
    <row r="1562" spans="1:6" ht="14.4" thickBot="1" x14ac:dyDescent="0.35">
      <c r="A1562" s="4" t="s">
        <v>522</v>
      </c>
      <c r="B1562" s="4" t="s">
        <v>523</v>
      </c>
      <c r="C1562" s="4" t="s">
        <v>522</v>
      </c>
      <c r="D1562" s="4" t="s">
        <v>3746</v>
      </c>
      <c r="E1562" s="4" t="s">
        <v>3747</v>
      </c>
      <c r="F1562" s="4" t="s">
        <v>3746</v>
      </c>
    </row>
    <row r="1563" spans="1:6" ht="14.4" thickBot="1" x14ac:dyDescent="0.35">
      <c r="A1563" s="4" t="s">
        <v>522</v>
      </c>
      <c r="B1563" s="4" t="s">
        <v>523</v>
      </c>
      <c r="C1563" s="4" t="s">
        <v>522</v>
      </c>
      <c r="D1563" s="4" t="s">
        <v>3015</v>
      </c>
      <c r="E1563" s="4" t="s">
        <v>3016</v>
      </c>
      <c r="F1563" s="4" t="s">
        <v>3015</v>
      </c>
    </row>
    <row r="1564" spans="1:6" ht="14.4" thickBot="1" x14ac:dyDescent="0.35">
      <c r="A1564" s="4" t="s">
        <v>811</v>
      </c>
      <c r="B1564" s="4" t="s">
        <v>812</v>
      </c>
      <c r="C1564" s="4" t="s">
        <v>811</v>
      </c>
      <c r="D1564" s="4" t="s">
        <v>3976</v>
      </c>
      <c r="E1564" s="4" t="s">
        <v>3977</v>
      </c>
      <c r="F1564" s="4" t="s">
        <v>3976</v>
      </c>
    </row>
    <row r="1565" spans="1:6" ht="14.4" thickBot="1" x14ac:dyDescent="0.35">
      <c r="A1565" s="4" t="s">
        <v>811</v>
      </c>
      <c r="B1565" s="4" t="s">
        <v>812</v>
      </c>
      <c r="C1565" s="4" t="s">
        <v>811</v>
      </c>
      <c r="D1565" s="4" t="s">
        <v>3974</v>
      </c>
      <c r="E1565" s="4" t="s">
        <v>3975</v>
      </c>
      <c r="F1565" s="4" t="s">
        <v>3974</v>
      </c>
    </row>
    <row r="1566" spans="1:6" ht="14.4" thickBot="1" x14ac:dyDescent="0.35">
      <c r="A1566" s="4" t="s">
        <v>811</v>
      </c>
      <c r="B1566" s="4" t="s">
        <v>812</v>
      </c>
      <c r="C1566" s="4" t="s">
        <v>811</v>
      </c>
      <c r="D1566" s="4" t="s">
        <v>6066</v>
      </c>
      <c r="E1566" s="4" t="s">
        <v>6067</v>
      </c>
      <c r="F1566" s="4" t="s">
        <v>6066</v>
      </c>
    </row>
    <row r="1567" spans="1:6" ht="14.4" thickBot="1" x14ac:dyDescent="0.35">
      <c r="A1567" s="4" t="s">
        <v>811</v>
      </c>
      <c r="B1567" s="4" t="s">
        <v>812</v>
      </c>
      <c r="C1567" s="4" t="s">
        <v>811</v>
      </c>
      <c r="D1567" s="4" t="s">
        <v>2398</v>
      </c>
      <c r="E1567" s="4" t="s">
        <v>2399</v>
      </c>
      <c r="F1567" s="4" t="s">
        <v>2398</v>
      </c>
    </row>
    <row r="1568" spans="1:6" ht="14.4" thickBot="1" x14ac:dyDescent="0.35">
      <c r="A1568" s="4" t="s">
        <v>811</v>
      </c>
      <c r="B1568" s="4" t="s">
        <v>812</v>
      </c>
      <c r="C1568" s="4" t="s">
        <v>811</v>
      </c>
      <c r="D1568" s="4" t="s">
        <v>813</v>
      </c>
      <c r="E1568" s="4" t="s">
        <v>814</v>
      </c>
      <c r="F1568" s="4" t="s">
        <v>813</v>
      </c>
    </row>
    <row r="1569" spans="1:6" ht="14.4" thickBot="1" x14ac:dyDescent="0.35">
      <c r="A1569" s="4" t="s">
        <v>1668</v>
      </c>
      <c r="B1569" s="4" t="s">
        <v>2210</v>
      </c>
      <c r="C1569" s="4" t="s">
        <v>1668</v>
      </c>
      <c r="D1569" s="4" t="s">
        <v>3697</v>
      </c>
      <c r="E1569" s="4" t="s">
        <v>3698</v>
      </c>
      <c r="F1569" s="4" t="s">
        <v>3697</v>
      </c>
    </row>
    <row r="1570" spans="1:6" ht="14.4" thickBot="1" x14ac:dyDescent="0.35">
      <c r="A1570" s="4" t="s">
        <v>1668</v>
      </c>
      <c r="B1570" s="4" t="s">
        <v>2210</v>
      </c>
      <c r="C1570" s="4" t="s">
        <v>1668</v>
      </c>
      <c r="D1570" s="4" t="s">
        <v>2211</v>
      </c>
      <c r="E1570" s="4" t="s">
        <v>2212</v>
      </c>
      <c r="F1570" s="4" t="s">
        <v>2211</v>
      </c>
    </row>
    <row r="1571" spans="1:6" ht="14.4" thickBot="1" x14ac:dyDescent="0.35">
      <c r="A1571" s="4" t="s">
        <v>1668</v>
      </c>
      <c r="B1571" s="4" t="s">
        <v>2210</v>
      </c>
      <c r="C1571" s="4" t="s">
        <v>1668</v>
      </c>
      <c r="D1571" s="4" t="s">
        <v>2213</v>
      </c>
      <c r="E1571" s="4" t="s">
        <v>2214</v>
      </c>
      <c r="F1571" s="4" t="s">
        <v>2213</v>
      </c>
    </row>
    <row r="1572" spans="1:6" ht="14.4" thickBot="1" x14ac:dyDescent="0.35">
      <c r="A1572" s="4" t="s">
        <v>815</v>
      </c>
      <c r="B1572" s="4" t="s">
        <v>816</v>
      </c>
      <c r="C1572" s="4" t="s">
        <v>815</v>
      </c>
      <c r="D1572" s="4" t="s">
        <v>4072</v>
      </c>
      <c r="E1572" s="4" t="s">
        <v>4073</v>
      </c>
      <c r="F1572" s="4" t="s">
        <v>4072</v>
      </c>
    </row>
    <row r="1573" spans="1:6" ht="14.4" thickBot="1" x14ac:dyDescent="0.35">
      <c r="A1573" s="4" t="s">
        <v>815</v>
      </c>
      <c r="B1573" s="4" t="s">
        <v>816</v>
      </c>
      <c r="C1573" s="4" t="s">
        <v>815</v>
      </c>
      <c r="D1573" s="4" t="s">
        <v>6175</v>
      </c>
      <c r="E1573" s="4" t="s">
        <v>6176</v>
      </c>
      <c r="F1573" s="4" t="s">
        <v>6175</v>
      </c>
    </row>
    <row r="1574" spans="1:6" ht="14.4" thickBot="1" x14ac:dyDescent="0.35">
      <c r="A1574" s="4" t="s">
        <v>815</v>
      </c>
      <c r="B1574" s="4" t="s">
        <v>816</v>
      </c>
      <c r="C1574" s="4" t="s">
        <v>815</v>
      </c>
      <c r="D1574" s="4" t="s">
        <v>3978</v>
      </c>
      <c r="E1574" s="4" t="s">
        <v>3979</v>
      </c>
      <c r="F1574" s="4" t="s">
        <v>3978</v>
      </c>
    </row>
    <row r="1575" spans="1:6" ht="14.4" thickBot="1" x14ac:dyDescent="0.35">
      <c r="A1575" s="4" t="s">
        <v>815</v>
      </c>
      <c r="B1575" s="4" t="s">
        <v>816</v>
      </c>
      <c r="C1575" s="4" t="s">
        <v>815</v>
      </c>
      <c r="D1575" s="4" t="s">
        <v>6070</v>
      </c>
      <c r="E1575" s="4" t="s">
        <v>3114</v>
      </c>
      <c r="F1575" s="4" t="s">
        <v>6070</v>
      </c>
    </row>
    <row r="1576" spans="1:6" ht="14.4" thickBot="1" x14ac:dyDescent="0.35">
      <c r="A1576" s="4" t="s">
        <v>815</v>
      </c>
      <c r="B1576" s="4" t="s">
        <v>816</v>
      </c>
      <c r="C1576" s="4" t="s">
        <v>815</v>
      </c>
      <c r="D1576" s="4" t="s">
        <v>966</v>
      </c>
      <c r="E1576" s="4" t="s">
        <v>967</v>
      </c>
      <c r="F1576" s="4" t="s">
        <v>966</v>
      </c>
    </row>
    <row r="1577" spans="1:6" ht="14.4" thickBot="1" x14ac:dyDescent="0.35">
      <c r="A1577" s="4" t="s">
        <v>815</v>
      </c>
      <c r="B1577" s="4" t="s">
        <v>816</v>
      </c>
      <c r="C1577" s="4" t="s">
        <v>815</v>
      </c>
      <c r="D1577" s="4" t="s">
        <v>6068</v>
      </c>
      <c r="E1577" s="4" t="s">
        <v>6069</v>
      </c>
      <c r="F1577" s="4" t="s">
        <v>6068</v>
      </c>
    </row>
    <row r="1578" spans="1:6" ht="14.4" thickBot="1" x14ac:dyDescent="0.35">
      <c r="A1578" s="4" t="s">
        <v>815</v>
      </c>
      <c r="B1578" s="4" t="s">
        <v>816</v>
      </c>
      <c r="C1578" s="4" t="s">
        <v>815</v>
      </c>
      <c r="D1578" s="4" t="s">
        <v>817</v>
      </c>
      <c r="E1578" s="4" t="s">
        <v>818</v>
      </c>
      <c r="F1578" s="4" t="s">
        <v>817</v>
      </c>
    </row>
    <row r="1579" spans="1:6" ht="14.4" thickBot="1" x14ac:dyDescent="0.35">
      <c r="A1579" s="4" t="s">
        <v>815</v>
      </c>
      <c r="B1579" s="4" t="s">
        <v>816</v>
      </c>
      <c r="C1579" s="4" t="s">
        <v>815</v>
      </c>
      <c r="D1579" s="4" t="s">
        <v>1706</v>
      </c>
      <c r="E1579" s="4" t="s">
        <v>1707</v>
      </c>
      <c r="F1579" s="4" t="s">
        <v>1706</v>
      </c>
    </row>
    <row r="1580" spans="1:6" ht="14.4" thickBot="1" x14ac:dyDescent="0.35">
      <c r="A1580" s="4" t="s">
        <v>815</v>
      </c>
      <c r="B1580" s="4" t="s">
        <v>816</v>
      </c>
      <c r="C1580" s="4" t="s">
        <v>815</v>
      </c>
      <c r="D1580" s="4" t="s">
        <v>825</v>
      </c>
      <c r="E1580" s="4" t="s">
        <v>826</v>
      </c>
      <c r="F1580" s="4" t="s">
        <v>825</v>
      </c>
    </row>
    <row r="1581" spans="1:6" ht="14.4" thickBot="1" x14ac:dyDescent="0.35">
      <c r="A1581" s="4" t="s">
        <v>815</v>
      </c>
      <c r="B1581" s="4" t="s">
        <v>816</v>
      </c>
      <c r="C1581" s="4" t="s">
        <v>815</v>
      </c>
      <c r="D1581" s="4" t="s">
        <v>821</v>
      </c>
      <c r="E1581" s="4" t="s">
        <v>822</v>
      </c>
      <c r="F1581" s="4" t="s">
        <v>821</v>
      </c>
    </row>
    <row r="1582" spans="1:6" ht="14.4" thickBot="1" x14ac:dyDescent="0.35">
      <c r="A1582" s="4" t="s">
        <v>815</v>
      </c>
      <c r="B1582" s="4" t="s">
        <v>816</v>
      </c>
      <c r="C1582" s="4" t="s">
        <v>815</v>
      </c>
      <c r="D1582" s="4" t="s">
        <v>819</v>
      </c>
      <c r="E1582" s="4" t="s">
        <v>820</v>
      </c>
      <c r="F1582" s="4" t="s">
        <v>819</v>
      </c>
    </row>
    <row r="1583" spans="1:6" ht="14.4" thickBot="1" x14ac:dyDescent="0.35">
      <c r="A1583" s="4" t="s">
        <v>815</v>
      </c>
      <c r="B1583" s="4" t="s">
        <v>816</v>
      </c>
      <c r="C1583" s="4" t="s">
        <v>815</v>
      </c>
      <c r="D1583" s="4" t="s">
        <v>823</v>
      </c>
      <c r="E1583" s="4" t="s">
        <v>824</v>
      </c>
      <c r="F1583" s="4" t="s">
        <v>823</v>
      </c>
    </row>
    <row r="1584" spans="1:6" ht="14.4" thickBot="1" x14ac:dyDescent="0.35">
      <c r="A1584" s="4" t="s">
        <v>815</v>
      </c>
      <c r="B1584" s="4" t="s">
        <v>816</v>
      </c>
      <c r="C1584" s="4" t="s">
        <v>815</v>
      </c>
      <c r="D1584" s="4" t="s">
        <v>3980</v>
      </c>
      <c r="E1584" s="4" t="s">
        <v>3981</v>
      </c>
      <c r="F1584" s="4" t="s">
        <v>3980</v>
      </c>
    </row>
    <row r="1585" spans="1:6" ht="14.4" thickBot="1" x14ac:dyDescent="0.35">
      <c r="A1585" s="4" t="s">
        <v>526</v>
      </c>
      <c r="B1585" s="4" t="s">
        <v>527</v>
      </c>
      <c r="C1585" s="4" t="s">
        <v>526</v>
      </c>
      <c r="D1585" s="4" t="s">
        <v>3701</v>
      </c>
      <c r="E1585" s="4" t="s">
        <v>3702</v>
      </c>
      <c r="F1585" s="4" t="s">
        <v>3701</v>
      </c>
    </row>
    <row r="1586" spans="1:6" ht="14.4" thickBot="1" x14ac:dyDescent="0.35">
      <c r="A1586" s="4" t="s">
        <v>526</v>
      </c>
      <c r="B1586" s="4" t="s">
        <v>527</v>
      </c>
      <c r="C1586" s="4" t="s">
        <v>526</v>
      </c>
      <c r="D1586" s="4" t="s">
        <v>2951</v>
      </c>
      <c r="E1586" s="4" t="s">
        <v>2952</v>
      </c>
      <c r="F1586" s="4" t="s">
        <v>2951</v>
      </c>
    </row>
    <row r="1587" spans="1:6" ht="14.4" thickBot="1" x14ac:dyDescent="0.35">
      <c r="A1587" s="4" t="s">
        <v>526</v>
      </c>
      <c r="B1587" s="4" t="s">
        <v>527</v>
      </c>
      <c r="C1587" s="4" t="s">
        <v>526</v>
      </c>
      <c r="D1587" s="4" t="s">
        <v>1471</v>
      </c>
      <c r="E1587" s="4" t="s">
        <v>1472</v>
      </c>
      <c r="F1587" s="4" t="s">
        <v>1471</v>
      </c>
    </row>
    <row r="1588" spans="1:6" ht="14.4" thickBot="1" x14ac:dyDescent="0.35">
      <c r="A1588" s="4" t="s">
        <v>526</v>
      </c>
      <c r="B1588" s="4" t="s">
        <v>527</v>
      </c>
      <c r="C1588" s="4" t="s">
        <v>526</v>
      </c>
      <c r="D1588" s="4" t="s">
        <v>3699</v>
      </c>
      <c r="E1588" s="4" t="s">
        <v>3700</v>
      </c>
      <c r="F1588" s="4" t="s">
        <v>3699</v>
      </c>
    </row>
    <row r="1589" spans="1:6" ht="14.4" thickBot="1" x14ac:dyDescent="0.35">
      <c r="A1589" s="4" t="s">
        <v>526</v>
      </c>
      <c r="B1589" s="4" t="s">
        <v>527</v>
      </c>
      <c r="C1589" s="4" t="s">
        <v>526</v>
      </c>
      <c r="D1589" s="4" t="s">
        <v>4473</v>
      </c>
      <c r="E1589" s="4" t="s">
        <v>4474</v>
      </c>
      <c r="F1589" s="4" t="s">
        <v>4473</v>
      </c>
    </row>
    <row r="1590" spans="1:6" ht="14.4" thickBot="1" x14ac:dyDescent="0.35">
      <c r="A1590" s="4" t="s">
        <v>526</v>
      </c>
      <c r="B1590" s="4" t="s">
        <v>527</v>
      </c>
      <c r="C1590" s="4" t="s">
        <v>526</v>
      </c>
      <c r="D1590" s="4" t="s">
        <v>2953</v>
      </c>
      <c r="E1590" s="4" t="s">
        <v>2954</v>
      </c>
      <c r="F1590" s="4" t="s">
        <v>2953</v>
      </c>
    </row>
    <row r="1591" spans="1:6" ht="14.4" thickBot="1" x14ac:dyDescent="0.35">
      <c r="A1591" s="4" t="s">
        <v>526</v>
      </c>
      <c r="B1591" s="4" t="s">
        <v>527</v>
      </c>
      <c r="C1591" s="4" t="s">
        <v>526</v>
      </c>
      <c r="D1591" s="4" t="s">
        <v>4483</v>
      </c>
      <c r="E1591" s="4" t="s">
        <v>4484</v>
      </c>
      <c r="F1591" s="4" t="s">
        <v>4483</v>
      </c>
    </row>
    <row r="1592" spans="1:6" ht="14.4" thickBot="1" x14ac:dyDescent="0.35">
      <c r="A1592" s="4" t="s">
        <v>526</v>
      </c>
      <c r="B1592" s="4" t="s">
        <v>527</v>
      </c>
      <c r="C1592" s="4" t="s">
        <v>526</v>
      </c>
      <c r="D1592" s="4" t="s">
        <v>5896</v>
      </c>
      <c r="E1592" s="4" t="s">
        <v>4073</v>
      </c>
      <c r="F1592" s="4" t="s">
        <v>5896</v>
      </c>
    </row>
    <row r="1593" spans="1:6" ht="14.4" thickBot="1" x14ac:dyDescent="0.35">
      <c r="A1593" s="4" t="s">
        <v>526</v>
      </c>
      <c r="B1593" s="4" t="s">
        <v>527</v>
      </c>
      <c r="C1593" s="4" t="s">
        <v>526</v>
      </c>
      <c r="D1593" s="4" t="s">
        <v>5167</v>
      </c>
      <c r="E1593" s="4" t="s">
        <v>5168</v>
      </c>
      <c r="F1593" s="4" t="s">
        <v>5167</v>
      </c>
    </row>
    <row r="1594" spans="1:6" ht="14.4" thickBot="1" x14ac:dyDescent="0.35">
      <c r="A1594" s="4" t="s">
        <v>526</v>
      </c>
      <c r="B1594" s="4" t="s">
        <v>527</v>
      </c>
      <c r="C1594" s="4" t="s">
        <v>526</v>
      </c>
      <c r="D1594" s="4" t="s">
        <v>5852</v>
      </c>
      <c r="E1594" s="4" t="s">
        <v>5853</v>
      </c>
      <c r="F1594" s="4" t="s">
        <v>5852</v>
      </c>
    </row>
    <row r="1595" spans="1:6" ht="14.4" thickBot="1" x14ac:dyDescent="0.35">
      <c r="A1595" s="4" t="s">
        <v>526</v>
      </c>
      <c r="B1595" s="4" t="s">
        <v>527</v>
      </c>
      <c r="C1595" s="4" t="s">
        <v>526</v>
      </c>
      <c r="D1595" s="4" t="s">
        <v>2215</v>
      </c>
      <c r="E1595" s="4" t="s">
        <v>2216</v>
      </c>
      <c r="F1595" s="4" t="s">
        <v>2215</v>
      </c>
    </row>
    <row r="1596" spans="1:6" ht="14.4" thickBot="1" x14ac:dyDescent="0.35">
      <c r="A1596" s="4" t="s">
        <v>526</v>
      </c>
      <c r="B1596" s="4" t="s">
        <v>527</v>
      </c>
      <c r="C1596" s="4" t="s">
        <v>526</v>
      </c>
      <c r="D1596" s="4" t="s">
        <v>2217</v>
      </c>
      <c r="E1596" s="4" t="s">
        <v>2218</v>
      </c>
      <c r="F1596" s="4" t="s">
        <v>2217</v>
      </c>
    </row>
    <row r="1597" spans="1:6" ht="14.4" thickBot="1" x14ac:dyDescent="0.35">
      <c r="A1597" s="4" t="s">
        <v>526</v>
      </c>
      <c r="B1597" s="4" t="s">
        <v>527</v>
      </c>
      <c r="C1597" s="4" t="s">
        <v>526</v>
      </c>
      <c r="D1597" s="4" t="s">
        <v>1473</v>
      </c>
      <c r="E1597" s="4" t="s">
        <v>1474</v>
      </c>
      <c r="F1597" s="4" t="s">
        <v>1473</v>
      </c>
    </row>
    <row r="1598" spans="1:6" ht="14.4" thickBot="1" x14ac:dyDescent="0.35">
      <c r="A1598" s="4" t="s">
        <v>526</v>
      </c>
      <c r="B1598" s="4" t="s">
        <v>527</v>
      </c>
      <c r="C1598" s="4" t="s">
        <v>526</v>
      </c>
      <c r="D1598" s="4" t="s">
        <v>3703</v>
      </c>
      <c r="E1598" s="4" t="s">
        <v>422</v>
      </c>
      <c r="F1598" s="4" t="s">
        <v>3703</v>
      </c>
    </row>
    <row r="1599" spans="1:6" ht="14.4" thickBot="1" x14ac:dyDescent="0.35">
      <c r="A1599" s="4" t="s">
        <v>526</v>
      </c>
      <c r="B1599" s="4" t="s">
        <v>527</v>
      </c>
      <c r="C1599" s="4" t="s">
        <v>526</v>
      </c>
      <c r="D1599" s="4" t="s">
        <v>534</v>
      </c>
      <c r="E1599" s="4" t="s">
        <v>535</v>
      </c>
      <c r="F1599" s="4" t="s">
        <v>534</v>
      </c>
    </row>
    <row r="1600" spans="1:6" ht="14.4" thickBot="1" x14ac:dyDescent="0.35">
      <c r="A1600" s="4" t="s">
        <v>526</v>
      </c>
      <c r="B1600" s="4" t="s">
        <v>527</v>
      </c>
      <c r="C1600" s="4" t="s">
        <v>526</v>
      </c>
      <c r="D1600" s="4" t="s">
        <v>4471</v>
      </c>
      <c r="E1600" s="4" t="s">
        <v>4472</v>
      </c>
      <c r="F1600" s="4" t="s">
        <v>4471</v>
      </c>
    </row>
    <row r="1601" spans="1:6" ht="14.4" thickBot="1" x14ac:dyDescent="0.35">
      <c r="A1601" s="4" t="s">
        <v>526</v>
      </c>
      <c r="B1601" s="4" t="s">
        <v>527</v>
      </c>
      <c r="C1601" s="4" t="s">
        <v>526</v>
      </c>
      <c r="D1601" s="4" t="s">
        <v>600</v>
      </c>
      <c r="E1601" s="4" t="s">
        <v>601</v>
      </c>
      <c r="F1601" s="4" t="s">
        <v>600</v>
      </c>
    </row>
    <row r="1602" spans="1:6" ht="14.4" thickBot="1" x14ac:dyDescent="0.35">
      <c r="A1602" s="4" t="s">
        <v>526</v>
      </c>
      <c r="B1602" s="4" t="s">
        <v>527</v>
      </c>
      <c r="C1602" s="4" t="s">
        <v>526</v>
      </c>
      <c r="D1602" s="4" t="s">
        <v>602</v>
      </c>
      <c r="E1602" s="4" t="s">
        <v>603</v>
      </c>
      <c r="F1602" s="4" t="s">
        <v>602</v>
      </c>
    </row>
    <row r="1603" spans="1:6" ht="14.4" thickBot="1" x14ac:dyDescent="0.35">
      <c r="A1603" s="4" t="s">
        <v>526</v>
      </c>
      <c r="B1603" s="4" t="s">
        <v>527</v>
      </c>
      <c r="C1603" s="4" t="s">
        <v>526</v>
      </c>
      <c r="D1603" s="4" t="s">
        <v>3750</v>
      </c>
      <c r="E1603" s="4" t="s">
        <v>3751</v>
      </c>
      <c r="F1603" s="4" t="s">
        <v>3750</v>
      </c>
    </row>
    <row r="1604" spans="1:6" ht="14.4" thickBot="1" x14ac:dyDescent="0.35">
      <c r="A1604" s="4" t="s">
        <v>526</v>
      </c>
      <c r="B1604" s="4" t="s">
        <v>527</v>
      </c>
      <c r="C1604" s="4" t="s">
        <v>526</v>
      </c>
      <c r="D1604" s="4" t="s">
        <v>4523</v>
      </c>
      <c r="E1604" s="4" t="s">
        <v>4524</v>
      </c>
      <c r="F1604" s="4" t="s">
        <v>4523</v>
      </c>
    </row>
    <row r="1605" spans="1:6" ht="14.4" thickBot="1" x14ac:dyDescent="0.35">
      <c r="A1605" s="4" t="s">
        <v>526</v>
      </c>
      <c r="B1605" s="4" t="s">
        <v>527</v>
      </c>
      <c r="C1605" s="4" t="s">
        <v>526</v>
      </c>
      <c r="D1605" s="4" t="s">
        <v>2258</v>
      </c>
      <c r="E1605" s="4" t="s">
        <v>2259</v>
      </c>
      <c r="F1605" s="4" t="s">
        <v>2258</v>
      </c>
    </row>
    <row r="1606" spans="1:6" ht="14.4" thickBot="1" x14ac:dyDescent="0.35">
      <c r="A1606" s="4" t="s">
        <v>526</v>
      </c>
      <c r="B1606" s="4" t="s">
        <v>527</v>
      </c>
      <c r="C1606" s="4" t="s">
        <v>526</v>
      </c>
      <c r="D1606" s="4" t="s">
        <v>3748</v>
      </c>
      <c r="E1606" s="4" t="s">
        <v>3749</v>
      </c>
      <c r="F1606" s="4" t="s">
        <v>3748</v>
      </c>
    </row>
    <row r="1607" spans="1:6" ht="14.4" thickBot="1" x14ac:dyDescent="0.35">
      <c r="A1607" s="4" t="s">
        <v>526</v>
      </c>
      <c r="B1607" s="4" t="s">
        <v>527</v>
      </c>
      <c r="C1607" s="4" t="s">
        <v>526</v>
      </c>
      <c r="D1607" s="4" t="s">
        <v>596</v>
      </c>
      <c r="E1607" s="4" t="s">
        <v>597</v>
      </c>
      <c r="F1607" s="4" t="s">
        <v>596</v>
      </c>
    </row>
    <row r="1608" spans="1:6" ht="14.4" thickBot="1" x14ac:dyDescent="0.35">
      <c r="A1608" s="4" t="s">
        <v>526</v>
      </c>
      <c r="B1608" s="4" t="s">
        <v>527</v>
      </c>
      <c r="C1608" s="4" t="s">
        <v>526</v>
      </c>
      <c r="D1608" s="4" t="s">
        <v>4475</v>
      </c>
      <c r="E1608" s="4" t="s">
        <v>4476</v>
      </c>
      <c r="F1608" s="4" t="s">
        <v>4475</v>
      </c>
    </row>
    <row r="1609" spans="1:6" ht="14.4" thickBot="1" x14ac:dyDescent="0.35">
      <c r="A1609" s="4" t="s">
        <v>526</v>
      </c>
      <c r="B1609" s="4" t="s">
        <v>527</v>
      </c>
      <c r="C1609" s="4" t="s">
        <v>526</v>
      </c>
      <c r="D1609" s="4" t="s">
        <v>528</v>
      </c>
      <c r="E1609" s="4" t="s">
        <v>529</v>
      </c>
      <c r="F1609" s="4" t="s">
        <v>528</v>
      </c>
    </row>
    <row r="1610" spans="1:6" ht="14.4" thickBot="1" x14ac:dyDescent="0.35">
      <c r="A1610" s="4" t="s">
        <v>526</v>
      </c>
      <c r="B1610" s="4" t="s">
        <v>527</v>
      </c>
      <c r="C1610" s="4" t="s">
        <v>526</v>
      </c>
      <c r="D1610" s="4" t="s">
        <v>5212</v>
      </c>
      <c r="E1610" s="4" t="s">
        <v>5213</v>
      </c>
      <c r="F1610" s="4" t="s">
        <v>5212</v>
      </c>
    </row>
    <row r="1611" spans="1:6" ht="14.4" thickBot="1" x14ac:dyDescent="0.35">
      <c r="A1611" s="4" t="s">
        <v>526</v>
      </c>
      <c r="B1611" s="4" t="s">
        <v>527</v>
      </c>
      <c r="C1611" s="4" t="s">
        <v>526</v>
      </c>
      <c r="D1611" s="4" t="s">
        <v>2957</v>
      </c>
      <c r="E1611" s="4" t="s">
        <v>2958</v>
      </c>
      <c r="F1611" s="4" t="s">
        <v>2957</v>
      </c>
    </row>
    <row r="1612" spans="1:6" ht="14.4" thickBot="1" x14ac:dyDescent="0.35">
      <c r="A1612" s="4" t="s">
        <v>526</v>
      </c>
      <c r="B1612" s="4" t="s">
        <v>527</v>
      </c>
      <c r="C1612" s="4" t="s">
        <v>526</v>
      </c>
      <c r="D1612" s="4" t="s">
        <v>3752</v>
      </c>
      <c r="E1612" s="4" t="s">
        <v>3753</v>
      </c>
      <c r="F1612" s="4" t="s">
        <v>3752</v>
      </c>
    </row>
    <row r="1613" spans="1:6" ht="14.4" thickBot="1" x14ac:dyDescent="0.35">
      <c r="A1613" s="4" t="s">
        <v>526</v>
      </c>
      <c r="B1613" s="4" t="s">
        <v>527</v>
      </c>
      <c r="C1613" s="4" t="s">
        <v>526</v>
      </c>
      <c r="D1613" s="4" t="s">
        <v>3021</v>
      </c>
      <c r="E1613" s="4" t="s">
        <v>3022</v>
      </c>
      <c r="F1613" s="4" t="s">
        <v>3021</v>
      </c>
    </row>
    <row r="1614" spans="1:6" ht="14.4" thickBot="1" x14ac:dyDescent="0.35">
      <c r="A1614" s="4" t="s">
        <v>526</v>
      </c>
      <c r="B1614" s="4" t="s">
        <v>527</v>
      </c>
      <c r="C1614" s="4" t="s">
        <v>526</v>
      </c>
      <c r="D1614" s="4" t="s">
        <v>2949</v>
      </c>
      <c r="E1614" s="4" t="s">
        <v>2950</v>
      </c>
      <c r="F1614" s="4" t="s">
        <v>2949</v>
      </c>
    </row>
    <row r="1615" spans="1:6" ht="14.4" thickBot="1" x14ac:dyDescent="0.35">
      <c r="A1615" s="4" t="s">
        <v>526</v>
      </c>
      <c r="B1615" s="4" t="s">
        <v>527</v>
      </c>
      <c r="C1615" s="4" t="s">
        <v>526</v>
      </c>
      <c r="D1615" s="4" t="s">
        <v>2955</v>
      </c>
      <c r="E1615" s="4" t="s">
        <v>2956</v>
      </c>
      <c r="F1615" s="4" t="s">
        <v>2955</v>
      </c>
    </row>
    <row r="1616" spans="1:6" ht="14.4" thickBot="1" x14ac:dyDescent="0.35">
      <c r="A1616" s="4" t="s">
        <v>526</v>
      </c>
      <c r="B1616" s="4" t="s">
        <v>527</v>
      </c>
      <c r="C1616" s="4" t="s">
        <v>526</v>
      </c>
      <c r="D1616" s="4" t="s">
        <v>530</v>
      </c>
      <c r="E1616" s="4" t="s">
        <v>531</v>
      </c>
      <c r="F1616" s="4" t="s">
        <v>530</v>
      </c>
    </row>
    <row r="1617" spans="1:6" ht="14.4" thickBot="1" x14ac:dyDescent="0.35">
      <c r="A1617" s="4" t="s">
        <v>526</v>
      </c>
      <c r="B1617" s="4" t="s">
        <v>527</v>
      </c>
      <c r="C1617" s="4" t="s">
        <v>526</v>
      </c>
      <c r="D1617" s="4" t="s">
        <v>532</v>
      </c>
      <c r="E1617" s="4" t="s">
        <v>533</v>
      </c>
      <c r="F1617" s="4" t="s">
        <v>532</v>
      </c>
    </row>
    <row r="1618" spans="1:6" ht="14.4" thickBot="1" x14ac:dyDescent="0.35">
      <c r="A1618" s="4" t="s">
        <v>526</v>
      </c>
      <c r="B1618" s="4" t="s">
        <v>527</v>
      </c>
      <c r="C1618" s="4" t="s">
        <v>526</v>
      </c>
      <c r="D1618" s="4" t="s">
        <v>598</v>
      </c>
      <c r="E1618" s="4" t="s">
        <v>599</v>
      </c>
      <c r="F1618" s="4" t="s">
        <v>598</v>
      </c>
    </row>
    <row r="1619" spans="1:6" ht="14.4" thickBot="1" x14ac:dyDescent="0.35">
      <c r="A1619" s="4" t="s">
        <v>526</v>
      </c>
      <c r="B1619" s="4" t="s">
        <v>527</v>
      </c>
      <c r="C1619" s="4" t="s">
        <v>526</v>
      </c>
      <c r="D1619" s="4" t="s">
        <v>1475</v>
      </c>
      <c r="E1619" s="4" t="s">
        <v>1476</v>
      </c>
      <c r="F1619" s="4" t="s">
        <v>1475</v>
      </c>
    </row>
    <row r="1620" spans="1:6" ht="14.4" thickBot="1" x14ac:dyDescent="0.35">
      <c r="A1620" s="4" t="s">
        <v>526</v>
      </c>
      <c r="B1620" s="4" t="s">
        <v>527</v>
      </c>
      <c r="C1620" s="4" t="s">
        <v>526</v>
      </c>
      <c r="D1620" s="4" t="s">
        <v>5851</v>
      </c>
      <c r="E1620" s="4" t="s">
        <v>5612</v>
      </c>
      <c r="F1620" s="4" t="s">
        <v>5851</v>
      </c>
    </row>
    <row r="1621" spans="1:6" ht="14.4" thickBot="1" x14ac:dyDescent="0.35">
      <c r="A1621" s="4" t="s">
        <v>526</v>
      </c>
      <c r="B1621" s="4" t="s">
        <v>527</v>
      </c>
      <c r="C1621" s="4" t="s">
        <v>526</v>
      </c>
      <c r="D1621" s="4" t="s">
        <v>3019</v>
      </c>
      <c r="E1621" s="4" t="s">
        <v>3020</v>
      </c>
      <c r="F1621" s="4" t="s">
        <v>3019</v>
      </c>
    </row>
    <row r="1622" spans="1:6" ht="14.4" thickBot="1" x14ac:dyDescent="0.35">
      <c r="A1622" s="4" t="s">
        <v>526</v>
      </c>
      <c r="B1622" s="4" t="s">
        <v>527</v>
      </c>
      <c r="C1622" s="4" t="s">
        <v>526</v>
      </c>
      <c r="D1622" s="4" t="s">
        <v>4479</v>
      </c>
      <c r="E1622" s="4" t="s">
        <v>4480</v>
      </c>
      <c r="F1622" s="4" t="s">
        <v>4479</v>
      </c>
    </row>
    <row r="1623" spans="1:6" ht="14.4" thickBot="1" x14ac:dyDescent="0.35">
      <c r="A1623" s="4" t="s">
        <v>526</v>
      </c>
      <c r="B1623" s="4" t="s">
        <v>527</v>
      </c>
      <c r="C1623" s="4" t="s">
        <v>526</v>
      </c>
      <c r="D1623" s="4" t="s">
        <v>4481</v>
      </c>
      <c r="E1623" s="4" t="s">
        <v>4482</v>
      </c>
      <c r="F1623" s="4" t="s">
        <v>4481</v>
      </c>
    </row>
    <row r="1624" spans="1:6" ht="14.4" thickBot="1" x14ac:dyDescent="0.35">
      <c r="A1624" s="4" t="s">
        <v>526</v>
      </c>
      <c r="B1624" s="4" t="s">
        <v>527</v>
      </c>
      <c r="C1624" s="4" t="s">
        <v>526</v>
      </c>
      <c r="D1624" s="4" t="s">
        <v>536</v>
      </c>
      <c r="E1624" s="4" t="s">
        <v>537</v>
      </c>
      <c r="F1624" s="4" t="s">
        <v>536</v>
      </c>
    </row>
    <row r="1625" spans="1:6" ht="14.4" thickBot="1" x14ac:dyDescent="0.35">
      <c r="A1625" s="4" t="s">
        <v>526</v>
      </c>
      <c r="B1625" s="4" t="s">
        <v>527</v>
      </c>
      <c r="C1625" s="4" t="s">
        <v>526</v>
      </c>
      <c r="D1625" s="4" t="s">
        <v>4477</v>
      </c>
      <c r="E1625" s="4" t="s">
        <v>4478</v>
      </c>
      <c r="F1625" s="4" t="s">
        <v>4477</v>
      </c>
    </row>
    <row r="1626" spans="1:6" ht="14.4" thickBot="1" x14ac:dyDescent="0.35">
      <c r="A1626" s="4" t="s">
        <v>526</v>
      </c>
      <c r="B1626" s="4" t="s">
        <v>527</v>
      </c>
      <c r="C1626" s="4" t="s">
        <v>526</v>
      </c>
      <c r="D1626" s="4" t="s">
        <v>3017</v>
      </c>
      <c r="E1626" s="4" t="s">
        <v>3018</v>
      </c>
      <c r="F1626" s="4" t="s">
        <v>3017</v>
      </c>
    </row>
    <row r="1627" spans="1:6" ht="14.4" thickBot="1" x14ac:dyDescent="0.35">
      <c r="A1627" s="4" t="s">
        <v>526</v>
      </c>
      <c r="B1627" s="4" t="s">
        <v>527</v>
      </c>
      <c r="C1627" s="4" t="s">
        <v>526</v>
      </c>
      <c r="D1627" s="4" t="s">
        <v>538</v>
      </c>
      <c r="E1627" s="4" t="s">
        <v>539</v>
      </c>
      <c r="F1627" s="4" t="s">
        <v>538</v>
      </c>
    </row>
    <row r="1628" spans="1:6" ht="14.4" thickBot="1" x14ac:dyDescent="0.35">
      <c r="A1628" s="4" t="s">
        <v>526</v>
      </c>
      <c r="B1628" s="4" t="s">
        <v>527</v>
      </c>
      <c r="C1628" s="4" t="s">
        <v>526</v>
      </c>
      <c r="D1628" s="4" t="s">
        <v>1540</v>
      </c>
      <c r="E1628" s="4" t="s">
        <v>1541</v>
      </c>
      <c r="F1628" s="4" t="s">
        <v>1540</v>
      </c>
    </row>
    <row r="1629" spans="1:6" ht="14.4" thickBot="1" x14ac:dyDescent="0.35">
      <c r="A1629" s="4" t="s">
        <v>526</v>
      </c>
      <c r="B1629" s="4" t="s">
        <v>527</v>
      </c>
      <c r="C1629" s="4" t="s">
        <v>526</v>
      </c>
      <c r="D1629" s="4" t="s">
        <v>5895</v>
      </c>
      <c r="E1629" s="4" t="s">
        <v>4073</v>
      </c>
      <c r="F1629" s="4" t="s">
        <v>5895</v>
      </c>
    </row>
    <row r="1630" spans="1:6" ht="14.4" thickBot="1" x14ac:dyDescent="0.35">
      <c r="A1630" s="4" t="s">
        <v>526</v>
      </c>
      <c r="B1630" s="4" t="s">
        <v>527</v>
      </c>
      <c r="C1630" s="4" t="s">
        <v>526</v>
      </c>
      <c r="D1630" s="4" t="s">
        <v>5165</v>
      </c>
      <c r="E1630" s="4" t="s">
        <v>5166</v>
      </c>
      <c r="F1630" s="4" t="s">
        <v>5165</v>
      </c>
    </row>
    <row r="1631" spans="1:6" ht="14.4" thickBot="1" x14ac:dyDescent="0.35">
      <c r="A1631" s="4" t="s">
        <v>526</v>
      </c>
      <c r="B1631" s="4" t="s">
        <v>527</v>
      </c>
      <c r="C1631" s="4" t="s">
        <v>526</v>
      </c>
      <c r="D1631" s="4" t="s">
        <v>4485</v>
      </c>
      <c r="E1631" s="4" t="s">
        <v>4486</v>
      </c>
      <c r="F1631" s="4" t="s">
        <v>4485</v>
      </c>
    </row>
    <row r="1632" spans="1:6" ht="14.4" thickBot="1" x14ac:dyDescent="0.35">
      <c r="A1632" s="4" t="s">
        <v>1477</v>
      </c>
      <c r="B1632" s="4" t="s">
        <v>1478</v>
      </c>
      <c r="C1632" s="4" t="s">
        <v>1477</v>
      </c>
      <c r="D1632" s="4" t="s">
        <v>1479</v>
      </c>
      <c r="E1632" s="4" t="s">
        <v>659</v>
      </c>
      <c r="F1632" s="4" t="s">
        <v>1479</v>
      </c>
    </row>
    <row r="1633" spans="1:6" ht="14.4" thickBot="1" x14ac:dyDescent="0.35">
      <c r="A1633" s="4" t="s">
        <v>1477</v>
      </c>
      <c r="B1633" s="4" t="s">
        <v>1478</v>
      </c>
      <c r="C1633" s="4" t="s">
        <v>1477</v>
      </c>
      <c r="D1633" s="4" t="s">
        <v>3704</v>
      </c>
      <c r="E1633" s="4" t="s">
        <v>3705</v>
      </c>
      <c r="F1633" s="4" t="s">
        <v>3704</v>
      </c>
    </row>
    <row r="1634" spans="1:6" ht="14.4" thickBot="1" x14ac:dyDescent="0.35">
      <c r="A1634" s="4" t="s">
        <v>1477</v>
      </c>
      <c r="B1634" s="4" t="s">
        <v>1478</v>
      </c>
      <c r="C1634" s="4" t="s">
        <v>1477</v>
      </c>
      <c r="D1634" s="4" t="s">
        <v>3706</v>
      </c>
      <c r="E1634" s="4" t="s">
        <v>3707</v>
      </c>
      <c r="F1634" s="4" t="s">
        <v>3706</v>
      </c>
    </row>
    <row r="1635" spans="1:6" ht="14.4" thickBot="1" x14ac:dyDescent="0.35">
      <c r="A1635" s="4" t="s">
        <v>1318</v>
      </c>
      <c r="B1635" s="4" t="s">
        <v>2400</v>
      </c>
      <c r="C1635" s="4" t="s">
        <v>1318</v>
      </c>
      <c r="D1635" s="4" t="s">
        <v>2401</v>
      </c>
      <c r="E1635" s="4" t="s">
        <v>2402</v>
      </c>
      <c r="F1635" s="4" t="s">
        <v>2401</v>
      </c>
    </row>
    <row r="1636" spans="1:6" ht="14.4" thickBot="1" x14ac:dyDescent="0.35">
      <c r="A1636" s="4" t="s">
        <v>1318</v>
      </c>
      <c r="B1636" s="4" t="s">
        <v>2400</v>
      </c>
      <c r="C1636" s="4" t="s">
        <v>1318</v>
      </c>
      <c r="D1636" s="4" t="s">
        <v>2403</v>
      </c>
      <c r="E1636" s="4" t="s">
        <v>2404</v>
      </c>
      <c r="F1636" s="4" t="s">
        <v>2403</v>
      </c>
    </row>
    <row r="1637" spans="1:6" ht="14.4" thickBot="1" x14ac:dyDescent="0.35">
      <c r="A1637" s="4" t="s">
        <v>541</v>
      </c>
      <c r="B1637" s="4" t="s">
        <v>542</v>
      </c>
      <c r="C1637" s="4" t="s">
        <v>541</v>
      </c>
      <c r="D1637" s="4" t="s">
        <v>2219</v>
      </c>
      <c r="E1637" s="4" t="s">
        <v>2220</v>
      </c>
      <c r="F1637" s="4" t="s">
        <v>2219</v>
      </c>
    </row>
    <row r="1638" spans="1:6" ht="14.4" thickBot="1" x14ac:dyDescent="0.35">
      <c r="A1638" s="4" t="s">
        <v>541</v>
      </c>
      <c r="B1638" s="4" t="s">
        <v>542</v>
      </c>
      <c r="C1638" s="4" t="s">
        <v>541</v>
      </c>
      <c r="D1638" s="4" t="s">
        <v>2961</v>
      </c>
      <c r="E1638" s="4" t="s">
        <v>2962</v>
      </c>
      <c r="F1638" s="4" t="s">
        <v>2961</v>
      </c>
    </row>
    <row r="1639" spans="1:6" ht="14.4" thickBot="1" x14ac:dyDescent="0.35">
      <c r="A1639" s="4" t="s">
        <v>541</v>
      </c>
      <c r="B1639" s="4" t="s">
        <v>542</v>
      </c>
      <c r="C1639" s="4" t="s">
        <v>541</v>
      </c>
      <c r="D1639" s="4" t="s">
        <v>5214</v>
      </c>
      <c r="E1639" s="4" t="s">
        <v>5215</v>
      </c>
      <c r="F1639" s="4" t="s">
        <v>5214</v>
      </c>
    </row>
    <row r="1640" spans="1:6" ht="14.4" thickBot="1" x14ac:dyDescent="0.35">
      <c r="A1640" s="4" t="s">
        <v>541</v>
      </c>
      <c r="B1640" s="4" t="s">
        <v>542</v>
      </c>
      <c r="C1640" s="4" t="s">
        <v>541</v>
      </c>
      <c r="D1640" s="4" t="s">
        <v>604</v>
      </c>
      <c r="E1640" s="4" t="s">
        <v>605</v>
      </c>
      <c r="F1640" s="4" t="s">
        <v>604</v>
      </c>
    </row>
    <row r="1641" spans="1:6" ht="14.4" thickBot="1" x14ac:dyDescent="0.35">
      <c r="A1641" s="4" t="s">
        <v>541</v>
      </c>
      <c r="B1641" s="4" t="s">
        <v>542</v>
      </c>
      <c r="C1641" s="4" t="s">
        <v>541</v>
      </c>
      <c r="D1641" s="4" t="s">
        <v>1544</v>
      </c>
      <c r="E1641" s="4" t="s">
        <v>1545</v>
      </c>
      <c r="F1641" s="4" t="s">
        <v>1544</v>
      </c>
    </row>
    <row r="1642" spans="1:6" ht="14.4" thickBot="1" x14ac:dyDescent="0.35">
      <c r="A1642" s="4" t="s">
        <v>541</v>
      </c>
      <c r="B1642" s="4" t="s">
        <v>542</v>
      </c>
      <c r="C1642" s="4" t="s">
        <v>541</v>
      </c>
      <c r="D1642" s="4" t="s">
        <v>543</v>
      </c>
      <c r="E1642" s="4" t="s">
        <v>544</v>
      </c>
      <c r="F1642" s="4" t="s">
        <v>543</v>
      </c>
    </row>
    <row r="1643" spans="1:6" ht="14.4" thickBot="1" x14ac:dyDescent="0.35">
      <c r="A1643" s="4" t="s">
        <v>541</v>
      </c>
      <c r="B1643" s="4" t="s">
        <v>542</v>
      </c>
      <c r="C1643" s="4" t="s">
        <v>541</v>
      </c>
      <c r="D1643" s="4" t="s">
        <v>3023</v>
      </c>
      <c r="E1643" s="4" t="s">
        <v>3024</v>
      </c>
      <c r="F1643" s="4" t="s">
        <v>3023</v>
      </c>
    </row>
    <row r="1644" spans="1:6" ht="14.4" thickBot="1" x14ac:dyDescent="0.35">
      <c r="A1644" s="4" t="s">
        <v>541</v>
      </c>
      <c r="B1644" s="4" t="s">
        <v>542</v>
      </c>
      <c r="C1644" s="4" t="s">
        <v>541</v>
      </c>
      <c r="D1644" s="4" t="s">
        <v>2260</v>
      </c>
      <c r="E1644" s="4" t="s">
        <v>2261</v>
      </c>
      <c r="F1644" s="4" t="s">
        <v>2260</v>
      </c>
    </row>
    <row r="1645" spans="1:6" ht="14.4" thickBot="1" x14ac:dyDescent="0.35">
      <c r="A1645" s="4" t="s">
        <v>541</v>
      </c>
      <c r="B1645" s="4" t="s">
        <v>542</v>
      </c>
      <c r="C1645" s="4" t="s">
        <v>541</v>
      </c>
      <c r="D1645" s="4" t="s">
        <v>2262</v>
      </c>
      <c r="E1645" s="4" t="s">
        <v>2263</v>
      </c>
      <c r="F1645" s="4" t="s">
        <v>2262</v>
      </c>
    </row>
    <row r="1646" spans="1:6" ht="14.4" thickBot="1" x14ac:dyDescent="0.35">
      <c r="A1646" s="4" t="s">
        <v>541</v>
      </c>
      <c r="B1646" s="4" t="s">
        <v>542</v>
      </c>
      <c r="C1646" s="4" t="s">
        <v>541</v>
      </c>
      <c r="D1646" s="4" t="s">
        <v>1546</v>
      </c>
      <c r="E1646" s="4" t="s">
        <v>1547</v>
      </c>
      <c r="F1646" s="4" t="s">
        <v>1546</v>
      </c>
    </row>
    <row r="1647" spans="1:6" ht="14.4" thickBot="1" x14ac:dyDescent="0.35">
      <c r="A1647" s="4" t="s">
        <v>541</v>
      </c>
      <c r="B1647" s="4" t="s">
        <v>542</v>
      </c>
      <c r="C1647" s="4" t="s">
        <v>541</v>
      </c>
      <c r="D1647" s="4" t="s">
        <v>606</v>
      </c>
      <c r="E1647" s="4" t="s">
        <v>607</v>
      </c>
      <c r="F1647" s="4" t="s">
        <v>606</v>
      </c>
    </row>
    <row r="1648" spans="1:6" ht="14.4" thickBot="1" x14ac:dyDescent="0.35">
      <c r="A1648" s="4" t="s">
        <v>541</v>
      </c>
      <c r="B1648" s="4" t="s">
        <v>542</v>
      </c>
      <c r="C1648" s="4" t="s">
        <v>541</v>
      </c>
      <c r="D1648" s="4" t="s">
        <v>1482</v>
      </c>
      <c r="E1648" s="4" t="s">
        <v>1483</v>
      </c>
      <c r="F1648" s="4" t="s">
        <v>1482</v>
      </c>
    </row>
    <row r="1649" spans="1:6" ht="14.4" thickBot="1" x14ac:dyDescent="0.35">
      <c r="A1649" s="4" t="s">
        <v>541</v>
      </c>
      <c r="B1649" s="4" t="s">
        <v>542</v>
      </c>
      <c r="C1649" s="4" t="s">
        <v>541</v>
      </c>
      <c r="D1649" s="4" t="s">
        <v>4487</v>
      </c>
      <c r="E1649" s="4" t="s">
        <v>4488</v>
      </c>
      <c r="F1649" s="4" t="s">
        <v>4487</v>
      </c>
    </row>
    <row r="1650" spans="1:6" ht="14.4" thickBot="1" x14ac:dyDescent="0.35">
      <c r="A1650" s="4" t="s">
        <v>541</v>
      </c>
      <c r="B1650" s="4" t="s">
        <v>542</v>
      </c>
      <c r="C1650" s="4" t="s">
        <v>541</v>
      </c>
      <c r="D1650" s="4" t="s">
        <v>1542</v>
      </c>
      <c r="E1650" s="4" t="s">
        <v>1543</v>
      </c>
      <c r="F1650" s="4" t="s">
        <v>1542</v>
      </c>
    </row>
    <row r="1651" spans="1:6" ht="14.4" thickBot="1" x14ac:dyDescent="0.35">
      <c r="A1651" s="4" t="s">
        <v>541</v>
      </c>
      <c r="B1651" s="4" t="s">
        <v>542</v>
      </c>
      <c r="C1651" s="4" t="s">
        <v>541</v>
      </c>
      <c r="D1651" s="4" t="s">
        <v>2959</v>
      </c>
      <c r="E1651" s="4" t="s">
        <v>2960</v>
      </c>
      <c r="F1651" s="4" t="s">
        <v>2959</v>
      </c>
    </row>
    <row r="1652" spans="1:6" ht="14.4" thickBot="1" x14ac:dyDescent="0.35">
      <c r="A1652" s="4" t="s">
        <v>541</v>
      </c>
      <c r="B1652" s="4" t="s">
        <v>542</v>
      </c>
      <c r="C1652" s="4" t="s">
        <v>541</v>
      </c>
      <c r="D1652" s="4" t="s">
        <v>5897</v>
      </c>
      <c r="E1652" s="4" t="s">
        <v>5898</v>
      </c>
      <c r="F1652" s="4" t="s">
        <v>5897</v>
      </c>
    </row>
    <row r="1653" spans="1:6" ht="14.4" thickBot="1" x14ac:dyDescent="0.35">
      <c r="A1653" s="4" t="s">
        <v>541</v>
      </c>
      <c r="B1653" s="4" t="s">
        <v>542</v>
      </c>
      <c r="C1653" s="4" t="s">
        <v>541</v>
      </c>
      <c r="D1653" s="4" t="s">
        <v>1480</v>
      </c>
      <c r="E1653" s="4" t="s">
        <v>1481</v>
      </c>
      <c r="F1653" s="4" t="s">
        <v>1480</v>
      </c>
    </row>
    <row r="1654" spans="1:6" ht="14.4" thickBot="1" x14ac:dyDescent="0.35">
      <c r="A1654" s="4" t="s">
        <v>541</v>
      </c>
      <c r="B1654" s="4" t="s">
        <v>542</v>
      </c>
      <c r="C1654" s="4" t="s">
        <v>541</v>
      </c>
      <c r="D1654" s="4" t="s">
        <v>4525</v>
      </c>
      <c r="E1654" s="4" t="s">
        <v>4526</v>
      </c>
      <c r="F1654" s="4" t="s">
        <v>4525</v>
      </c>
    </row>
    <row r="1655" spans="1:6" ht="14.4" thickBot="1" x14ac:dyDescent="0.35">
      <c r="A1655" s="4" t="s">
        <v>541</v>
      </c>
      <c r="B1655" s="4" t="s">
        <v>542</v>
      </c>
      <c r="C1655" s="4" t="s">
        <v>541</v>
      </c>
      <c r="D1655" s="4" t="s">
        <v>608</v>
      </c>
      <c r="E1655" s="4" t="s">
        <v>609</v>
      </c>
      <c r="F1655" s="4" t="s">
        <v>608</v>
      </c>
    </row>
    <row r="1656" spans="1:6" ht="14.4" thickBot="1" x14ac:dyDescent="0.35">
      <c r="A1656" s="4" t="s">
        <v>541</v>
      </c>
      <c r="B1656" s="4" t="s">
        <v>542</v>
      </c>
      <c r="C1656" s="4" t="s">
        <v>541</v>
      </c>
      <c r="D1656" s="4" t="s">
        <v>5854</v>
      </c>
      <c r="E1656" s="4" t="s">
        <v>1907</v>
      </c>
      <c r="F1656" s="4" t="s">
        <v>5854</v>
      </c>
    </row>
    <row r="1657" spans="1:6" ht="14.4" thickBot="1" x14ac:dyDescent="0.35">
      <c r="A1657" s="4" t="s">
        <v>1484</v>
      </c>
      <c r="B1657" s="4" t="s">
        <v>1485</v>
      </c>
      <c r="C1657" s="4" t="s">
        <v>1484</v>
      </c>
      <c r="D1657" s="4" t="s">
        <v>4489</v>
      </c>
      <c r="E1657" s="4" t="s">
        <v>4490</v>
      </c>
      <c r="F1657" s="4" t="s">
        <v>4489</v>
      </c>
    </row>
    <row r="1658" spans="1:6" ht="14.4" thickBot="1" x14ac:dyDescent="0.35">
      <c r="A1658" s="4" t="s">
        <v>1484</v>
      </c>
      <c r="B1658" s="4" t="s">
        <v>1485</v>
      </c>
      <c r="C1658" s="4" t="s">
        <v>1484</v>
      </c>
      <c r="D1658" s="4" t="s">
        <v>1486</v>
      </c>
      <c r="E1658" s="4" t="s">
        <v>1272</v>
      </c>
      <c r="F1658" s="4" t="s">
        <v>1486</v>
      </c>
    </row>
    <row r="1659" spans="1:6" ht="14.4" thickBot="1" x14ac:dyDescent="0.35">
      <c r="A1659" s="4" t="s">
        <v>1484</v>
      </c>
      <c r="B1659" s="4" t="s">
        <v>1485</v>
      </c>
      <c r="C1659" s="4" t="s">
        <v>1484</v>
      </c>
      <c r="D1659" s="4" t="s">
        <v>2264</v>
      </c>
      <c r="E1659" s="4" t="s">
        <v>2265</v>
      </c>
      <c r="F1659" s="4" t="s">
        <v>2264</v>
      </c>
    </row>
    <row r="1660" spans="1:6" ht="14.4" thickBot="1" x14ac:dyDescent="0.35">
      <c r="A1660" s="4" t="s">
        <v>1484</v>
      </c>
      <c r="B1660" s="4" t="s">
        <v>1485</v>
      </c>
      <c r="C1660" s="4" t="s">
        <v>1484</v>
      </c>
      <c r="D1660" s="4" t="s">
        <v>5216</v>
      </c>
      <c r="E1660" s="4" t="s">
        <v>5217</v>
      </c>
      <c r="F1660" s="4" t="s">
        <v>5216</v>
      </c>
    </row>
    <row r="1661" spans="1:6" ht="14.4" thickBot="1" x14ac:dyDescent="0.35">
      <c r="A1661" s="4" t="s">
        <v>1484</v>
      </c>
      <c r="B1661" s="4" t="s">
        <v>1485</v>
      </c>
      <c r="C1661" s="4" t="s">
        <v>1484</v>
      </c>
      <c r="D1661" s="4" t="s">
        <v>5169</v>
      </c>
      <c r="E1661" s="4" t="s">
        <v>3799</v>
      </c>
      <c r="F1661" s="4" t="s">
        <v>5169</v>
      </c>
    </row>
    <row r="1662" spans="1:6" ht="14.4" thickBot="1" x14ac:dyDescent="0.35">
      <c r="A1662" s="4" t="s">
        <v>1548</v>
      </c>
      <c r="B1662" s="4" t="s">
        <v>1549</v>
      </c>
      <c r="C1662" s="4" t="s">
        <v>1548</v>
      </c>
      <c r="D1662" s="4" t="s">
        <v>886</v>
      </c>
      <c r="E1662" s="4" t="s">
        <v>2221</v>
      </c>
      <c r="F1662" s="4" t="s">
        <v>886</v>
      </c>
    </row>
    <row r="1663" spans="1:6" ht="14.4" thickBot="1" x14ac:dyDescent="0.35">
      <c r="A1663" s="4" t="s">
        <v>1548</v>
      </c>
      <c r="B1663" s="4" t="s">
        <v>1549</v>
      </c>
      <c r="C1663" s="4" t="s">
        <v>1548</v>
      </c>
      <c r="D1663" s="4" t="s">
        <v>5170</v>
      </c>
      <c r="E1663" s="4" t="s">
        <v>5171</v>
      </c>
      <c r="F1663" s="4" t="s">
        <v>5170</v>
      </c>
    </row>
    <row r="1664" spans="1:6" ht="14.4" thickBot="1" x14ac:dyDescent="0.35">
      <c r="A1664" s="4" t="s">
        <v>1548</v>
      </c>
      <c r="B1664" s="4" t="s">
        <v>1549</v>
      </c>
      <c r="C1664" s="4" t="s">
        <v>1548</v>
      </c>
      <c r="D1664" s="4" t="s">
        <v>1550</v>
      </c>
      <c r="E1664" s="4" t="s">
        <v>1551</v>
      </c>
      <c r="F1664" s="4" t="s">
        <v>1550</v>
      </c>
    </row>
    <row r="1665" spans="1:6" ht="14.4" thickBot="1" x14ac:dyDescent="0.35">
      <c r="A1665" s="4" t="s">
        <v>354</v>
      </c>
      <c r="B1665" s="4" t="s">
        <v>355</v>
      </c>
      <c r="C1665" s="4" t="s">
        <v>354</v>
      </c>
      <c r="D1665" s="4" t="s">
        <v>2793</v>
      </c>
      <c r="E1665" s="4" t="s">
        <v>2794</v>
      </c>
      <c r="F1665" s="4" t="s">
        <v>2793</v>
      </c>
    </row>
    <row r="1666" spans="1:6" ht="14.4" thickBot="1" x14ac:dyDescent="0.35">
      <c r="A1666" s="4" t="s">
        <v>354</v>
      </c>
      <c r="B1666" s="4" t="s">
        <v>355</v>
      </c>
      <c r="C1666" s="4" t="s">
        <v>354</v>
      </c>
      <c r="D1666" s="4" t="s">
        <v>771</v>
      </c>
      <c r="E1666" s="4" t="s">
        <v>5722</v>
      </c>
      <c r="F1666" s="4" t="s">
        <v>771</v>
      </c>
    </row>
    <row r="1667" spans="1:6" ht="14.4" thickBot="1" x14ac:dyDescent="0.35">
      <c r="A1667" s="4" t="s">
        <v>354</v>
      </c>
      <c r="B1667" s="4" t="s">
        <v>355</v>
      </c>
      <c r="C1667" s="4" t="s">
        <v>354</v>
      </c>
      <c r="D1667" s="4" t="s">
        <v>3543</v>
      </c>
      <c r="E1667" s="4" t="s">
        <v>3544</v>
      </c>
      <c r="F1667" s="4" t="s">
        <v>3543</v>
      </c>
    </row>
    <row r="1668" spans="1:6" ht="14.4" thickBot="1" x14ac:dyDescent="0.35">
      <c r="A1668" s="4" t="s">
        <v>354</v>
      </c>
      <c r="B1668" s="4" t="s">
        <v>355</v>
      </c>
      <c r="C1668" s="4" t="s">
        <v>354</v>
      </c>
      <c r="D1668" s="4" t="s">
        <v>3545</v>
      </c>
      <c r="E1668" s="4" t="s">
        <v>3546</v>
      </c>
      <c r="F1668" s="4" t="s">
        <v>3545</v>
      </c>
    </row>
    <row r="1669" spans="1:6" ht="14.4" thickBot="1" x14ac:dyDescent="0.35">
      <c r="A1669" s="4" t="s">
        <v>354</v>
      </c>
      <c r="B1669" s="4" t="s">
        <v>355</v>
      </c>
      <c r="C1669" s="4" t="s">
        <v>354</v>
      </c>
      <c r="D1669" s="4" t="s">
        <v>2791</v>
      </c>
      <c r="E1669" s="4" t="s">
        <v>2792</v>
      </c>
      <c r="F1669" s="4" t="s">
        <v>2791</v>
      </c>
    </row>
    <row r="1670" spans="1:6" ht="14.4" thickBot="1" x14ac:dyDescent="0.35">
      <c r="A1670" s="4" t="s">
        <v>354</v>
      </c>
      <c r="B1670" s="4" t="s">
        <v>355</v>
      </c>
      <c r="C1670" s="4" t="s">
        <v>354</v>
      </c>
      <c r="D1670" s="4" t="s">
        <v>5720</v>
      </c>
      <c r="E1670" s="4" t="s">
        <v>5721</v>
      </c>
      <c r="F1670" s="4" t="s">
        <v>5720</v>
      </c>
    </row>
    <row r="1671" spans="1:6" ht="14.4" thickBot="1" x14ac:dyDescent="0.35">
      <c r="A1671" s="4" t="s">
        <v>354</v>
      </c>
      <c r="B1671" s="4" t="s">
        <v>355</v>
      </c>
      <c r="C1671" s="4" t="s">
        <v>354</v>
      </c>
      <c r="D1671" s="4" t="s">
        <v>1283</v>
      </c>
      <c r="E1671" s="4" t="s">
        <v>1284</v>
      </c>
      <c r="F1671" s="4" t="s">
        <v>1283</v>
      </c>
    </row>
    <row r="1672" spans="1:6" ht="14.4" thickBot="1" x14ac:dyDescent="0.35">
      <c r="A1672" s="4" t="s">
        <v>354</v>
      </c>
      <c r="B1672" s="4" t="s">
        <v>355</v>
      </c>
      <c r="C1672" s="4" t="s">
        <v>354</v>
      </c>
      <c r="D1672" s="4" t="s">
        <v>4351</v>
      </c>
      <c r="E1672" s="4" t="s">
        <v>4352</v>
      </c>
      <c r="F1672" s="4" t="s">
        <v>4351</v>
      </c>
    </row>
    <row r="1673" spans="1:6" ht="14.4" thickBot="1" x14ac:dyDescent="0.35">
      <c r="A1673" s="4" t="s">
        <v>354</v>
      </c>
      <c r="B1673" s="4" t="s">
        <v>355</v>
      </c>
      <c r="C1673" s="4" t="s">
        <v>354</v>
      </c>
      <c r="D1673" s="4" t="s">
        <v>1285</v>
      </c>
      <c r="E1673" s="4" t="s">
        <v>1286</v>
      </c>
      <c r="F1673" s="4" t="s">
        <v>1285</v>
      </c>
    </row>
    <row r="1674" spans="1:6" ht="14.4" thickBot="1" x14ac:dyDescent="0.35">
      <c r="A1674" s="4" t="s">
        <v>354</v>
      </c>
      <c r="B1674" s="4" t="s">
        <v>355</v>
      </c>
      <c r="C1674" s="4" t="s">
        <v>354</v>
      </c>
      <c r="D1674" s="4" t="s">
        <v>3541</v>
      </c>
      <c r="E1674" s="4" t="s">
        <v>3542</v>
      </c>
      <c r="F1674" s="4" t="s">
        <v>3541</v>
      </c>
    </row>
    <row r="1675" spans="1:6" ht="14.4" thickBot="1" x14ac:dyDescent="0.35">
      <c r="A1675" s="4" t="s">
        <v>354</v>
      </c>
      <c r="B1675" s="4" t="s">
        <v>355</v>
      </c>
      <c r="C1675" s="4" t="s">
        <v>354</v>
      </c>
      <c r="D1675" s="4" t="s">
        <v>3547</v>
      </c>
      <c r="E1675" s="4" t="s">
        <v>3548</v>
      </c>
      <c r="F1675" s="4" t="s">
        <v>3547</v>
      </c>
    </row>
    <row r="1676" spans="1:6" ht="14.4" thickBot="1" x14ac:dyDescent="0.35">
      <c r="A1676" s="4" t="s">
        <v>354</v>
      </c>
      <c r="B1676" s="4" t="s">
        <v>355</v>
      </c>
      <c r="C1676" s="4" t="s">
        <v>354</v>
      </c>
      <c r="D1676" s="4" t="s">
        <v>2789</v>
      </c>
      <c r="E1676" s="4" t="s">
        <v>2790</v>
      </c>
      <c r="F1676" s="4" t="s">
        <v>2789</v>
      </c>
    </row>
    <row r="1677" spans="1:6" ht="14.4" thickBot="1" x14ac:dyDescent="0.35">
      <c r="A1677" s="4" t="s">
        <v>354</v>
      </c>
      <c r="B1677" s="4" t="s">
        <v>355</v>
      </c>
      <c r="C1677" s="4" t="s">
        <v>354</v>
      </c>
      <c r="D1677" s="4" t="s">
        <v>5716</v>
      </c>
      <c r="E1677" s="4" t="s">
        <v>5717</v>
      </c>
      <c r="F1677" s="4" t="s">
        <v>5716</v>
      </c>
    </row>
    <row r="1678" spans="1:6" ht="14.4" thickBot="1" x14ac:dyDescent="0.35">
      <c r="A1678" s="4" t="s">
        <v>354</v>
      </c>
      <c r="B1678" s="4" t="s">
        <v>355</v>
      </c>
      <c r="C1678" s="4" t="s">
        <v>354</v>
      </c>
      <c r="D1678" s="4" t="s">
        <v>356</v>
      </c>
      <c r="E1678" s="4" t="s">
        <v>357</v>
      </c>
      <c r="F1678" s="4" t="s">
        <v>356</v>
      </c>
    </row>
    <row r="1679" spans="1:6" ht="14.4" thickBot="1" x14ac:dyDescent="0.35">
      <c r="A1679" s="4" t="s">
        <v>354</v>
      </c>
      <c r="B1679" s="4" t="s">
        <v>355</v>
      </c>
      <c r="C1679" s="4" t="s">
        <v>354</v>
      </c>
      <c r="D1679" s="4" t="s">
        <v>2093</v>
      </c>
      <c r="E1679" s="4" t="s">
        <v>2094</v>
      </c>
      <c r="F1679" s="4" t="s">
        <v>2093</v>
      </c>
    </row>
    <row r="1680" spans="1:6" ht="14.4" thickBot="1" x14ac:dyDescent="0.35">
      <c r="A1680" s="4" t="s">
        <v>354</v>
      </c>
      <c r="B1680" s="4" t="s">
        <v>355</v>
      </c>
      <c r="C1680" s="4" t="s">
        <v>354</v>
      </c>
      <c r="D1680" s="4" t="s">
        <v>5019</v>
      </c>
      <c r="E1680" s="4" t="s">
        <v>5020</v>
      </c>
      <c r="F1680" s="4" t="s">
        <v>5019</v>
      </c>
    </row>
    <row r="1681" spans="1:6" ht="14.4" thickBot="1" x14ac:dyDescent="0.35">
      <c r="A1681" s="4" t="s">
        <v>354</v>
      </c>
      <c r="B1681" s="4" t="s">
        <v>355</v>
      </c>
      <c r="C1681" s="4" t="s">
        <v>354</v>
      </c>
      <c r="D1681" s="4" t="s">
        <v>5017</v>
      </c>
      <c r="E1681" s="4" t="s">
        <v>5018</v>
      </c>
      <c r="F1681" s="4" t="s">
        <v>5017</v>
      </c>
    </row>
    <row r="1682" spans="1:6" ht="14.4" thickBot="1" x14ac:dyDescent="0.35">
      <c r="A1682" s="4" t="s">
        <v>354</v>
      </c>
      <c r="B1682" s="4" t="s">
        <v>355</v>
      </c>
      <c r="C1682" s="4" t="s">
        <v>354</v>
      </c>
      <c r="D1682" s="4" t="s">
        <v>358</v>
      </c>
      <c r="E1682" s="4" t="s">
        <v>359</v>
      </c>
      <c r="F1682" s="4" t="s">
        <v>358</v>
      </c>
    </row>
    <row r="1683" spans="1:6" ht="14.4" thickBot="1" x14ac:dyDescent="0.35">
      <c r="A1683" s="4" t="s">
        <v>354</v>
      </c>
      <c r="B1683" s="4" t="s">
        <v>355</v>
      </c>
      <c r="C1683" s="4" t="s">
        <v>354</v>
      </c>
      <c r="D1683" s="4" t="s">
        <v>3539</v>
      </c>
      <c r="E1683" s="4" t="s">
        <v>3540</v>
      </c>
      <c r="F1683" s="4" t="s">
        <v>3539</v>
      </c>
    </row>
    <row r="1684" spans="1:6" ht="14.4" thickBot="1" x14ac:dyDescent="0.35">
      <c r="A1684" s="4" t="s">
        <v>354</v>
      </c>
      <c r="B1684" s="4" t="s">
        <v>355</v>
      </c>
      <c r="C1684" s="4" t="s">
        <v>354</v>
      </c>
      <c r="D1684" s="4" t="s">
        <v>4347</v>
      </c>
      <c r="E1684" s="4" t="s">
        <v>4348</v>
      </c>
      <c r="F1684" s="4" t="s">
        <v>4347</v>
      </c>
    </row>
    <row r="1685" spans="1:6" ht="14.4" thickBot="1" x14ac:dyDescent="0.35">
      <c r="A1685" s="4" t="s">
        <v>354</v>
      </c>
      <c r="B1685" s="4" t="s">
        <v>355</v>
      </c>
      <c r="C1685" s="4" t="s">
        <v>354</v>
      </c>
      <c r="D1685" s="4" t="s">
        <v>360</v>
      </c>
      <c r="E1685" s="4" t="s">
        <v>361</v>
      </c>
      <c r="F1685" s="4" t="s">
        <v>360</v>
      </c>
    </row>
    <row r="1686" spans="1:6" ht="14.4" thickBot="1" x14ac:dyDescent="0.35">
      <c r="A1686" s="4" t="s">
        <v>354</v>
      </c>
      <c r="B1686" s="4" t="s">
        <v>355</v>
      </c>
      <c r="C1686" s="4" t="s">
        <v>354</v>
      </c>
      <c r="D1686" s="4" t="s">
        <v>2785</v>
      </c>
      <c r="E1686" s="4" t="s">
        <v>2786</v>
      </c>
      <c r="F1686" s="4" t="s">
        <v>2785</v>
      </c>
    </row>
    <row r="1687" spans="1:6" ht="14.4" thickBot="1" x14ac:dyDescent="0.35">
      <c r="A1687" s="4" t="s">
        <v>354</v>
      </c>
      <c r="B1687" s="4" t="s">
        <v>355</v>
      </c>
      <c r="C1687" s="4" t="s">
        <v>354</v>
      </c>
      <c r="D1687" s="4" t="s">
        <v>4345</v>
      </c>
      <c r="E1687" s="4" t="s">
        <v>4346</v>
      </c>
      <c r="F1687" s="4" t="s">
        <v>4345</v>
      </c>
    </row>
    <row r="1688" spans="1:6" ht="14.4" thickBot="1" x14ac:dyDescent="0.35">
      <c r="A1688" s="4" t="s">
        <v>354</v>
      </c>
      <c r="B1688" s="4" t="s">
        <v>355</v>
      </c>
      <c r="C1688" s="4" t="s">
        <v>354</v>
      </c>
      <c r="D1688" s="4" t="s">
        <v>4349</v>
      </c>
      <c r="E1688" s="4" t="s">
        <v>4350</v>
      </c>
      <c r="F1688" s="4" t="s">
        <v>4349</v>
      </c>
    </row>
    <row r="1689" spans="1:6" ht="14.4" thickBot="1" x14ac:dyDescent="0.35">
      <c r="A1689" s="4" t="s">
        <v>354</v>
      </c>
      <c r="B1689" s="4" t="s">
        <v>355</v>
      </c>
      <c r="C1689" s="4" t="s">
        <v>354</v>
      </c>
      <c r="D1689" s="4" t="s">
        <v>2091</v>
      </c>
      <c r="E1689" s="4" t="s">
        <v>2092</v>
      </c>
      <c r="F1689" s="4" t="s">
        <v>2091</v>
      </c>
    </row>
    <row r="1690" spans="1:6" ht="14.4" thickBot="1" x14ac:dyDescent="0.35">
      <c r="A1690" s="4" t="s">
        <v>354</v>
      </c>
      <c r="B1690" s="4" t="s">
        <v>355</v>
      </c>
      <c r="C1690" s="4" t="s">
        <v>354</v>
      </c>
      <c r="D1690" s="4" t="s">
        <v>2089</v>
      </c>
      <c r="E1690" s="4" t="s">
        <v>2090</v>
      </c>
      <c r="F1690" s="4" t="s">
        <v>2089</v>
      </c>
    </row>
    <row r="1691" spans="1:6" ht="14.4" thickBot="1" x14ac:dyDescent="0.35">
      <c r="A1691" s="4" t="s">
        <v>354</v>
      </c>
      <c r="B1691" s="4" t="s">
        <v>355</v>
      </c>
      <c r="C1691" s="4" t="s">
        <v>354</v>
      </c>
      <c r="D1691" s="4" t="s">
        <v>1287</v>
      </c>
      <c r="E1691" s="4" t="s">
        <v>1288</v>
      </c>
      <c r="F1691" s="4" t="s">
        <v>1287</v>
      </c>
    </row>
    <row r="1692" spans="1:6" ht="14.4" thickBot="1" x14ac:dyDescent="0.35">
      <c r="A1692" s="4" t="s">
        <v>354</v>
      </c>
      <c r="B1692" s="4" t="s">
        <v>355</v>
      </c>
      <c r="C1692" s="4" t="s">
        <v>354</v>
      </c>
      <c r="D1692" s="4" t="s">
        <v>2787</v>
      </c>
      <c r="E1692" s="4" t="s">
        <v>2788</v>
      </c>
      <c r="F1692" s="4" t="s">
        <v>2787</v>
      </c>
    </row>
    <row r="1693" spans="1:6" ht="14.4" thickBot="1" x14ac:dyDescent="0.35">
      <c r="A1693" s="4" t="s">
        <v>354</v>
      </c>
      <c r="B1693" s="4" t="s">
        <v>355</v>
      </c>
      <c r="C1693" s="4" t="s">
        <v>354</v>
      </c>
      <c r="D1693" s="4" t="s">
        <v>5718</v>
      </c>
      <c r="E1693" s="4" t="s">
        <v>5719</v>
      </c>
      <c r="F1693" s="4" t="s">
        <v>5718</v>
      </c>
    </row>
    <row r="1694" spans="1:6" ht="14.4" thickBot="1" x14ac:dyDescent="0.35">
      <c r="A1694" s="4" t="s">
        <v>362</v>
      </c>
      <c r="B1694" s="4" t="s">
        <v>363</v>
      </c>
      <c r="C1694" s="4" t="s">
        <v>362</v>
      </c>
      <c r="D1694" s="4" t="s">
        <v>5021</v>
      </c>
      <c r="E1694" s="4" t="s">
        <v>5022</v>
      </c>
      <c r="F1694" s="4" t="s">
        <v>5021</v>
      </c>
    </row>
    <row r="1695" spans="1:6" ht="14.4" thickBot="1" x14ac:dyDescent="0.35">
      <c r="A1695" s="4" t="s">
        <v>362</v>
      </c>
      <c r="B1695" s="4" t="s">
        <v>363</v>
      </c>
      <c r="C1695" s="4" t="s">
        <v>362</v>
      </c>
      <c r="D1695" s="4" t="s">
        <v>3551</v>
      </c>
      <c r="E1695" s="4" t="s">
        <v>3552</v>
      </c>
      <c r="F1695" s="4" t="s">
        <v>3551</v>
      </c>
    </row>
    <row r="1696" spans="1:6" ht="14.4" thickBot="1" x14ac:dyDescent="0.35">
      <c r="A1696" s="4" t="s">
        <v>362</v>
      </c>
      <c r="B1696" s="4" t="s">
        <v>363</v>
      </c>
      <c r="C1696" s="4" t="s">
        <v>362</v>
      </c>
      <c r="D1696" s="4" t="s">
        <v>3553</v>
      </c>
      <c r="E1696" s="4" t="s">
        <v>3554</v>
      </c>
      <c r="F1696" s="4" t="s">
        <v>3553</v>
      </c>
    </row>
    <row r="1697" spans="1:6" ht="14.4" thickBot="1" x14ac:dyDescent="0.35">
      <c r="A1697" s="4" t="s">
        <v>362</v>
      </c>
      <c r="B1697" s="4" t="s">
        <v>363</v>
      </c>
      <c r="C1697" s="4" t="s">
        <v>362</v>
      </c>
      <c r="D1697" s="4" t="s">
        <v>364</v>
      </c>
      <c r="E1697" s="4" t="s">
        <v>365</v>
      </c>
      <c r="F1697" s="4" t="s">
        <v>364</v>
      </c>
    </row>
    <row r="1698" spans="1:6" ht="14.4" thickBot="1" x14ac:dyDescent="0.35">
      <c r="A1698" s="4" t="s">
        <v>362</v>
      </c>
      <c r="B1698" s="4" t="s">
        <v>363</v>
      </c>
      <c r="C1698" s="4" t="s">
        <v>362</v>
      </c>
      <c r="D1698" s="4" t="s">
        <v>3555</v>
      </c>
      <c r="E1698" s="4" t="s">
        <v>3556</v>
      </c>
      <c r="F1698" s="4" t="s">
        <v>3555</v>
      </c>
    </row>
    <row r="1699" spans="1:6" ht="14.4" thickBot="1" x14ac:dyDescent="0.35">
      <c r="A1699" s="4" t="s">
        <v>362</v>
      </c>
      <c r="B1699" s="4" t="s">
        <v>363</v>
      </c>
      <c r="C1699" s="4" t="s">
        <v>362</v>
      </c>
      <c r="D1699" s="4" t="s">
        <v>4353</v>
      </c>
      <c r="E1699" s="4" t="s">
        <v>1359</v>
      </c>
      <c r="F1699" s="4" t="s">
        <v>4353</v>
      </c>
    </row>
    <row r="1700" spans="1:6" ht="14.4" thickBot="1" x14ac:dyDescent="0.35">
      <c r="A1700" s="4" t="s">
        <v>362</v>
      </c>
      <c r="B1700" s="4" t="s">
        <v>363</v>
      </c>
      <c r="C1700" s="4" t="s">
        <v>362</v>
      </c>
      <c r="D1700" s="4" t="s">
        <v>1289</v>
      </c>
      <c r="E1700" s="4" t="s">
        <v>1290</v>
      </c>
      <c r="F1700" s="4" t="s">
        <v>1289</v>
      </c>
    </row>
    <row r="1701" spans="1:6" ht="14.4" thickBot="1" x14ac:dyDescent="0.35">
      <c r="A1701" s="4" t="s">
        <v>362</v>
      </c>
      <c r="B1701" s="4" t="s">
        <v>363</v>
      </c>
      <c r="C1701" s="4" t="s">
        <v>362</v>
      </c>
      <c r="D1701" s="4" t="s">
        <v>366</v>
      </c>
      <c r="E1701" s="4" t="s">
        <v>367</v>
      </c>
      <c r="F1701" s="4" t="s">
        <v>366</v>
      </c>
    </row>
    <row r="1702" spans="1:6" ht="14.4" thickBot="1" x14ac:dyDescent="0.35">
      <c r="A1702" s="4" t="s">
        <v>362</v>
      </c>
      <c r="B1702" s="4" t="s">
        <v>363</v>
      </c>
      <c r="C1702" s="4" t="s">
        <v>362</v>
      </c>
      <c r="D1702" s="4" t="s">
        <v>3557</v>
      </c>
      <c r="E1702" s="4" t="s">
        <v>3558</v>
      </c>
      <c r="F1702" s="4" t="s">
        <v>3557</v>
      </c>
    </row>
    <row r="1703" spans="1:6" ht="14.4" thickBot="1" x14ac:dyDescent="0.35">
      <c r="A1703" s="4" t="s">
        <v>362</v>
      </c>
      <c r="B1703" s="4" t="s">
        <v>363</v>
      </c>
      <c r="C1703" s="4" t="s">
        <v>362</v>
      </c>
      <c r="D1703" s="4" t="s">
        <v>2095</v>
      </c>
      <c r="E1703" s="4" t="s">
        <v>2096</v>
      </c>
      <c r="F1703" s="4" t="s">
        <v>2095</v>
      </c>
    </row>
    <row r="1704" spans="1:6" ht="14.4" thickBot="1" x14ac:dyDescent="0.35">
      <c r="A1704" s="4" t="s">
        <v>362</v>
      </c>
      <c r="B1704" s="4" t="s">
        <v>363</v>
      </c>
      <c r="C1704" s="4" t="s">
        <v>362</v>
      </c>
      <c r="D1704" s="4" t="s">
        <v>3549</v>
      </c>
      <c r="E1704" s="4" t="s">
        <v>3550</v>
      </c>
      <c r="F1704" s="4" t="s">
        <v>3549</v>
      </c>
    </row>
    <row r="1705" spans="1:6" ht="14.4" thickBot="1" x14ac:dyDescent="0.35">
      <c r="A1705" s="4" t="s">
        <v>362</v>
      </c>
      <c r="B1705" s="4" t="s">
        <v>363</v>
      </c>
      <c r="C1705" s="4" t="s">
        <v>362</v>
      </c>
      <c r="D1705" s="4" t="s">
        <v>2795</v>
      </c>
      <c r="E1705" s="4" t="s">
        <v>2796</v>
      </c>
      <c r="F1705" s="4" t="s">
        <v>2795</v>
      </c>
    </row>
    <row r="1706" spans="1:6" ht="14.4" thickBot="1" x14ac:dyDescent="0.35">
      <c r="A1706" s="4" t="s">
        <v>362</v>
      </c>
      <c r="B1706" s="4" t="s">
        <v>363</v>
      </c>
      <c r="C1706" s="4" t="s">
        <v>362</v>
      </c>
      <c r="D1706" s="4" t="s">
        <v>2797</v>
      </c>
      <c r="E1706" s="4" t="s">
        <v>2798</v>
      </c>
      <c r="F1706" s="4" t="s">
        <v>2797</v>
      </c>
    </row>
    <row r="1707" spans="1:6" ht="14.4" thickBot="1" x14ac:dyDescent="0.35">
      <c r="A1707" s="4" t="s">
        <v>362</v>
      </c>
      <c r="B1707" s="4" t="s">
        <v>363</v>
      </c>
      <c r="C1707" s="4" t="s">
        <v>362</v>
      </c>
      <c r="D1707" s="4" t="s">
        <v>368</v>
      </c>
      <c r="E1707" s="4" t="s">
        <v>369</v>
      </c>
      <c r="F1707" s="4" t="s">
        <v>368</v>
      </c>
    </row>
    <row r="1708" spans="1:6" ht="14.4" thickBot="1" x14ac:dyDescent="0.35">
      <c r="A1708" s="4" t="s">
        <v>362</v>
      </c>
      <c r="B1708" s="4" t="s">
        <v>363</v>
      </c>
      <c r="C1708" s="4" t="s">
        <v>362</v>
      </c>
      <c r="D1708" s="4" t="s">
        <v>2097</v>
      </c>
      <c r="E1708" s="4" t="s">
        <v>2098</v>
      </c>
      <c r="F1708" s="4" t="s">
        <v>2097</v>
      </c>
    </row>
    <row r="1709" spans="1:6" ht="14.4" thickBot="1" x14ac:dyDescent="0.35">
      <c r="A1709" s="4" t="s">
        <v>362</v>
      </c>
      <c r="B1709" s="4" t="s">
        <v>363</v>
      </c>
      <c r="C1709" s="4" t="s">
        <v>362</v>
      </c>
      <c r="D1709" s="4" t="s">
        <v>3559</v>
      </c>
      <c r="E1709" s="4" t="s">
        <v>3560</v>
      </c>
      <c r="F1709" s="4" t="s">
        <v>3559</v>
      </c>
    </row>
    <row r="1710" spans="1:6" ht="14.4" thickBot="1" x14ac:dyDescent="0.35">
      <c r="A1710" s="4" t="s">
        <v>1123</v>
      </c>
      <c r="B1710" s="4" t="s">
        <v>2933</v>
      </c>
      <c r="C1710" s="4" t="s">
        <v>1123</v>
      </c>
      <c r="D1710" s="4" t="s">
        <v>2936</v>
      </c>
      <c r="E1710" s="4" t="s">
        <v>2937</v>
      </c>
      <c r="F1710" s="4" t="s">
        <v>2936</v>
      </c>
    </row>
    <row r="1711" spans="1:6" ht="14.4" thickBot="1" x14ac:dyDescent="0.35">
      <c r="A1711" s="4" t="s">
        <v>1123</v>
      </c>
      <c r="B1711" s="4" t="s">
        <v>2933</v>
      </c>
      <c r="C1711" s="4" t="s">
        <v>1123</v>
      </c>
      <c r="D1711" s="4" t="s">
        <v>2934</v>
      </c>
      <c r="E1711" s="4" t="s">
        <v>2935</v>
      </c>
      <c r="F1711" s="4" t="s">
        <v>2934</v>
      </c>
    </row>
    <row r="1712" spans="1:6" ht="14.4" thickBot="1" x14ac:dyDescent="0.35">
      <c r="A1712" s="4" t="s">
        <v>1123</v>
      </c>
      <c r="B1712" s="4" t="s">
        <v>2933</v>
      </c>
      <c r="C1712" s="4" t="s">
        <v>1123</v>
      </c>
      <c r="D1712" s="4" t="s">
        <v>2938</v>
      </c>
      <c r="E1712" s="4" t="s">
        <v>2939</v>
      </c>
      <c r="F1712" s="4" t="s">
        <v>2938</v>
      </c>
    </row>
    <row r="1713" spans="1:6" ht="14.4" thickBot="1" x14ac:dyDescent="0.35">
      <c r="A1713" s="4" t="s">
        <v>1123</v>
      </c>
      <c r="B1713" s="4" t="s">
        <v>2933</v>
      </c>
      <c r="C1713" s="4" t="s">
        <v>1123</v>
      </c>
      <c r="D1713" s="4" t="s">
        <v>3009</v>
      </c>
      <c r="E1713" s="4" t="s">
        <v>3010</v>
      </c>
      <c r="F1713" s="4" t="s">
        <v>3009</v>
      </c>
    </row>
    <row r="1714" spans="1:6" ht="14.4" thickBot="1" x14ac:dyDescent="0.35">
      <c r="A1714" s="4" t="s">
        <v>1123</v>
      </c>
      <c r="B1714" s="4" t="s">
        <v>2933</v>
      </c>
      <c r="C1714" s="4" t="s">
        <v>1123</v>
      </c>
      <c r="D1714" s="4" t="s">
        <v>4454</v>
      </c>
      <c r="E1714" s="4" t="s">
        <v>4455</v>
      </c>
      <c r="F1714" s="4" t="s">
        <v>4454</v>
      </c>
    </row>
    <row r="1715" spans="1:6" ht="14.4" thickBot="1" x14ac:dyDescent="0.35">
      <c r="A1715" s="4" t="s">
        <v>1446</v>
      </c>
      <c r="B1715" s="4" t="s">
        <v>1447</v>
      </c>
      <c r="C1715" s="4" t="s">
        <v>1446</v>
      </c>
      <c r="D1715" s="4" t="s">
        <v>3675</v>
      </c>
      <c r="E1715" s="4" t="s">
        <v>3676</v>
      </c>
      <c r="F1715" s="4" t="s">
        <v>3675</v>
      </c>
    </row>
    <row r="1716" spans="1:6" ht="14.4" thickBot="1" x14ac:dyDescent="0.35">
      <c r="A1716" s="4" t="s">
        <v>1446</v>
      </c>
      <c r="B1716" s="4" t="s">
        <v>1447</v>
      </c>
      <c r="C1716" s="4" t="s">
        <v>1446</v>
      </c>
      <c r="D1716" s="4" t="s">
        <v>1448</v>
      </c>
      <c r="E1716" s="4" t="s">
        <v>1449</v>
      </c>
      <c r="F1716" s="4" t="s">
        <v>1448</v>
      </c>
    </row>
    <row r="1717" spans="1:6" ht="14.4" thickBot="1" x14ac:dyDescent="0.35">
      <c r="A1717" s="4" t="s">
        <v>1446</v>
      </c>
      <c r="B1717" s="4" t="s">
        <v>1447</v>
      </c>
      <c r="C1717" s="4" t="s">
        <v>1446</v>
      </c>
      <c r="D1717" s="4" t="s">
        <v>1534</v>
      </c>
      <c r="E1717" s="4" t="s">
        <v>1535</v>
      </c>
      <c r="F1717" s="4" t="s">
        <v>1534</v>
      </c>
    </row>
    <row r="1718" spans="1:6" ht="14.4" thickBot="1" x14ac:dyDescent="0.35">
      <c r="A1718" s="4" t="s">
        <v>1450</v>
      </c>
      <c r="B1718" s="4" t="s">
        <v>1451</v>
      </c>
      <c r="C1718" s="4" t="s">
        <v>1450</v>
      </c>
      <c r="D1718" s="4" t="s">
        <v>5885</v>
      </c>
      <c r="E1718" s="4" t="s">
        <v>5886</v>
      </c>
      <c r="F1718" s="4" t="s">
        <v>5885</v>
      </c>
    </row>
    <row r="1719" spans="1:6" ht="14.4" thickBot="1" x14ac:dyDescent="0.35">
      <c r="A1719" s="4" t="s">
        <v>1450</v>
      </c>
      <c r="B1719" s="4" t="s">
        <v>1451</v>
      </c>
      <c r="C1719" s="4" t="s">
        <v>1450</v>
      </c>
      <c r="D1719" s="4" t="s">
        <v>5204</v>
      </c>
      <c r="E1719" s="4" t="s">
        <v>5205</v>
      </c>
      <c r="F1719" s="4" t="s">
        <v>5204</v>
      </c>
    </row>
    <row r="1720" spans="1:6" ht="14.4" thickBot="1" x14ac:dyDescent="0.35">
      <c r="A1720" s="4" t="s">
        <v>1450</v>
      </c>
      <c r="B1720" s="4" t="s">
        <v>1451</v>
      </c>
      <c r="C1720" s="4" t="s">
        <v>1450</v>
      </c>
      <c r="D1720" s="4" t="s">
        <v>1452</v>
      </c>
      <c r="E1720" s="4" t="s">
        <v>1453</v>
      </c>
      <c r="F1720" s="4" t="s">
        <v>1452</v>
      </c>
    </row>
    <row r="1721" spans="1:6" ht="14.4" thickBot="1" x14ac:dyDescent="0.35">
      <c r="A1721" s="4" t="s">
        <v>1450</v>
      </c>
      <c r="B1721" s="4" t="s">
        <v>1451</v>
      </c>
      <c r="C1721" s="4" t="s">
        <v>1450</v>
      </c>
      <c r="D1721" s="4" t="s">
        <v>5159</v>
      </c>
      <c r="E1721" s="4" t="s">
        <v>5160</v>
      </c>
      <c r="F1721" s="4" t="s">
        <v>5159</v>
      </c>
    </row>
    <row r="1722" spans="1:6" ht="14.4" thickBot="1" x14ac:dyDescent="0.35">
      <c r="A1722" s="4" t="s">
        <v>496</v>
      </c>
      <c r="B1722" s="4" t="s">
        <v>497</v>
      </c>
      <c r="C1722" s="4" t="s">
        <v>496</v>
      </c>
      <c r="D1722" s="4" t="s">
        <v>5208</v>
      </c>
      <c r="E1722" s="4" t="s">
        <v>5209</v>
      </c>
      <c r="F1722" s="4" t="s">
        <v>5208</v>
      </c>
    </row>
    <row r="1723" spans="1:6" ht="14.4" thickBot="1" x14ac:dyDescent="0.35">
      <c r="A1723" s="4" t="s">
        <v>496</v>
      </c>
      <c r="B1723" s="4" t="s">
        <v>497</v>
      </c>
      <c r="C1723" s="4" t="s">
        <v>496</v>
      </c>
      <c r="D1723" s="4" t="s">
        <v>498</v>
      </c>
      <c r="E1723" s="4" t="s">
        <v>499</v>
      </c>
      <c r="F1723" s="4" t="s">
        <v>498</v>
      </c>
    </row>
    <row r="1724" spans="1:6" ht="14.4" thickBot="1" x14ac:dyDescent="0.35">
      <c r="A1724" s="4" t="s">
        <v>496</v>
      </c>
      <c r="B1724" s="4" t="s">
        <v>497</v>
      </c>
      <c r="C1724" s="4" t="s">
        <v>496</v>
      </c>
      <c r="D1724" s="4" t="s">
        <v>5206</v>
      </c>
      <c r="E1724" s="4" t="s">
        <v>5207</v>
      </c>
      <c r="F1724" s="4" t="s">
        <v>5206</v>
      </c>
    </row>
    <row r="1725" spans="1:6" ht="14.4" thickBot="1" x14ac:dyDescent="0.35">
      <c r="A1725" s="4" t="s">
        <v>496</v>
      </c>
      <c r="B1725" s="4" t="s">
        <v>497</v>
      </c>
      <c r="C1725" s="4" t="s">
        <v>496</v>
      </c>
      <c r="D1725" s="4" t="s">
        <v>2940</v>
      </c>
      <c r="E1725" s="4" t="s">
        <v>2941</v>
      </c>
      <c r="F1725" s="4" t="s">
        <v>2940</v>
      </c>
    </row>
    <row r="1726" spans="1:6" ht="14.4" thickBot="1" x14ac:dyDescent="0.35">
      <c r="A1726" s="4" t="s">
        <v>496</v>
      </c>
      <c r="B1726" s="4" t="s">
        <v>497</v>
      </c>
      <c r="C1726" s="4" t="s">
        <v>496</v>
      </c>
      <c r="D1726" s="4" t="s">
        <v>5831</v>
      </c>
      <c r="E1726" s="4" t="s">
        <v>5832</v>
      </c>
      <c r="F1726" s="4" t="s">
        <v>5831</v>
      </c>
    </row>
    <row r="1727" spans="1:6" ht="14.4" thickBot="1" x14ac:dyDescent="0.35">
      <c r="A1727" s="4" t="s">
        <v>496</v>
      </c>
      <c r="B1727" s="4" t="s">
        <v>497</v>
      </c>
      <c r="C1727" s="4" t="s">
        <v>496</v>
      </c>
      <c r="D1727" s="4" t="s">
        <v>5887</v>
      </c>
      <c r="E1727" s="4" t="s">
        <v>5888</v>
      </c>
      <c r="F1727" s="4" t="s">
        <v>5887</v>
      </c>
    </row>
    <row r="1728" spans="1:6" ht="14.4" thickBot="1" x14ac:dyDescent="0.35">
      <c r="A1728" s="4" t="s">
        <v>496</v>
      </c>
      <c r="B1728" s="4" t="s">
        <v>497</v>
      </c>
      <c r="C1728" s="4" t="s">
        <v>496</v>
      </c>
      <c r="D1728" s="4" t="s">
        <v>3011</v>
      </c>
      <c r="E1728" s="4" t="s">
        <v>3012</v>
      </c>
      <c r="F1728" s="4" t="s">
        <v>3011</v>
      </c>
    </row>
    <row r="1729" spans="1:6" ht="14.4" thickBot="1" x14ac:dyDescent="0.35">
      <c r="A1729" s="4" t="s">
        <v>496</v>
      </c>
      <c r="B1729" s="4" t="s">
        <v>497</v>
      </c>
      <c r="C1729" s="4" t="s">
        <v>496</v>
      </c>
      <c r="D1729" s="4" t="s">
        <v>585</v>
      </c>
      <c r="E1729" s="4" t="s">
        <v>586</v>
      </c>
      <c r="F1729" s="4" t="s">
        <v>585</v>
      </c>
    </row>
    <row r="1730" spans="1:6" ht="14.4" thickBot="1" x14ac:dyDescent="0.35">
      <c r="A1730" s="4" t="s">
        <v>496</v>
      </c>
      <c r="B1730" s="4" t="s">
        <v>497</v>
      </c>
      <c r="C1730" s="4" t="s">
        <v>496</v>
      </c>
      <c r="D1730" s="4" t="s">
        <v>5889</v>
      </c>
      <c r="E1730" s="4" t="s">
        <v>5890</v>
      </c>
      <c r="F1730" s="4" t="s">
        <v>5889</v>
      </c>
    </row>
    <row r="1731" spans="1:6" ht="14.4" thickBot="1" x14ac:dyDescent="0.35">
      <c r="A1731" s="4" t="s">
        <v>496</v>
      </c>
      <c r="B1731" s="4" t="s">
        <v>497</v>
      </c>
      <c r="C1731" s="4" t="s">
        <v>496</v>
      </c>
      <c r="D1731" s="4" t="s">
        <v>5829</v>
      </c>
      <c r="E1731" s="4" t="s">
        <v>5830</v>
      </c>
      <c r="F1731" s="4" t="s">
        <v>5829</v>
      </c>
    </row>
    <row r="1732" spans="1:6" ht="14.4" thickBot="1" x14ac:dyDescent="0.35">
      <c r="A1732" s="4" t="s">
        <v>496</v>
      </c>
      <c r="B1732" s="4" t="s">
        <v>497</v>
      </c>
      <c r="C1732" s="4" t="s">
        <v>496</v>
      </c>
      <c r="D1732" s="4" t="s">
        <v>4517</v>
      </c>
      <c r="E1732" s="4" t="s">
        <v>4518</v>
      </c>
      <c r="F1732" s="4" t="s">
        <v>4517</v>
      </c>
    </row>
    <row r="1733" spans="1:6" ht="14.4" thickBot="1" x14ac:dyDescent="0.35">
      <c r="A1733" s="4" t="s">
        <v>496</v>
      </c>
      <c r="B1733" s="4" t="s">
        <v>497</v>
      </c>
      <c r="C1733" s="4" t="s">
        <v>496</v>
      </c>
      <c r="D1733" s="4" t="s">
        <v>583</v>
      </c>
      <c r="E1733" s="4" t="s">
        <v>584</v>
      </c>
      <c r="F1733" s="4" t="s">
        <v>583</v>
      </c>
    </row>
    <row r="1734" spans="1:6" ht="14.4" thickBot="1" x14ac:dyDescent="0.35">
      <c r="A1734" s="4" t="s">
        <v>501</v>
      </c>
      <c r="B1734" s="4" t="s">
        <v>502</v>
      </c>
      <c r="C1734" s="4" t="s">
        <v>501</v>
      </c>
      <c r="D1734" s="4" t="s">
        <v>4456</v>
      </c>
      <c r="E1734" s="4" t="s">
        <v>4457</v>
      </c>
      <c r="F1734" s="4" t="s">
        <v>4456</v>
      </c>
    </row>
    <row r="1735" spans="1:6" ht="14.4" thickBot="1" x14ac:dyDescent="0.35">
      <c r="A1735" s="4" t="s">
        <v>501</v>
      </c>
      <c r="B1735" s="4" t="s">
        <v>502</v>
      </c>
      <c r="C1735" s="4" t="s">
        <v>501</v>
      </c>
      <c r="D1735" s="4" t="s">
        <v>503</v>
      </c>
      <c r="E1735" s="4" t="s">
        <v>504</v>
      </c>
      <c r="F1735" s="4" t="s">
        <v>503</v>
      </c>
    </row>
    <row r="1736" spans="1:6" ht="14.4" thickBot="1" x14ac:dyDescent="0.35">
      <c r="A1736" s="4" t="s">
        <v>501</v>
      </c>
      <c r="B1736" s="4" t="s">
        <v>502</v>
      </c>
      <c r="C1736" s="4" t="s">
        <v>501</v>
      </c>
      <c r="D1736" s="4" t="s">
        <v>3677</v>
      </c>
      <c r="E1736" s="4" t="s">
        <v>3678</v>
      </c>
      <c r="F1736" s="4" t="s">
        <v>3677</v>
      </c>
    </row>
    <row r="1737" spans="1:6" ht="14.4" thickBot="1" x14ac:dyDescent="0.35">
      <c r="A1737" s="4" t="s">
        <v>501</v>
      </c>
      <c r="B1737" s="4" t="s">
        <v>502</v>
      </c>
      <c r="C1737" s="4" t="s">
        <v>501</v>
      </c>
      <c r="D1737" s="4" t="s">
        <v>1454</v>
      </c>
      <c r="E1737" s="4" t="s">
        <v>1455</v>
      </c>
      <c r="F1737" s="4" t="s">
        <v>1454</v>
      </c>
    </row>
    <row r="1738" spans="1:6" ht="14.4" thickBot="1" x14ac:dyDescent="0.35">
      <c r="A1738" s="4" t="s">
        <v>501</v>
      </c>
      <c r="B1738" s="4" t="s">
        <v>502</v>
      </c>
      <c r="C1738" s="4" t="s">
        <v>501</v>
      </c>
      <c r="D1738" s="4" t="s">
        <v>4458</v>
      </c>
      <c r="E1738" s="4" t="s">
        <v>4459</v>
      </c>
      <c r="F1738" s="4" t="s">
        <v>4458</v>
      </c>
    </row>
    <row r="1739" spans="1:6" ht="14.4" thickBot="1" x14ac:dyDescent="0.35">
      <c r="A1739" s="4" t="s">
        <v>501</v>
      </c>
      <c r="B1739" s="4" t="s">
        <v>502</v>
      </c>
      <c r="C1739" s="4" t="s">
        <v>501</v>
      </c>
      <c r="D1739" s="4" t="s">
        <v>5161</v>
      </c>
      <c r="E1739" s="4" t="s">
        <v>5162</v>
      </c>
      <c r="F1739" s="4" t="s">
        <v>5161</v>
      </c>
    </row>
    <row r="1740" spans="1:6" ht="14.4" thickBot="1" x14ac:dyDescent="0.35">
      <c r="A1740" s="4" t="s">
        <v>501</v>
      </c>
      <c r="B1740" s="4" t="s">
        <v>502</v>
      </c>
      <c r="C1740" s="4" t="s">
        <v>501</v>
      </c>
      <c r="D1740" s="4" t="s">
        <v>5210</v>
      </c>
      <c r="E1740" s="4" t="s">
        <v>5211</v>
      </c>
      <c r="F1740" s="4" t="s">
        <v>5210</v>
      </c>
    </row>
    <row r="1741" spans="1:6" ht="14.4" thickBot="1" x14ac:dyDescent="0.35">
      <c r="A1741" s="4" t="s">
        <v>501</v>
      </c>
      <c r="B1741" s="4" t="s">
        <v>502</v>
      </c>
      <c r="C1741" s="4" t="s">
        <v>501</v>
      </c>
      <c r="D1741" s="4" t="s">
        <v>5891</v>
      </c>
      <c r="E1741" s="4" t="s">
        <v>5892</v>
      </c>
      <c r="F1741" s="4" t="s">
        <v>5891</v>
      </c>
    </row>
    <row r="1742" spans="1:6" ht="14.4" thickBot="1" x14ac:dyDescent="0.35">
      <c r="A1742" s="4" t="s">
        <v>501</v>
      </c>
      <c r="B1742" s="4" t="s">
        <v>502</v>
      </c>
      <c r="C1742" s="4" t="s">
        <v>501</v>
      </c>
      <c r="D1742" s="4" t="s">
        <v>3739</v>
      </c>
      <c r="E1742" s="4" t="s">
        <v>3740</v>
      </c>
      <c r="F1742" s="4" t="s">
        <v>3739</v>
      </c>
    </row>
    <row r="1743" spans="1:6" ht="14.4" thickBot="1" x14ac:dyDescent="0.35">
      <c r="A1743" s="4" t="s">
        <v>501</v>
      </c>
      <c r="B1743" s="4" t="s">
        <v>502</v>
      </c>
      <c r="C1743" s="4" t="s">
        <v>501</v>
      </c>
      <c r="D1743" s="4" t="s">
        <v>5833</v>
      </c>
      <c r="E1743" s="4" t="s">
        <v>5834</v>
      </c>
      <c r="F1743" s="4" t="s">
        <v>5833</v>
      </c>
    </row>
    <row r="1744" spans="1:6" ht="14.4" thickBot="1" x14ac:dyDescent="0.35">
      <c r="A1744" s="4" t="s">
        <v>501</v>
      </c>
      <c r="B1744" s="4" t="s">
        <v>502</v>
      </c>
      <c r="C1744" s="4" t="s">
        <v>501</v>
      </c>
      <c r="D1744" s="4" t="s">
        <v>4519</v>
      </c>
      <c r="E1744" s="4" t="s">
        <v>4520</v>
      </c>
      <c r="F1744" s="4" t="s">
        <v>4519</v>
      </c>
    </row>
    <row r="1745" spans="1:6" ht="14.4" thickBot="1" x14ac:dyDescent="0.35">
      <c r="A1745" s="4" t="s">
        <v>501</v>
      </c>
      <c r="B1745" s="4" t="s">
        <v>502</v>
      </c>
      <c r="C1745" s="4" t="s">
        <v>501</v>
      </c>
      <c r="D1745" s="4" t="s">
        <v>3013</v>
      </c>
      <c r="E1745" s="4" t="s">
        <v>3014</v>
      </c>
      <c r="F1745" s="4" t="s">
        <v>3013</v>
      </c>
    </row>
    <row r="1746" spans="1:6" ht="14.4" thickBot="1" x14ac:dyDescent="0.35">
      <c r="A1746" s="4" t="s">
        <v>2344</v>
      </c>
      <c r="B1746" s="4" t="s">
        <v>3680</v>
      </c>
      <c r="C1746" s="4" t="s">
        <v>2344</v>
      </c>
      <c r="D1746" s="4" t="s">
        <v>3681</v>
      </c>
      <c r="E1746" s="4" t="s">
        <v>3682</v>
      </c>
      <c r="F1746" s="4" t="s">
        <v>3681</v>
      </c>
    </row>
    <row r="1747" spans="1:6" ht="14.4" thickBot="1" x14ac:dyDescent="0.35">
      <c r="A1747" s="4" t="s">
        <v>2344</v>
      </c>
      <c r="B1747" s="4" t="s">
        <v>3680</v>
      </c>
      <c r="C1747" s="4" t="s">
        <v>2344</v>
      </c>
      <c r="D1747" s="4" t="s">
        <v>3741</v>
      </c>
      <c r="E1747" s="4" t="s">
        <v>3742</v>
      </c>
      <c r="F1747" s="4" t="s">
        <v>3741</v>
      </c>
    </row>
    <row r="1748" spans="1:6" ht="14.4" thickBot="1" x14ac:dyDescent="0.35">
      <c r="A1748" s="4" t="s">
        <v>588</v>
      </c>
      <c r="B1748" s="4" t="s">
        <v>589</v>
      </c>
      <c r="C1748" s="4" t="s">
        <v>588</v>
      </c>
      <c r="D1748" s="4" t="s">
        <v>5835</v>
      </c>
      <c r="E1748" s="4" t="s">
        <v>5836</v>
      </c>
      <c r="F1748" s="4" t="s">
        <v>5835</v>
      </c>
    </row>
    <row r="1749" spans="1:6" ht="14.4" thickBot="1" x14ac:dyDescent="0.35">
      <c r="A1749" s="4" t="s">
        <v>588</v>
      </c>
      <c r="B1749" s="4" t="s">
        <v>589</v>
      </c>
      <c r="C1749" s="4" t="s">
        <v>588</v>
      </c>
      <c r="D1749" s="4" t="s">
        <v>2199</v>
      </c>
      <c r="E1749" s="4" t="s">
        <v>2200</v>
      </c>
      <c r="F1749" s="4" t="s">
        <v>2199</v>
      </c>
    </row>
    <row r="1750" spans="1:6" ht="14.4" thickBot="1" x14ac:dyDescent="0.35">
      <c r="A1750" s="4" t="s">
        <v>588</v>
      </c>
      <c r="B1750" s="4" t="s">
        <v>589</v>
      </c>
      <c r="C1750" s="4" t="s">
        <v>588</v>
      </c>
      <c r="D1750" s="4" t="s">
        <v>1536</v>
      </c>
      <c r="E1750" s="4" t="s">
        <v>1537</v>
      </c>
      <c r="F1750" s="4" t="s">
        <v>1536</v>
      </c>
    </row>
    <row r="1751" spans="1:6" ht="14.4" thickBot="1" x14ac:dyDescent="0.35">
      <c r="A1751" s="4" t="s">
        <v>588</v>
      </c>
      <c r="B1751" s="4" t="s">
        <v>589</v>
      </c>
      <c r="C1751" s="4" t="s">
        <v>588</v>
      </c>
      <c r="D1751" s="4" t="s">
        <v>590</v>
      </c>
      <c r="E1751" s="4" t="s">
        <v>591</v>
      </c>
      <c r="F1751" s="4" t="s">
        <v>590</v>
      </c>
    </row>
    <row r="1752" spans="1:6" ht="14.4" thickBot="1" x14ac:dyDescent="0.35">
      <c r="A1752" s="4" t="s">
        <v>588</v>
      </c>
      <c r="B1752" s="4" t="s">
        <v>589</v>
      </c>
      <c r="C1752" s="4" t="s">
        <v>588</v>
      </c>
      <c r="D1752" s="4" t="s">
        <v>5837</v>
      </c>
      <c r="E1752" s="4" t="s">
        <v>5838</v>
      </c>
      <c r="F1752" s="4" t="s">
        <v>5837</v>
      </c>
    </row>
    <row r="1753" spans="1:6" ht="14.4" thickBot="1" x14ac:dyDescent="0.35">
      <c r="A1753" s="4" t="s">
        <v>2405</v>
      </c>
      <c r="B1753" s="4" t="s">
        <v>2406</v>
      </c>
      <c r="C1753" s="4" t="s">
        <v>2405</v>
      </c>
      <c r="D1753" s="4" t="s">
        <v>2407</v>
      </c>
      <c r="E1753" s="4" t="s">
        <v>2408</v>
      </c>
      <c r="F1753" s="4" t="s">
        <v>2407</v>
      </c>
    </row>
    <row r="1754" spans="1:6" ht="14.4" thickBot="1" x14ac:dyDescent="0.35">
      <c r="A1754" s="4" t="s">
        <v>2405</v>
      </c>
      <c r="B1754" s="4" t="s">
        <v>2406</v>
      </c>
      <c r="C1754" s="4" t="s">
        <v>2405</v>
      </c>
      <c r="D1754" s="4" t="s">
        <v>5373</v>
      </c>
      <c r="E1754" s="4" t="s">
        <v>5374</v>
      </c>
      <c r="F1754" s="4" t="s">
        <v>5373</v>
      </c>
    </row>
    <row r="1755" spans="1:6" ht="14.4" thickBot="1" x14ac:dyDescent="0.35">
      <c r="A1755" s="4" t="s">
        <v>4461</v>
      </c>
      <c r="B1755" s="4" t="s">
        <v>4462</v>
      </c>
      <c r="C1755" s="4" t="s">
        <v>4461</v>
      </c>
      <c r="D1755" s="4" t="s">
        <v>4463</v>
      </c>
      <c r="E1755" s="4" t="s">
        <v>4464</v>
      </c>
      <c r="F1755" s="4" t="s">
        <v>4463</v>
      </c>
    </row>
    <row r="1756" spans="1:6" ht="14.4" thickBot="1" x14ac:dyDescent="0.35">
      <c r="A1756" s="4" t="s">
        <v>252</v>
      </c>
      <c r="B1756" s="4" t="s">
        <v>253</v>
      </c>
      <c r="C1756" s="4" t="s">
        <v>252</v>
      </c>
      <c r="D1756" s="4" t="s">
        <v>1646</v>
      </c>
      <c r="E1756" s="4" t="s">
        <v>2754</v>
      </c>
      <c r="F1756" s="4" t="s">
        <v>1646</v>
      </c>
    </row>
    <row r="1757" spans="1:6" ht="14.4" thickBot="1" x14ac:dyDescent="0.35">
      <c r="A1757" s="4" t="s">
        <v>252</v>
      </c>
      <c r="B1757" s="4" t="s">
        <v>253</v>
      </c>
      <c r="C1757" s="4" t="s">
        <v>252</v>
      </c>
      <c r="D1757" s="4" t="s">
        <v>5701</v>
      </c>
      <c r="E1757" s="4" t="s">
        <v>5702</v>
      </c>
      <c r="F1757" s="4" t="s">
        <v>5701</v>
      </c>
    </row>
    <row r="1758" spans="1:6" ht="14.4" thickBot="1" x14ac:dyDescent="0.35">
      <c r="A1758" s="4" t="s">
        <v>252</v>
      </c>
      <c r="B1758" s="4" t="s">
        <v>253</v>
      </c>
      <c r="C1758" s="4" t="s">
        <v>252</v>
      </c>
      <c r="D1758" s="4" t="s">
        <v>1225</v>
      </c>
      <c r="E1758" s="4" t="s">
        <v>1226</v>
      </c>
      <c r="F1758" s="4" t="s">
        <v>1225</v>
      </c>
    </row>
    <row r="1759" spans="1:6" ht="14.4" thickBot="1" x14ac:dyDescent="0.35">
      <c r="A1759" s="4" t="s">
        <v>252</v>
      </c>
      <c r="B1759" s="4" t="s">
        <v>253</v>
      </c>
      <c r="C1759" s="4" t="s">
        <v>252</v>
      </c>
      <c r="D1759" s="4" t="s">
        <v>3458</v>
      </c>
      <c r="E1759" s="4" t="s">
        <v>3459</v>
      </c>
      <c r="F1759" s="4" t="s">
        <v>3458</v>
      </c>
    </row>
    <row r="1760" spans="1:6" ht="14.4" thickBot="1" x14ac:dyDescent="0.35">
      <c r="A1760" s="4" t="s">
        <v>252</v>
      </c>
      <c r="B1760" s="4" t="s">
        <v>253</v>
      </c>
      <c r="C1760" s="4" t="s">
        <v>252</v>
      </c>
      <c r="D1760" s="4" t="s">
        <v>3464</v>
      </c>
      <c r="E1760" s="4" t="s">
        <v>3465</v>
      </c>
      <c r="F1760" s="4" t="s">
        <v>3464</v>
      </c>
    </row>
    <row r="1761" spans="1:6" ht="14.4" thickBot="1" x14ac:dyDescent="0.35">
      <c r="A1761" s="4" t="s">
        <v>252</v>
      </c>
      <c r="B1761" s="4" t="s">
        <v>253</v>
      </c>
      <c r="C1761" s="4" t="s">
        <v>252</v>
      </c>
      <c r="D1761" s="4" t="s">
        <v>1522</v>
      </c>
      <c r="E1761" s="4" t="s">
        <v>2036</v>
      </c>
      <c r="F1761" s="4" t="s">
        <v>1522</v>
      </c>
    </row>
    <row r="1762" spans="1:6" ht="14.4" thickBot="1" x14ac:dyDescent="0.35">
      <c r="A1762" s="4" t="s">
        <v>252</v>
      </c>
      <c r="B1762" s="4" t="s">
        <v>253</v>
      </c>
      <c r="C1762" s="4" t="s">
        <v>252</v>
      </c>
      <c r="D1762" s="4" t="s">
        <v>1269</v>
      </c>
      <c r="E1762" s="4" t="s">
        <v>1270</v>
      </c>
      <c r="F1762" s="4" t="s">
        <v>1269</v>
      </c>
    </row>
    <row r="1763" spans="1:6" ht="14.4" thickBot="1" x14ac:dyDescent="0.35">
      <c r="A1763" s="4" t="s">
        <v>252</v>
      </c>
      <c r="B1763" s="4" t="s">
        <v>253</v>
      </c>
      <c r="C1763" s="4" t="s">
        <v>252</v>
      </c>
      <c r="D1763" s="4" t="s">
        <v>3470</v>
      </c>
      <c r="E1763" s="4" t="s">
        <v>3471</v>
      </c>
      <c r="F1763" s="4" t="s">
        <v>3470</v>
      </c>
    </row>
    <row r="1764" spans="1:6" ht="14.4" thickBot="1" x14ac:dyDescent="0.35">
      <c r="A1764" s="4" t="s">
        <v>252</v>
      </c>
      <c r="B1764" s="4" t="s">
        <v>253</v>
      </c>
      <c r="C1764" s="4" t="s">
        <v>252</v>
      </c>
      <c r="D1764" s="4" t="s">
        <v>5657</v>
      </c>
      <c r="E1764" s="4" t="s">
        <v>5658</v>
      </c>
      <c r="F1764" s="4" t="s">
        <v>5657</v>
      </c>
    </row>
    <row r="1765" spans="1:6" ht="14.4" thickBot="1" x14ac:dyDescent="0.35">
      <c r="A1765" s="4" t="s">
        <v>252</v>
      </c>
      <c r="B1765" s="4" t="s">
        <v>253</v>
      </c>
      <c r="C1765" s="4" t="s">
        <v>252</v>
      </c>
      <c r="D1765" s="4" t="s">
        <v>1219</v>
      </c>
      <c r="E1765" s="4" t="s">
        <v>1220</v>
      </c>
      <c r="F1765" s="4" t="s">
        <v>1219</v>
      </c>
    </row>
    <row r="1766" spans="1:6" ht="14.4" thickBot="1" x14ac:dyDescent="0.35">
      <c r="A1766" s="4" t="s">
        <v>252</v>
      </c>
      <c r="B1766" s="4" t="s">
        <v>253</v>
      </c>
      <c r="C1766" s="4" t="s">
        <v>252</v>
      </c>
      <c r="D1766" s="4" t="s">
        <v>2702</v>
      </c>
      <c r="E1766" s="4" t="s">
        <v>2703</v>
      </c>
      <c r="F1766" s="4" t="s">
        <v>2702</v>
      </c>
    </row>
    <row r="1767" spans="1:6" ht="14.4" thickBot="1" x14ac:dyDescent="0.35">
      <c r="A1767" s="4" t="s">
        <v>252</v>
      </c>
      <c r="B1767" s="4" t="s">
        <v>253</v>
      </c>
      <c r="C1767" s="4" t="s">
        <v>252</v>
      </c>
      <c r="D1767" s="4" t="s">
        <v>2708</v>
      </c>
      <c r="E1767" s="4" t="s">
        <v>2709</v>
      </c>
      <c r="F1767" s="4" t="s">
        <v>2708</v>
      </c>
    </row>
    <row r="1768" spans="1:6" ht="14.4" thickBot="1" x14ac:dyDescent="0.35">
      <c r="A1768" s="4" t="s">
        <v>252</v>
      </c>
      <c r="B1768" s="4" t="s">
        <v>253</v>
      </c>
      <c r="C1768" s="4" t="s">
        <v>252</v>
      </c>
      <c r="D1768" s="4" t="s">
        <v>5000</v>
      </c>
      <c r="E1768" s="4" t="s">
        <v>5001</v>
      </c>
      <c r="F1768" s="4" t="s">
        <v>5000</v>
      </c>
    </row>
    <row r="1769" spans="1:6" ht="14.4" thickBot="1" x14ac:dyDescent="0.35">
      <c r="A1769" s="4" t="s">
        <v>252</v>
      </c>
      <c r="B1769" s="4" t="s">
        <v>253</v>
      </c>
      <c r="C1769" s="4" t="s">
        <v>252</v>
      </c>
      <c r="D1769" s="4" t="s">
        <v>3519</v>
      </c>
      <c r="E1769" s="4" t="s">
        <v>3520</v>
      </c>
      <c r="F1769" s="4" t="s">
        <v>3519</v>
      </c>
    </row>
    <row r="1770" spans="1:6" ht="14.4" thickBot="1" x14ac:dyDescent="0.35">
      <c r="A1770" s="4" t="s">
        <v>252</v>
      </c>
      <c r="B1770" s="4" t="s">
        <v>253</v>
      </c>
      <c r="C1770" s="4" t="s">
        <v>252</v>
      </c>
      <c r="D1770" s="4" t="s">
        <v>4282</v>
      </c>
      <c r="E1770" s="4" t="s">
        <v>4283</v>
      </c>
      <c r="F1770" s="4" t="s">
        <v>4282</v>
      </c>
    </row>
    <row r="1771" spans="1:6" ht="14.4" thickBot="1" x14ac:dyDescent="0.35">
      <c r="A1771" s="4" t="s">
        <v>252</v>
      </c>
      <c r="B1771" s="4" t="s">
        <v>253</v>
      </c>
      <c r="C1771" s="4" t="s">
        <v>252</v>
      </c>
      <c r="D1771" s="4" t="s">
        <v>1217</v>
      </c>
      <c r="E1771" s="4" t="s">
        <v>1218</v>
      </c>
      <c r="F1771" s="4" t="s">
        <v>1217</v>
      </c>
    </row>
    <row r="1772" spans="1:6" ht="14.4" thickBot="1" x14ac:dyDescent="0.35">
      <c r="A1772" s="4" t="s">
        <v>252</v>
      </c>
      <c r="B1772" s="4" t="s">
        <v>253</v>
      </c>
      <c r="C1772" s="4" t="s">
        <v>252</v>
      </c>
      <c r="D1772" s="4" t="s">
        <v>255</v>
      </c>
      <c r="E1772" s="4" t="s">
        <v>256</v>
      </c>
      <c r="F1772" s="4" t="s">
        <v>255</v>
      </c>
    </row>
    <row r="1773" spans="1:6" ht="14.4" thickBot="1" x14ac:dyDescent="0.35">
      <c r="A1773" s="4" t="s">
        <v>252</v>
      </c>
      <c r="B1773" s="4" t="s">
        <v>253</v>
      </c>
      <c r="C1773" s="4" t="s">
        <v>252</v>
      </c>
      <c r="D1773" s="4" t="s">
        <v>1213</v>
      </c>
      <c r="E1773" s="4" t="s">
        <v>1214</v>
      </c>
      <c r="F1773" s="4" t="s">
        <v>1213</v>
      </c>
    </row>
    <row r="1774" spans="1:6" ht="14.4" thickBot="1" x14ac:dyDescent="0.35">
      <c r="A1774" s="4" t="s">
        <v>252</v>
      </c>
      <c r="B1774" s="4" t="s">
        <v>253</v>
      </c>
      <c r="C1774" s="4" t="s">
        <v>252</v>
      </c>
      <c r="D1774" s="4" t="s">
        <v>4268</v>
      </c>
      <c r="E1774" s="4" t="s">
        <v>4269</v>
      </c>
      <c r="F1774" s="4" t="s">
        <v>4268</v>
      </c>
    </row>
    <row r="1775" spans="1:6" ht="14.4" thickBot="1" x14ac:dyDescent="0.35">
      <c r="A1775" s="4" t="s">
        <v>252</v>
      </c>
      <c r="B1775" s="4" t="s">
        <v>253</v>
      </c>
      <c r="C1775" s="4" t="s">
        <v>252</v>
      </c>
      <c r="D1775" s="4" t="s">
        <v>1203</v>
      </c>
      <c r="E1775" s="4" t="s">
        <v>1204</v>
      </c>
      <c r="F1775" s="4" t="s">
        <v>1203</v>
      </c>
    </row>
    <row r="1776" spans="1:6" ht="14.4" thickBot="1" x14ac:dyDescent="0.35">
      <c r="A1776" s="4" t="s">
        <v>252</v>
      </c>
      <c r="B1776" s="4" t="s">
        <v>253</v>
      </c>
      <c r="C1776" s="4" t="s">
        <v>252</v>
      </c>
      <c r="D1776" s="4" t="s">
        <v>4998</v>
      </c>
      <c r="E1776" s="4" t="s">
        <v>4999</v>
      </c>
      <c r="F1776" s="4" t="s">
        <v>4998</v>
      </c>
    </row>
    <row r="1777" spans="1:6" ht="14.4" thickBot="1" x14ac:dyDescent="0.35">
      <c r="A1777" s="4" t="s">
        <v>252</v>
      </c>
      <c r="B1777" s="4" t="s">
        <v>253</v>
      </c>
      <c r="C1777" s="4" t="s">
        <v>252</v>
      </c>
      <c r="D1777" s="4" t="s">
        <v>5005</v>
      </c>
      <c r="E1777" s="4" t="s">
        <v>5006</v>
      </c>
      <c r="F1777" s="4" t="s">
        <v>5005</v>
      </c>
    </row>
    <row r="1778" spans="1:6" ht="14.4" thickBot="1" x14ac:dyDescent="0.35">
      <c r="A1778" s="4" t="s">
        <v>252</v>
      </c>
      <c r="B1778" s="4" t="s">
        <v>253</v>
      </c>
      <c r="C1778" s="4" t="s">
        <v>252</v>
      </c>
      <c r="D1778" s="4" t="s">
        <v>312</v>
      </c>
      <c r="E1778" s="4" t="s">
        <v>313</v>
      </c>
      <c r="F1778" s="4" t="s">
        <v>312</v>
      </c>
    </row>
    <row r="1779" spans="1:6" ht="14.4" thickBot="1" x14ac:dyDescent="0.35">
      <c r="A1779" s="4" t="s">
        <v>252</v>
      </c>
      <c r="B1779" s="4" t="s">
        <v>253</v>
      </c>
      <c r="C1779" s="4" t="s">
        <v>252</v>
      </c>
      <c r="D1779" s="4" t="s">
        <v>2761</v>
      </c>
      <c r="E1779" s="4" t="s">
        <v>2762</v>
      </c>
      <c r="F1779" s="4" t="s">
        <v>2761</v>
      </c>
    </row>
    <row r="1780" spans="1:6" ht="14.4" thickBot="1" x14ac:dyDescent="0.35">
      <c r="A1780" s="4" t="s">
        <v>252</v>
      </c>
      <c r="B1780" s="4" t="s">
        <v>253</v>
      </c>
      <c r="C1780" s="4" t="s">
        <v>252</v>
      </c>
      <c r="D1780" s="4" t="s">
        <v>2692</v>
      </c>
      <c r="E1780" s="4" t="s">
        <v>2693</v>
      </c>
      <c r="F1780" s="4" t="s">
        <v>2692</v>
      </c>
    </row>
    <row r="1781" spans="1:6" ht="14.4" thickBot="1" x14ac:dyDescent="0.35">
      <c r="A1781" s="4" t="s">
        <v>252</v>
      </c>
      <c r="B1781" s="4" t="s">
        <v>253</v>
      </c>
      <c r="C1781" s="4" t="s">
        <v>252</v>
      </c>
      <c r="D1781" s="4" t="s">
        <v>4284</v>
      </c>
      <c r="E1781" s="4" t="s">
        <v>4285</v>
      </c>
      <c r="F1781" s="4" t="s">
        <v>4284</v>
      </c>
    </row>
    <row r="1782" spans="1:6" ht="14.4" thickBot="1" x14ac:dyDescent="0.35">
      <c r="A1782" s="4" t="s">
        <v>252</v>
      </c>
      <c r="B1782" s="4" t="s">
        <v>253</v>
      </c>
      <c r="C1782" s="4" t="s">
        <v>252</v>
      </c>
      <c r="D1782" s="4" t="s">
        <v>3460</v>
      </c>
      <c r="E1782" s="4" t="s">
        <v>3461</v>
      </c>
      <c r="F1782" s="4" t="s">
        <v>3460</v>
      </c>
    </row>
    <row r="1783" spans="1:6" ht="14.4" thickBot="1" x14ac:dyDescent="0.35">
      <c r="A1783" s="4" t="s">
        <v>252</v>
      </c>
      <c r="B1783" s="4" t="s">
        <v>253</v>
      </c>
      <c r="C1783" s="4" t="s">
        <v>252</v>
      </c>
      <c r="D1783" s="4" t="s">
        <v>2690</v>
      </c>
      <c r="E1783" s="4" t="s">
        <v>2691</v>
      </c>
      <c r="F1783" s="4" t="s">
        <v>2690</v>
      </c>
    </row>
    <row r="1784" spans="1:6" ht="14.4" thickBot="1" x14ac:dyDescent="0.35">
      <c r="A1784" s="4" t="s">
        <v>252</v>
      </c>
      <c r="B1784" s="4" t="s">
        <v>253</v>
      </c>
      <c r="C1784" s="4" t="s">
        <v>252</v>
      </c>
      <c r="D1784" s="4" t="s">
        <v>1267</v>
      </c>
      <c r="E1784" s="4" t="s">
        <v>1268</v>
      </c>
      <c r="F1784" s="4" t="s">
        <v>1267</v>
      </c>
    </row>
    <row r="1785" spans="1:6" ht="14.4" thickBot="1" x14ac:dyDescent="0.35">
      <c r="A1785" s="4" t="s">
        <v>252</v>
      </c>
      <c r="B1785" s="4" t="s">
        <v>253</v>
      </c>
      <c r="C1785" s="4" t="s">
        <v>252</v>
      </c>
      <c r="D1785" s="4" t="s">
        <v>4276</v>
      </c>
      <c r="E1785" s="4" t="s">
        <v>4277</v>
      </c>
      <c r="F1785" s="4" t="s">
        <v>4276</v>
      </c>
    </row>
    <row r="1786" spans="1:6" ht="14.4" thickBot="1" x14ac:dyDescent="0.35">
      <c r="A1786" s="4" t="s">
        <v>252</v>
      </c>
      <c r="B1786" s="4" t="s">
        <v>253</v>
      </c>
      <c r="C1786" s="4" t="s">
        <v>252</v>
      </c>
      <c r="D1786" s="4" t="s">
        <v>2759</v>
      </c>
      <c r="E1786" s="4" t="s">
        <v>2760</v>
      </c>
      <c r="F1786" s="4" t="s">
        <v>2759</v>
      </c>
    </row>
    <row r="1787" spans="1:6" ht="14.4" thickBot="1" x14ac:dyDescent="0.35">
      <c r="A1787" s="4" t="s">
        <v>252</v>
      </c>
      <c r="B1787" s="4" t="s">
        <v>253</v>
      </c>
      <c r="C1787" s="4" t="s">
        <v>252</v>
      </c>
      <c r="D1787" s="4" t="s">
        <v>1205</v>
      </c>
      <c r="E1787" s="4" t="s">
        <v>1206</v>
      </c>
      <c r="F1787" s="4" t="s">
        <v>1205</v>
      </c>
    </row>
    <row r="1788" spans="1:6" ht="14.4" thickBot="1" x14ac:dyDescent="0.35">
      <c r="A1788" s="4" t="s">
        <v>252</v>
      </c>
      <c r="B1788" s="4" t="s">
        <v>253</v>
      </c>
      <c r="C1788" s="4" t="s">
        <v>252</v>
      </c>
      <c r="D1788" s="4" t="s">
        <v>259</v>
      </c>
      <c r="E1788" s="4" t="s">
        <v>260</v>
      </c>
      <c r="F1788" s="4" t="s">
        <v>259</v>
      </c>
    </row>
    <row r="1789" spans="1:6" ht="14.4" thickBot="1" x14ac:dyDescent="0.35">
      <c r="A1789" s="4" t="s">
        <v>252</v>
      </c>
      <c r="B1789" s="4" t="s">
        <v>253</v>
      </c>
      <c r="C1789" s="4" t="s">
        <v>252</v>
      </c>
      <c r="D1789" s="4" t="s">
        <v>1201</v>
      </c>
      <c r="E1789" s="4" t="s">
        <v>1202</v>
      </c>
      <c r="F1789" s="4" t="s">
        <v>1201</v>
      </c>
    </row>
    <row r="1790" spans="1:6" ht="14.4" thickBot="1" x14ac:dyDescent="0.35">
      <c r="A1790" s="4" t="s">
        <v>252</v>
      </c>
      <c r="B1790" s="4" t="s">
        <v>253</v>
      </c>
      <c r="C1790" s="4" t="s">
        <v>252</v>
      </c>
      <c r="D1790" s="4" t="s">
        <v>2752</v>
      </c>
      <c r="E1790" s="4" t="s">
        <v>2753</v>
      </c>
      <c r="F1790" s="4" t="s">
        <v>2752</v>
      </c>
    </row>
    <row r="1791" spans="1:6" ht="14.4" thickBot="1" x14ac:dyDescent="0.35">
      <c r="A1791" s="4" t="s">
        <v>252</v>
      </c>
      <c r="B1791" s="4" t="s">
        <v>253</v>
      </c>
      <c r="C1791" s="4" t="s">
        <v>252</v>
      </c>
      <c r="D1791" s="4" t="s">
        <v>2714</v>
      </c>
      <c r="E1791" s="4" t="s">
        <v>2715</v>
      </c>
      <c r="F1791" s="4" t="s">
        <v>2714</v>
      </c>
    </row>
    <row r="1792" spans="1:6" ht="14.4" thickBot="1" x14ac:dyDescent="0.35">
      <c r="A1792" s="4" t="s">
        <v>252</v>
      </c>
      <c r="B1792" s="4" t="s">
        <v>253</v>
      </c>
      <c r="C1792" s="4" t="s">
        <v>252</v>
      </c>
      <c r="D1792" s="4" t="s">
        <v>5699</v>
      </c>
      <c r="E1792" s="4" t="s">
        <v>5700</v>
      </c>
      <c r="F1792" s="4" t="s">
        <v>5699</v>
      </c>
    </row>
    <row r="1793" spans="1:6" ht="14.4" thickBot="1" x14ac:dyDescent="0.35">
      <c r="A1793" s="4" t="s">
        <v>252</v>
      </c>
      <c r="B1793" s="4" t="s">
        <v>253</v>
      </c>
      <c r="C1793" s="4" t="s">
        <v>252</v>
      </c>
      <c r="D1793" s="4" t="s">
        <v>3484</v>
      </c>
      <c r="E1793" s="4" t="s">
        <v>3485</v>
      </c>
      <c r="F1793" s="4" t="s">
        <v>3484</v>
      </c>
    </row>
    <row r="1794" spans="1:6" ht="14.4" thickBot="1" x14ac:dyDescent="0.35">
      <c r="A1794" s="4" t="s">
        <v>252</v>
      </c>
      <c r="B1794" s="4" t="s">
        <v>253</v>
      </c>
      <c r="C1794" s="4" t="s">
        <v>252</v>
      </c>
      <c r="D1794" s="4" t="s">
        <v>320</v>
      </c>
      <c r="E1794" s="4" t="s">
        <v>321</v>
      </c>
      <c r="F1794" s="4" t="s">
        <v>320</v>
      </c>
    </row>
    <row r="1795" spans="1:6" ht="14.4" thickBot="1" x14ac:dyDescent="0.35">
      <c r="A1795" s="4" t="s">
        <v>252</v>
      </c>
      <c r="B1795" s="4" t="s">
        <v>253</v>
      </c>
      <c r="C1795" s="4" t="s">
        <v>252</v>
      </c>
      <c r="D1795" s="4" t="s">
        <v>4315</v>
      </c>
      <c r="E1795" s="4" t="s">
        <v>4316</v>
      </c>
      <c r="F1795" s="4" t="s">
        <v>4315</v>
      </c>
    </row>
    <row r="1796" spans="1:6" ht="14.4" thickBot="1" x14ac:dyDescent="0.35">
      <c r="A1796" s="4" t="s">
        <v>252</v>
      </c>
      <c r="B1796" s="4" t="s">
        <v>253</v>
      </c>
      <c r="C1796" s="4" t="s">
        <v>252</v>
      </c>
      <c r="D1796" s="4" t="s">
        <v>269</v>
      </c>
      <c r="E1796" s="4" t="s">
        <v>270</v>
      </c>
      <c r="F1796" s="4" t="s">
        <v>269</v>
      </c>
    </row>
    <row r="1797" spans="1:6" ht="14.4" thickBot="1" x14ac:dyDescent="0.35">
      <c r="A1797" s="4" t="s">
        <v>252</v>
      </c>
      <c r="B1797" s="4" t="s">
        <v>253</v>
      </c>
      <c r="C1797" s="4" t="s">
        <v>252</v>
      </c>
      <c r="D1797" s="4" t="s">
        <v>2698</v>
      </c>
      <c r="E1797" s="4" t="s">
        <v>2699</v>
      </c>
      <c r="F1797" s="4" t="s">
        <v>2698</v>
      </c>
    </row>
    <row r="1798" spans="1:6" ht="14.4" thickBot="1" x14ac:dyDescent="0.35">
      <c r="A1798" s="4" t="s">
        <v>252</v>
      </c>
      <c r="B1798" s="4" t="s">
        <v>253</v>
      </c>
      <c r="C1798" s="4" t="s">
        <v>252</v>
      </c>
      <c r="D1798" s="4" t="s">
        <v>2710</v>
      </c>
      <c r="E1798" s="4" t="s">
        <v>2711</v>
      </c>
      <c r="F1798" s="4" t="s">
        <v>2710</v>
      </c>
    </row>
    <row r="1799" spans="1:6" ht="14.4" thickBot="1" x14ac:dyDescent="0.35">
      <c r="A1799" s="4" t="s">
        <v>252</v>
      </c>
      <c r="B1799" s="4" t="s">
        <v>253</v>
      </c>
      <c r="C1799" s="4" t="s">
        <v>252</v>
      </c>
      <c r="D1799" s="4" t="s">
        <v>2063</v>
      </c>
      <c r="E1799" s="4" t="s">
        <v>2064</v>
      </c>
      <c r="F1799" s="4" t="s">
        <v>2063</v>
      </c>
    </row>
    <row r="1800" spans="1:6" ht="14.4" thickBot="1" x14ac:dyDescent="0.35">
      <c r="A1800" s="4" t="s">
        <v>252</v>
      </c>
      <c r="B1800" s="4" t="s">
        <v>253</v>
      </c>
      <c r="C1800" s="4" t="s">
        <v>252</v>
      </c>
      <c r="D1800" s="4" t="s">
        <v>2750</v>
      </c>
      <c r="E1800" s="4" t="s">
        <v>2751</v>
      </c>
      <c r="F1800" s="4" t="s">
        <v>2750</v>
      </c>
    </row>
    <row r="1801" spans="1:6" ht="14.4" thickBot="1" x14ac:dyDescent="0.35">
      <c r="A1801" s="4" t="s">
        <v>252</v>
      </c>
      <c r="B1801" s="4" t="s">
        <v>253</v>
      </c>
      <c r="C1801" s="4" t="s">
        <v>252</v>
      </c>
      <c r="D1801" s="4" t="s">
        <v>1117</v>
      </c>
      <c r="E1801" s="4" t="s">
        <v>5004</v>
      </c>
      <c r="F1801" s="4" t="s">
        <v>1117</v>
      </c>
    </row>
    <row r="1802" spans="1:6" ht="14.4" thickBot="1" x14ac:dyDescent="0.35">
      <c r="A1802" s="4" t="s">
        <v>252</v>
      </c>
      <c r="B1802" s="4" t="s">
        <v>253</v>
      </c>
      <c r="C1802" s="4" t="s">
        <v>252</v>
      </c>
      <c r="D1802" s="4" t="s">
        <v>2032</v>
      </c>
      <c r="E1802" s="4" t="s">
        <v>2033</v>
      </c>
      <c r="F1802" s="4" t="s">
        <v>2032</v>
      </c>
    </row>
    <row r="1803" spans="1:6" ht="14.4" thickBot="1" x14ac:dyDescent="0.35">
      <c r="A1803" s="4" t="s">
        <v>252</v>
      </c>
      <c r="B1803" s="4" t="s">
        <v>253</v>
      </c>
      <c r="C1803" s="4" t="s">
        <v>252</v>
      </c>
      <c r="D1803" s="4" t="s">
        <v>3517</v>
      </c>
      <c r="E1803" s="4" t="s">
        <v>3518</v>
      </c>
      <c r="F1803" s="4" t="s">
        <v>3517</v>
      </c>
    </row>
    <row r="1804" spans="1:6" ht="14.4" thickBot="1" x14ac:dyDescent="0.35">
      <c r="A1804" s="4" t="s">
        <v>252</v>
      </c>
      <c r="B1804" s="4" t="s">
        <v>253</v>
      </c>
      <c r="C1804" s="4" t="s">
        <v>252</v>
      </c>
      <c r="D1804" s="4" t="s">
        <v>5002</v>
      </c>
      <c r="E1804" s="4" t="s">
        <v>5003</v>
      </c>
      <c r="F1804" s="4" t="s">
        <v>5002</v>
      </c>
    </row>
    <row r="1805" spans="1:6" ht="14.4" thickBot="1" x14ac:dyDescent="0.35">
      <c r="A1805" s="4" t="s">
        <v>252</v>
      </c>
      <c r="B1805" s="4" t="s">
        <v>253</v>
      </c>
      <c r="C1805" s="4" t="s">
        <v>252</v>
      </c>
      <c r="D1805" s="4" t="s">
        <v>2757</v>
      </c>
      <c r="E1805" s="4" t="s">
        <v>2758</v>
      </c>
      <c r="F1805" s="4" t="s">
        <v>2757</v>
      </c>
    </row>
    <row r="1806" spans="1:6" ht="14.4" thickBot="1" x14ac:dyDescent="0.35">
      <c r="A1806" s="4" t="s">
        <v>252</v>
      </c>
      <c r="B1806" s="4" t="s">
        <v>253</v>
      </c>
      <c r="C1806" s="4" t="s">
        <v>252</v>
      </c>
      <c r="D1806" s="4" t="s">
        <v>318</v>
      </c>
      <c r="E1806" s="4" t="s">
        <v>319</v>
      </c>
      <c r="F1806" s="4" t="s">
        <v>318</v>
      </c>
    </row>
    <row r="1807" spans="1:6" ht="14.4" thickBot="1" x14ac:dyDescent="0.35">
      <c r="A1807" s="4" t="s">
        <v>252</v>
      </c>
      <c r="B1807" s="4" t="s">
        <v>253</v>
      </c>
      <c r="C1807" s="4" t="s">
        <v>252</v>
      </c>
      <c r="D1807" s="4" t="s">
        <v>1231</v>
      </c>
      <c r="E1807" s="4" t="s">
        <v>1232</v>
      </c>
      <c r="F1807" s="4" t="s">
        <v>1231</v>
      </c>
    </row>
    <row r="1808" spans="1:6" ht="14.4" thickBot="1" x14ac:dyDescent="0.35">
      <c r="A1808" s="4" t="s">
        <v>252</v>
      </c>
      <c r="B1808" s="4" t="s">
        <v>253</v>
      </c>
      <c r="C1808" s="4" t="s">
        <v>252</v>
      </c>
      <c r="D1808" s="4" t="s">
        <v>5697</v>
      </c>
      <c r="E1808" s="4" t="s">
        <v>5698</v>
      </c>
      <c r="F1808" s="4" t="s">
        <v>5697</v>
      </c>
    </row>
    <row r="1809" spans="1:6" ht="14.4" thickBot="1" x14ac:dyDescent="0.35">
      <c r="A1809" s="4" t="s">
        <v>252</v>
      </c>
      <c r="B1809" s="4" t="s">
        <v>253</v>
      </c>
      <c r="C1809" s="4" t="s">
        <v>252</v>
      </c>
      <c r="D1809" s="4" t="s">
        <v>2755</v>
      </c>
      <c r="E1809" s="4" t="s">
        <v>2756</v>
      </c>
      <c r="F1809" s="4" t="s">
        <v>2755</v>
      </c>
    </row>
    <row r="1810" spans="1:6" ht="14.4" thickBot="1" x14ac:dyDescent="0.35">
      <c r="A1810" s="4" t="s">
        <v>252</v>
      </c>
      <c r="B1810" s="4" t="s">
        <v>253</v>
      </c>
      <c r="C1810" s="4" t="s">
        <v>252</v>
      </c>
      <c r="D1810" s="4" t="s">
        <v>2061</v>
      </c>
      <c r="E1810" s="4" t="s">
        <v>2062</v>
      </c>
      <c r="F1810" s="4" t="s">
        <v>2061</v>
      </c>
    </row>
    <row r="1811" spans="1:6" ht="14.4" thickBot="1" x14ac:dyDescent="0.35">
      <c r="A1811" s="4" t="s">
        <v>252</v>
      </c>
      <c r="B1811" s="4" t="s">
        <v>253</v>
      </c>
      <c r="C1811" s="4" t="s">
        <v>252</v>
      </c>
      <c r="D1811" s="4" t="s">
        <v>5695</v>
      </c>
      <c r="E1811" s="4" t="s">
        <v>5696</v>
      </c>
      <c r="F1811" s="4" t="s">
        <v>5695</v>
      </c>
    </row>
    <row r="1812" spans="1:6" ht="14.4" thickBot="1" x14ac:dyDescent="0.35">
      <c r="A1812" s="4" t="s">
        <v>252</v>
      </c>
      <c r="B1812" s="4" t="s">
        <v>253</v>
      </c>
      <c r="C1812" s="4" t="s">
        <v>252</v>
      </c>
      <c r="D1812" s="4" t="s">
        <v>316</v>
      </c>
      <c r="E1812" s="4" t="s">
        <v>317</v>
      </c>
      <c r="F1812" s="4" t="s">
        <v>316</v>
      </c>
    </row>
    <row r="1813" spans="1:6" ht="14.4" thickBot="1" x14ac:dyDescent="0.35">
      <c r="A1813" s="4" t="s">
        <v>252</v>
      </c>
      <c r="B1813" s="4" t="s">
        <v>253</v>
      </c>
      <c r="C1813" s="4" t="s">
        <v>252</v>
      </c>
      <c r="D1813" s="4" t="s">
        <v>5653</v>
      </c>
      <c r="E1813" s="4" t="s">
        <v>5654</v>
      </c>
      <c r="F1813" s="4" t="s">
        <v>5653</v>
      </c>
    </row>
    <row r="1814" spans="1:6" ht="14.4" thickBot="1" x14ac:dyDescent="0.35">
      <c r="A1814" s="4" t="s">
        <v>252</v>
      </c>
      <c r="B1814" s="4" t="s">
        <v>253</v>
      </c>
      <c r="C1814" s="4" t="s">
        <v>252</v>
      </c>
      <c r="D1814" s="4" t="s">
        <v>4313</v>
      </c>
      <c r="E1814" s="4" t="s">
        <v>4314</v>
      </c>
      <c r="F1814" s="4" t="s">
        <v>4313</v>
      </c>
    </row>
    <row r="1815" spans="1:6" ht="14.4" thickBot="1" x14ac:dyDescent="0.35">
      <c r="A1815" s="4" t="s">
        <v>252</v>
      </c>
      <c r="B1815" s="4" t="s">
        <v>253</v>
      </c>
      <c r="C1815" s="4" t="s">
        <v>252</v>
      </c>
      <c r="D1815" s="4" t="s">
        <v>4317</v>
      </c>
      <c r="E1815" s="4" t="s">
        <v>4318</v>
      </c>
      <c r="F1815" s="4" t="s">
        <v>4317</v>
      </c>
    </row>
    <row r="1816" spans="1:6" ht="14.4" thickBot="1" x14ac:dyDescent="0.35">
      <c r="A1816" s="4" t="s">
        <v>252</v>
      </c>
      <c r="B1816" s="4" t="s">
        <v>253</v>
      </c>
      <c r="C1816" s="4" t="s">
        <v>252</v>
      </c>
      <c r="D1816" s="4" t="s">
        <v>3515</v>
      </c>
      <c r="E1816" s="4" t="s">
        <v>3516</v>
      </c>
      <c r="F1816" s="4" t="s">
        <v>3515</v>
      </c>
    </row>
    <row r="1817" spans="1:6" ht="14.4" thickBot="1" x14ac:dyDescent="0.35">
      <c r="A1817" s="4" t="s">
        <v>252</v>
      </c>
      <c r="B1817" s="4" t="s">
        <v>253</v>
      </c>
      <c r="C1817" s="4" t="s">
        <v>252</v>
      </c>
      <c r="D1817" s="4" t="s">
        <v>314</v>
      </c>
      <c r="E1817" s="4" t="s">
        <v>315</v>
      </c>
      <c r="F1817" s="4" t="s">
        <v>314</v>
      </c>
    </row>
    <row r="1818" spans="1:6" ht="14.4" thickBot="1" x14ac:dyDescent="0.35">
      <c r="A1818" s="4" t="s">
        <v>252</v>
      </c>
      <c r="B1818" s="4" t="s">
        <v>253</v>
      </c>
      <c r="C1818" s="4" t="s">
        <v>252</v>
      </c>
      <c r="D1818" s="4" t="s">
        <v>4274</v>
      </c>
      <c r="E1818" s="4" t="s">
        <v>4275</v>
      </c>
      <c r="F1818" s="4" t="s">
        <v>4274</v>
      </c>
    </row>
    <row r="1819" spans="1:6" ht="14.4" thickBot="1" x14ac:dyDescent="0.35">
      <c r="A1819" s="4" t="s">
        <v>252</v>
      </c>
      <c r="B1819" s="4" t="s">
        <v>253</v>
      </c>
      <c r="C1819" s="4" t="s">
        <v>252</v>
      </c>
      <c r="D1819" s="4" t="s">
        <v>2055</v>
      </c>
      <c r="E1819" s="4" t="s">
        <v>2056</v>
      </c>
      <c r="F1819" s="4" t="s">
        <v>2055</v>
      </c>
    </row>
    <row r="1820" spans="1:6" ht="14.4" thickBot="1" x14ac:dyDescent="0.35">
      <c r="A1820" s="4" t="s">
        <v>252</v>
      </c>
      <c r="B1820" s="4" t="s">
        <v>253</v>
      </c>
      <c r="C1820" s="4" t="s">
        <v>252</v>
      </c>
      <c r="D1820" s="4" t="s">
        <v>310</v>
      </c>
      <c r="E1820" s="4" t="s">
        <v>311</v>
      </c>
      <c r="F1820" s="4" t="s">
        <v>310</v>
      </c>
    </row>
    <row r="1821" spans="1:6" ht="14.4" thickBot="1" x14ac:dyDescent="0.35">
      <c r="A1821" s="4" t="s">
        <v>252</v>
      </c>
      <c r="B1821" s="4" t="s">
        <v>253</v>
      </c>
      <c r="C1821" s="4" t="s">
        <v>252</v>
      </c>
      <c r="D1821" s="4" t="s">
        <v>5659</v>
      </c>
      <c r="E1821" s="4" t="s">
        <v>5660</v>
      </c>
      <c r="F1821" s="4" t="s">
        <v>5659</v>
      </c>
    </row>
    <row r="1822" spans="1:6" ht="14.4" thickBot="1" x14ac:dyDescent="0.35">
      <c r="A1822" s="4" t="s">
        <v>252</v>
      </c>
      <c r="B1822" s="4" t="s">
        <v>253</v>
      </c>
      <c r="C1822" s="4" t="s">
        <v>252</v>
      </c>
      <c r="D1822" s="4" t="s">
        <v>1257</v>
      </c>
      <c r="E1822" s="4" t="s">
        <v>1258</v>
      </c>
      <c r="F1822" s="4" t="s">
        <v>1257</v>
      </c>
    </row>
    <row r="1823" spans="1:6" ht="14.4" thickBot="1" x14ac:dyDescent="0.35">
      <c r="A1823" s="4" t="s">
        <v>252</v>
      </c>
      <c r="B1823" s="4" t="s">
        <v>253</v>
      </c>
      <c r="C1823" s="4" t="s">
        <v>252</v>
      </c>
      <c r="D1823" s="4" t="s">
        <v>52</v>
      </c>
      <c r="E1823" s="4" t="s">
        <v>309</v>
      </c>
      <c r="F1823" s="4" t="s">
        <v>52</v>
      </c>
    </row>
    <row r="1824" spans="1:6" ht="14.4" thickBot="1" x14ac:dyDescent="0.35">
      <c r="A1824" s="4" t="s">
        <v>252</v>
      </c>
      <c r="B1824" s="4" t="s">
        <v>253</v>
      </c>
      <c r="C1824" s="4" t="s">
        <v>252</v>
      </c>
      <c r="D1824" s="4" t="s">
        <v>2742</v>
      </c>
      <c r="E1824" s="4" t="s">
        <v>2743</v>
      </c>
      <c r="F1824" s="4" t="s">
        <v>2742</v>
      </c>
    </row>
    <row r="1825" spans="1:6" ht="14.4" thickBot="1" x14ac:dyDescent="0.35">
      <c r="A1825" s="4" t="s">
        <v>252</v>
      </c>
      <c r="B1825" s="4" t="s">
        <v>253</v>
      </c>
      <c r="C1825" s="4" t="s">
        <v>252</v>
      </c>
      <c r="D1825" s="4" t="s">
        <v>2059</v>
      </c>
      <c r="E1825" s="4" t="s">
        <v>2060</v>
      </c>
      <c r="F1825" s="4" t="s">
        <v>2059</v>
      </c>
    </row>
    <row r="1826" spans="1:6" ht="14.4" thickBot="1" x14ac:dyDescent="0.35">
      <c r="A1826" s="4" t="s">
        <v>252</v>
      </c>
      <c r="B1826" s="4" t="s">
        <v>253</v>
      </c>
      <c r="C1826" s="4" t="s">
        <v>252</v>
      </c>
      <c r="D1826" s="4" t="s">
        <v>301</v>
      </c>
      <c r="E1826" s="4" t="s">
        <v>302</v>
      </c>
      <c r="F1826" s="4" t="s">
        <v>301</v>
      </c>
    </row>
    <row r="1827" spans="1:6" ht="14.4" thickBot="1" x14ac:dyDescent="0.35">
      <c r="A1827" s="4" t="s">
        <v>252</v>
      </c>
      <c r="B1827" s="4" t="s">
        <v>253</v>
      </c>
      <c r="C1827" s="4" t="s">
        <v>252</v>
      </c>
      <c r="D1827" s="4" t="s">
        <v>4996</v>
      </c>
      <c r="E1827" s="4" t="s">
        <v>4997</v>
      </c>
      <c r="F1827" s="4" t="s">
        <v>4996</v>
      </c>
    </row>
    <row r="1828" spans="1:6" ht="14.4" thickBot="1" x14ac:dyDescent="0.35">
      <c r="A1828" s="4" t="s">
        <v>252</v>
      </c>
      <c r="B1828" s="4" t="s">
        <v>253</v>
      </c>
      <c r="C1828" s="4" t="s">
        <v>252</v>
      </c>
      <c r="D1828" s="4" t="s">
        <v>4938</v>
      </c>
      <c r="E1828" s="4" t="s">
        <v>4939</v>
      </c>
      <c r="F1828" s="4" t="s">
        <v>4938</v>
      </c>
    </row>
    <row r="1829" spans="1:6" ht="14.4" thickBot="1" x14ac:dyDescent="0.35">
      <c r="A1829" s="4" t="s">
        <v>252</v>
      </c>
      <c r="B1829" s="4" t="s">
        <v>253</v>
      </c>
      <c r="C1829" s="4" t="s">
        <v>252</v>
      </c>
      <c r="D1829" s="4" t="s">
        <v>2730</v>
      </c>
      <c r="E1829" s="4" t="s">
        <v>2731</v>
      </c>
      <c r="F1829" s="4" t="s">
        <v>2730</v>
      </c>
    </row>
    <row r="1830" spans="1:6" ht="14.4" thickBot="1" x14ac:dyDescent="0.35">
      <c r="A1830" s="4" t="s">
        <v>252</v>
      </c>
      <c r="B1830" s="4" t="s">
        <v>253</v>
      </c>
      <c r="C1830" s="4" t="s">
        <v>252</v>
      </c>
      <c r="D1830" s="4" t="s">
        <v>3508</v>
      </c>
      <c r="E1830" s="4" t="s">
        <v>1465</v>
      </c>
      <c r="F1830" s="4" t="s">
        <v>3508</v>
      </c>
    </row>
    <row r="1831" spans="1:6" ht="14.4" thickBot="1" x14ac:dyDescent="0.35">
      <c r="A1831" s="4" t="s">
        <v>252</v>
      </c>
      <c r="B1831" s="4" t="s">
        <v>253</v>
      </c>
      <c r="C1831" s="4" t="s">
        <v>252</v>
      </c>
      <c r="D1831" s="4" t="s">
        <v>257</v>
      </c>
      <c r="E1831" s="4" t="s">
        <v>258</v>
      </c>
      <c r="F1831" s="4" t="s">
        <v>257</v>
      </c>
    </row>
    <row r="1832" spans="1:6" ht="14.4" thickBot="1" x14ac:dyDescent="0.35">
      <c r="A1832" s="4" t="s">
        <v>252</v>
      </c>
      <c r="B1832" s="4" t="s">
        <v>253</v>
      </c>
      <c r="C1832" s="4" t="s">
        <v>252</v>
      </c>
      <c r="D1832" s="4" t="s">
        <v>1227</v>
      </c>
      <c r="E1832" s="4" t="s">
        <v>1228</v>
      </c>
      <c r="F1832" s="4" t="s">
        <v>1227</v>
      </c>
    </row>
    <row r="1833" spans="1:6" ht="14.4" thickBot="1" x14ac:dyDescent="0.35">
      <c r="A1833" s="4" t="s">
        <v>252</v>
      </c>
      <c r="B1833" s="4" t="s">
        <v>253</v>
      </c>
      <c r="C1833" s="4" t="s">
        <v>252</v>
      </c>
      <c r="D1833" s="4" t="s">
        <v>1271</v>
      </c>
      <c r="E1833" s="4" t="s">
        <v>1272</v>
      </c>
      <c r="F1833" s="4" t="s">
        <v>1271</v>
      </c>
    </row>
    <row r="1834" spans="1:6" ht="14.4" thickBot="1" x14ac:dyDescent="0.35">
      <c r="A1834" s="4" t="s">
        <v>252</v>
      </c>
      <c r="B1834" s="4" t="s">
        <v>253</v>
      </c>
      <c r="C1834" s="4" t="s">
        <v>252</v>
      </c>
      <c r="D1834" s="4" t="s">
        <v>5693</v>
      </c>
      <c r="E1834" s="4" t="s">
        <v>5694</v>
      </c>
      <c r="F1834" s="4" t="s">
        <v>5693</v>
      </c>
    </row>
    <row r="1835" spans="1:6" ht="14.4" thickBot="1" x14ac:dyDescent="0.35">
      <c r="A1835" s="4" t="s">
        <v>252</v>
      </c>
      <c r="B1835" s="4" t="s">
        <v>253</v>
      </c>
      <c r="C1835" s="4" t="s">
        <v>252</v>
      </c>
      <c r="D1835" s="4" t="s">
        <v>4321</v>
      </c>
      <c r="E1835" s="4" t="s">
        <v>4322</v>
      </c>
      <c r="F1835" s="4" t="s">
        <v>4321</v>
      </c>
    </row>
    <row r="1836" spans="1:6" ht="14.4" thickBot="1" x14ac:dyDescent="0.35">
      <c r="A1836" s="4" t="s">
        <v>252</v>
      </c>
      <c r="B1836" s="4" t="s">
        <v>253</v>
      </c>
      <c r="C1836" s="4" t="s">
        <v>252</v>
      </c>
      <c r="D1836" s="4" t="s">
        <v>4272</v>
      </c>
      <c r="E1836" s="4" t="s">
        <v>4273</v>
      </c>
      <c r="F1836" s="4" t="s">
        <v>4272</v>
      </c>
    </row>
    <row r="1837" spans="1:6" ht="14.4" thickBot="1" x14ac:dyDescent="0.35">
      <c r="A1837" s="4" t="s">
        <v>252</v>
      </c>
      <c r="B1837" s="4" t="s">
        <v>253</v>
      </c>
      <c r="C1837" s="4" t="s">
        <v>252</v>
      </c>
      <c r="D1837" s="4" t="s">
        <v>4319</v>
      </c>
      <c r="E1837" s="4" t="s">
        <v>4320</v>
      </c>
      <c r="F1837" s="4" t="s">
        <v>4319</v>
      </c>
    </row>
    <row r="1838" spans="1:6" ht="14.4" thickBot="1" x14ac:dyDescent="0.35">
      <c r="A1838" s="4" t="s">
        <v>252</v>
      </c>
      <c r="B1838" s="4" t="s">
        <v>253</v>
      </c>
      <c r="C1838" s="4" t="s">
        <v>252</v>
      </c>
      <c r="D1838" s="4" t="s">
        <v>2748</v>
      </c>
      <c r="E1838" s="4" t="s">
        <v>2749</v>
      </c>
      <c r="F1838" s="4" t="s">
        <v>2748</v>
      </c>
    </row>
    <row r="1839" spans="1:6" ht="14.4" thickBot="1" x14ac:dyDescent="0.35">
      <c r="A1839" s="4" t="s">
        <v>252</v>
      </c>
      <c r="B1839" s="4" t="s">
        <v>253</v>
      </c>
      <c r="C1839" s="4" t="s">
        <v>252</v>
      </c>
      <c r="D1839" s="4" t="s">
        <v>2065</v>
      </c>
      <c r="E1839" s="4" t="s">
        <v>2066</v>
      </c>
      <c r="F1839" s="4" t="s">
        <v>2065</v>
      </c>
    </row>
    <row r="1840" spans="1:6" ht="14.4" thickBot="1" x14ac:dyDescent="0.35">
      <c r="A1840" s="4" t="s">
        <v>252</v>
      </c>
      <c r="B1840" s="4" t="s">
        <v>253</v>
      </c>
      <c r="C1840" s="4" t="s">
        <v>252</v>
      </c>
      <c r="D1840" s="4" t="s">
        <v>1265</v>
      </c>
      <c r="E1840" s="4" t="s">
        <v>1266</v>
      </c>
      <c r="F1840" s="4" t="s">
        <v>1265</v>
      </c>
    </row>
    <row r="1841" spans="1:6" ht="14.4" thickBot="1" x14ac:dyDescent="0.35">
      <c r="A1841" s="4" t="s">
        <v>252</v>
      </c>
      <c r="B1841" s="4" t="s">
        <v>253</v>
      </c>
      <c r="C1841" s="4" t="s">
        <v>252</v>
      </c>
      <c r="D1841" s="4" t="s">
        <v>1209</v>
      </c>
      <c r="E1841" s="4" t="s">
        <v>1210</v>
      </c>
      <c r="F1841" s="4" t="s">
        <v>1209</v>
      </c>
    </row>
    <row r="1842" spans="1:6" ht="14.4" thickBot="1" x14ac:dyDescent="0.35">
      <c r="A1842" s="4" t="s">
        <v>252</v>
      </c>
      <c r="B1842" s="4" t="s">
        <v>253</v>
      </c>
      <c r="C1842" s="4" t="s">
        <v>252</v>
      </c>
      <c r="D1842" s="4" t="s">
        <v>2694</v>
      </c>
      <c r="E1842" s="4" t="s">
        <v>2695</v>
      </c>
      <c r="F1842" s="4" t="s">
        <v>2694</v>
      </c>
    </row>
    <row r="1843" spans="1:6" ht="14.4" thickBot="1" x14ac:dyDescent="0.35">
      <c r="A1843" s="4" t="s">
        <v>252</v>
      </c>
      <c r="B1843" s="4" t="s">
        <v>253</v>
      </c>
      <c r="C1843" s="4" t="s">
        <v>252</v>
      </c>
      <c r="D1843" s="4" t="s">
        <v>2726</v>
      </c>
      <c r="E1843" s="4" t="s">
        <v>2727</v>
      </c>
      <c r="F1843" s="4" t="s">
        <v>2726</v>
      </c>
    </row>
    <row r="1844" spans="1:6" ht="14.4" thickBot="1" x14ac:dyDescent="0.35">
      <c r="A1844" s="4" t="s">
        <v>252</v>
      </c>
      <c r="B1844" s="4" t="s">
        <v>253</v>
      </c>
      <c r="C1844" s="4" t="s">
        <v>252</v>
      </c>
      <c r="D1844" s="4" t="s">
        <v>2712</v>
      </c>
      <c r="E1844" s="4" t="s">
        <v>2713</v>
      </c>
      <c r="F1844" s="4" t="s">
        <v>2712</v>
      </c>
    </row>
    <row r="1845" spans="1:6" ht="14.4" thickBot="1" x14ac:dyDescent="0.35">
      <c r="A1845" s="4" t="s">
        <v>252</v>
      </c>
      <c r="B1845" s="4" t="s">
        <v>253</v>
      </c>
      <c r="C1845" s="4" t="s">
        <v>252</v>
      </c>
      <c r="D1845" s="4" t="s">
        <v>1215</v>
      </c>
      <c r="E1845" s="4" t="s">
        <v>1216</v>
      </c>
      <c r="F1845" s="4" t="s">
        <v>1215</v>
      </c>
    </row>
    <row r="1846" spans="1:6" ht="14.4" thickBot="1" x14ac:dyDescent="0.35">
      <c r="A1846" s="4" t="s">
        <v>252</v>
      </c>
      <c r="B1846" s="4" t="s">
        <v>253</v>
      </c>
      <c r="C1846" s="4" t="s">
        <v>252</v>
      </c>
      <c r="D1846" s="4" t="s">
        <v>3500</v>
      </c>
      <c r="E1846" s="4" t="s">
        <v>3501</v>
      </c>
      <c r="F1846" s="4" t="s">
        <v>3500</v>
      </c>
    </row>
    <row r="1847" spans="1:6" ht="14.4" thickBot="1" x14ac:dyDescent="0.35">
      <c r="A1847" s="4" t="s">
        <v>252</v>
      </c>
      <c r="B1847" s="4" t="s">
        <v>253</v>
      </c>
      <c r="C1847" s="4" t="s">
        <v>252</v>
      </c>
      <c r="D1847" s="4" t="s">
        <v>5691</v>
      </c>
      <c r="E1847" s="4" t="s">
        <v>5692</v>
      </c>
      <c r="F1847" s="4" t="s">
        <v>5691</v>
      </c>
    </row>
    <row r="1848" spans="1:6" ht="14.4" thickBot="1" x14ac:dyDescent="0.35">
      <c r="A1848" s="4" t="s">
        <v>252</v>
      </c>
      <c r="B1848" s="4" t="s">
        <v>253</v>
      </c>
      <c r="C1848" s="4" t="s">
        <v>252</v>
      </c>
      <c r="D1848" s="4" t="s">
        <v>267</v>
      </c>
      <c r="E1848" s="4" t="s">
        <v>268</v>
      </c>
      <c r="F1848" s="4" t="s">
        <v>267</v>
      </c>
    </row>
    <row r="1849" spans="1:6" ht="14.4" thickBot="1" x14ac:dyDescent="0.35">
      <c r="A1849" s="4" t="s">
        <v>252</v>
      </c>
      <c r="B1849" s="4" t="s">
        <v>253</v>
      </c>
      <c r="C1849" s="4" t="s">
        <v>252</v>
      </c>
      <c r="D1849" s="4" t="s">
        <v>2049</v>
      </c>
      <c r="E1849" s="4" t="s">
        <v>2050</v>
      </c>
      <c r="F1849" s="4" t="s">
        <v>2049</v>
      </c>
    </row>
    <row r="1850" spans="1:6" ht="14.4" thickBot="1" x14ac:dyDescent="0.35">
      <c r="A1850" s="4" t="s">
        <v>252</v>
      </c>
      <c r="B1850" s="4" t="s">
        <v>253</v>
      </c>
      <c r="C1850" s="4" t="s">
        <v>252</v>
      </c>
      <c r="D1850" s="4" t="s">
        <v>3498</v>
      </c>
      <c r="E1850" s="4" t="s">
        <v>3499</v>
      </c>
      <c r="F1850" s="4" t="s">
        <v>3498</v>
      </c>
    </row>
    <row r="1851" spans="1:6" ht="14.4" thickBot="1" x14ac:dyDescent="0.35">
      <c r="A1851" s="4" t="s">
        <v>252</v>
      </c>
      <c r="B1851" s="4" t="s">
        <v>253</v>
      </c>
      <c r="C1851" s="4" t="s">
        <v>252</v>
      </c>
      <c r="D1851" s="4" t="s">
        <v>2688</v>
      </c>
      <c r="E1851" s="4" t="s">
        <v>2689</v>
      </c>
      <c r="F1851" s="4" t="s">
        <v>2688</v>
      </c>
    </row>
    <row r="1852" spans="1:6" ht="14.4" thickBot="1" x14ac:dyDescent="0.35">
      <c r="A1852" s="4" t="s">
        <v>252</v>
      </c>
      <c r="B1852" s="4" t="s">
        <v>253</v>
      </c>
      <c r="C1852" s="4" t="s">
        <v>252</v>
      </c>
      <c r="D1852" s="4" t="s">
        <v>4994</v>
      </c>
      <c r="E1852" s="4" t="s">
        <v>4995</v>
      </c>
      <c r="F1852" s="4" t="s">
        <v>4994</v>
      </c>
    </row>
    <row r="1853" spans="1:6" ht="14.4" thickBot="1" x14ac:dyDescent="0.35">
      <c r="A1853" s="4" t="s">
        <v>252</v>
      </c>
      <c r="B1853" s="4" t="s">
        <v>253</v>
      </c>
      <c r="C1853" s="4" t="s">
        <v>252</v>
      </c>
      <c r="D1853" s="4" t="s">
        <v>2027</v>
      </c>
      <c r="E1853" s="4" t="s">
        <v>635</v>
      </c>
      <c r="F1853" s="4" t="s">
        <v>2027</v>
      </c>
    </row>
    <row r="1854" spans="1:6" ht="14.4" thickBot="1" x14ac:dyDescent="0.35">
      <c r="A1854" s="4" t="s">
        <v>252</v>
      </c>
      <c r="B1854" s="4" t="s">
        <v>253</v>
      </c>
      <c r="C1854" s="4" t="s">
        <v>252</v>
      </c>
      <c r="D1854" s="4" t="s">
        <v>3457</v>
      </c>
      <c r="E1854" s="4" t="s">
        <v>635</v>
      </c>
      <c r="F1854" s="4" t="s">
        <v>3457</v>
      </c>
    </row>
    <row r="1855" spans="1:6" ht="14.4" thickBot="1" x14ac:dyDescent="0.35">
      <c r="A1855" s="4" t="s">
        <v>252</v>
      </c>
      <c r="B1855" s="4" t="s">
        <v>253</v>
      </c>
      <c r="C1855" s="4" t="s">
        <v>252</v>
      </c>
      <c r="D1855" s="4" t="s">
        <v>4266</v>
      </c>
      <c r="E1855" s="4" t="s">
        <v>4267</v>
      </c>
      <c r="F1855" s="4" t="s">
        <v>4266</v>
      </c>
    </row>
    <row r="1856" spans="1:6" ht="14.4" thickBot="1" x14ac:dyDescent="0.35">
      <c r="A1856" s="4" t="s">
        <v>252</v>
      </c>
      <c r="B1856" s="4" t="s">
        <v>253</v>
      </c>
      <c r="C1856" s="4" t="s">
        <v>252</v>
      </c>
      <c r="D1856" s="4" t="s">
        <v>2025</v>
      </c>
      <c r="E1856" s="4" t="s">
        <v>2026</v>
      </c>
      <c r="F1856" s="4" t="s">
        <v>2025</v>
      </c>
    </row>
    <row r="1857" spans="1:6" ht="14.4" thickBot="1" x14ac:dyDescent="0.35">
      <c r="A1857" s="4" t="s">
        <v>252</v>
      </c>
      <c r="B1857" s="4" t="s">
        <v>253</v>
      </c>
      <c r="C1857" s="4" t="s">
        <v>252</v>
      </c>
      <c r="D1857" s="4" t="s">
        <v>4944</v>
      </c>
      <c r="E1857" s="4" t="s">
        <v>4945</v>
      </c>
      <c r="F1857" s="4" t="s">
        <v>4944</v>
      </c>
    </row>
    <row r="1858" spans="1:6" ht="14.4" thickBot="1" x14ac:dyDescent="0.35">
      <c r="A1858" s="4" t="s">
        <v>252</v>
      </c>
      <c r="B1858" s="4" t="s">
        <v>253</v>
      </c>
      <c r="C1858" s="4" t="s">
        <v>252</v>
      </c>
      <c r="D1858" s="4" t="s">
        <v>4992</v>
      </c>
      <c r="E1858" s="4" t="s">
        <v>4993</v>
      </c>
      <c r="F1858" s="4" t="s">
        <v>4992</v>
      </c>
    </row>
    <row r="1859" spans="1:6" ht="14.4" thickBot="1" x14ac:dyDescent="0.35">
      <c r="A1859" s="4" t="s">
        <v>252</v>
      </c>
      <c r="B1859" s="4" t="s">
        <v>253</v>
      </c>
      <c r="C1859" s="4" t="s">
        <v>252</v>
      </c>
      <c r="D1859" s="4" t="s">
        <v>3496</v>
      </c>
      <c r="E1859" s="4" t="s">
        <v>3497</v>
      </c>
      <c r="F1859" s="4" t="s">
        <v>3496</v>
      </c>
    </row>
    <row r="1860" spans="1:6" ht="14.4" thickBot="1" x14ac:dyDescent="0.35">
      <c r="A1860" s="4" t="s">
        <v>252</v>
      </c>
      <c r="B1860" s="4" t="s">
        <v>253</v>
      </c>
      <c r="C1860" s="4" t="s">
        <v>252</v>
      </c>
      <c r="D1860" s="4" t="s">
        <v>5689</v>
      </c>
      <c r="E1860" s="4" t="s">
        <v>5690</v>
      </c>
      <c r="F1860" s="4" t="s">
        <v>5689</v>
      </c>
    </row>
    <row r="1861" spans="1:6" ht="14.4" thickBot="1" x14ac:dyDescent="0.35">
      <c r="A1861" s="4" t="s">
        <v>252</v>
      </c>
      <c r="B1861" s="4" t="s">
        <v>253</v>
      </c>
      <c r="C1861" s="4" t="s">
        <v>252</v>
      </c>
      <c r="D1861" s="4" t="s">
        <v>1237</v>
      </c>
      <c r="E1861" s="4" t="s">
        <v>1238</v>
      </c>
      <c r="F1861" s="4" t="s">
        <v>1237</v>
      </c>
    </row>
    <row r="1862" spans="1:6" ht="14.4" thickBot="1" x14ac:dyDescent="0.35">
      <c r="A1862" s="4" t="s">
        <v>252</v>
      </c>
      <c r="B1862" s="4" t="s">
        <v>253</v>
      </c>
      <c r="C1862" s="4" t="s">
        <v>252</v>
      </c>
      <c r="D1862" s="4" t="s">
        <v>263</v>
      </c>
      <c r="E1862" s="4" t="s">
        <v>264</v>
      </c>
      <c r="F1862" s="4" t="s">
        <v>263</v>
      </c>
    </row>
    <row r="1863" spans="1:6" ht="14.4" thickBot="1" x14ac:dyDescent="0.35">
      <c r="A1863" s="4" t="s">
        <v>252</v>
      </c>
      <c r="B1863" s="4" t="s">
        <v>253</v>
      </c>
      <c r="C1863" s="4" t="s">
        <v>252</v>
      </c>
      <c r="D1863" s="4" t="s">
        <v>3462</v>
      </c>
      <c r="E1863" s="4" t="s">
        <v>3463</v>
      </c>
      <c r="F1863" s="4" t="s">
        <v>3462</v>
      </c>
    </row>
    <row r="1864" spans="1:6" ht="14.4" thickBot="1" x14ac:dyDescent="0.35">
      <c r="A1864" s="4" t="s">
        <v>252</v>
      </c>
      <c r="B1864" s="4" t="s">
        <v>253</v>
      </c>
      <c r="C1864" s="4" t="s">
        <v>252</v>
      </c>
      <c r="D1864" s="4" t="s">
        <v>285</v>
      </c>
      <c r="E1864" s="4" t="s">
        <v>286</v>
      </c>
      <c r="F1864" s="4" t="s">
        <v>285</v>
      </c>
    </row>
    <row r="1865" spans="1:6" ht="14.4" thickBot="1" x14ac:dyDescent="0.35">
      <c r="A1865" s="4" t="s">
        <v>252</v>
      </c>
      <c r="B1865" s="4" t="s">
        <v>253</v>
      </c>
      <c r="C1865" s="4" t="s">
        <v>252</v>
      </c>
      <c r="D1865" s="4" t="s">
        <v>4296</v>
      </c>
      <c r="E1865" s="4" t="s">
        <v>4297</v>
      </c>
      <c r="F1865" s="4" t="s">
        <v>4296</v>
      </c>
    </row>
    <row r="1866" spans="1:6" ht="14.4" thickBot="1" x14ac:dyDescent="0.35">
      <c r="A1866" s="4" t="s">
        <v>252</v>
      </c>
      <c r="B1866" s="4" t="s">
        <v>253</v>
      </c>
      <c r="C1866" s="4" t="s">
        <v>252</v>
      </c>
      <c r="D1866" s="4" t="s">
        <v>2039</v>
      </c>
      <c r="E1866" s="4" t="s">
        <v>2040</v>
      </c>
      <c r="F1866" s="4" t="s">
        <v>2039</v>
      </c>
    </row>
    <row r="1867" spans="1:6" ht="14.4" thickBot="1" x14ac:dyDescent="0.35">
      <c r="A1867" s="4" t="s">
        <v>252</v>
      </c>
      <c r="B1867" s="4" t="s">
        <v>253</v>
      </c>
      <c r="C1867" s="4" t="s">
        <v>252</v>
      </c>
      <c r="D1867" s="4" t="s">
        <v>5651</v>
      </c>
      <c r="E1867" s="4" t="s">
        <v>5652</v>
      </c>
      <c r="F1867" s="4" t="s">
        <v>5651</v>
      </c>
    </row>
    <row r="1868" spans="1:6" ht="14.4" thickBot="1" x14ac:dyDescent="0.35">
      <c r="A1868" s="4" t="s">
        <v>252</v>
      </c>
      <c r="B1868" s="4" t="s">
        <v>253</v>
      </c>
      <c r="C1868" s="4" t="s">
        <v>252</v>
      </c>
      <c r="D1868" s="4" t="s">
        <v>4948</v>
      </c>
      <c r="E1868" s="4" t="s">
        <v>4949</v>
      </c>
      <c r="F1868" s="4" t="s">
        <v>4948</v>
      </c>
    </row>
    <row r="1869" spans="1:6" ht="14.4" thickBot="1" x14ac:dyDescent="0.35">
      <c r="A1869" s="4" t="s">
        <v>252</v>
      </c>
      <c r="B1869" s="4" t="s">
        <v>253</v>
      </c>
      <c r="C1869" s="4" t="s">
        <v>252</v>
      </c>
      <c r="D1869" s="4" t="s">
        <v>297</v>
      </c>
      <c r="E1869" s="4" t="s">
        <v>298</v>
      </c>
      <c r="F1869" s="4" t="s">
        <v>297</v>
      </c>
    </row>
    <row r="1870" spans="1:6" ht="14.4" thickBot="1" x14ac:dyDescent="0.35">
      <c r="A1870" s="4" t="s">
        <v>252</v>
      </c>
      <c r="B1870" s="4" t="s">
        <v>253</v>
      </c>
      <c r="C1870" s="4" t="s">
        <v>252</v>
      </c>
      <c r="D1870" s="4" t="s">
        <v>1221</v>
      </c>
      <c r="E1870" s="4" t="s">
        <v>1222</v>
      </c>
      <c r="F1870" s="4" t="s">
        <v>1221</v>
      </c>
    </row>
    <row r="1871" spans="1:6" ht="14.4" thickBot="1" x14ac:dyDescent="0.35">
      <c r="A1871" s="4" t="s">
        <v>252</v>
      </c>
      <c r="B1871" s="4" t="s">
        <v>253</v>
      </c>
      <c r="C1871" s="4" t="s">
        <v>252</v>
      </c>
      <c r="D1871" s="4" t="s">
        <v>261</v>
      </c>
      <c r="E1871" s="4" t="s">
        <v>262</v>
      </c>
      <c r="F1871" s="4" t="s">
        <v>261</v>
      </c>
    </row>
    <row r="1872" spans="1:6" ht="14.4" thickBot="1" x14ac:dyDescent="0.35">
      <c r="A1872" s="4" t="s">
        <v>252</v>
      </c>
      <c r="B1872" s="4" t="s">
        <v>253</v>
      </c>
      <c r="C1872" s="4" t="s">
        <v>252</v>
      </c>
      <c r="D1872" s="4" t="s">
        <v>2746</v>
      </c>
      <c r="E1872" s="4" t="s">
        <v>2747</v>
      </c>
      <c r="F1872" s="4" t="s">
        <v>2746</v>
      </c>
    </row>
    <row r="1873" spans="1:6" ht="14.4" thickBot="1" x14ac:dyDescent="0.35">
      <c r="A1873" s="4" t="s">
        <v>252</v>
      </c>
      <c r="B1873" s="4" t="s">
        <v>253</v>
      </c>
      <c r="C1873" s="4" t="s">
        <v>252</v>
      </c>
      <c r="D1873" s="4" t="s">
        <v>5679</v>
      </c>
      <c r="E1873" s="4" t="s">
        <v>5680</v>
      </c>
      <c r="F1873" s="4" t="s">
        <v>5679</v>
      </c>
    </row>
    <row r="1874" spans="1:6" ht="14.4" thickBot="1" x14ac:dyDescent="0.35">
      <c r="A1874" s="4" t="s">
        <v>252</v>
      </c>
      <c r="B1874" s="4" t="s">
        <v>253</v>
      </c>
      <c r="C1874" s="4" t="s">
        <v>252</v>
      </c>
      <c r="D1874" s="4" t="s">
        <v>5663</v>
      </c>
      <c r="E1874" s="4" t="s">
        <v>5664</v>
      </c>
      <c r="F1874" s="4" t="s">
        <v>5663</v>
      </c>
    </row>
    <row r="1875" spans="1:6" ht="14.4" thickBot="1" x14ac:dyDescent="0.35">
      <c r="A1875" s="4" t="s">
        <v>252</v>
      </c>
      <c r="B1875" s="4" t="s">
        <v>253</v>
      </c>
      <c r="C1875" s="4" t="s">
        <v>252</v>
      </c>
      <c r="D1875" s="4" t="s">
        <v>2706</v>
      </c>
      <c r="E1875" s="4" t="s">
        <v>2707</v>
      </c>
      <c r="F1875" s="4" t="s">
        <v>2706</v>
      </c>
    </row>
    <row r="1876" spans="1:6" ht="14.4" thickBot="1" x14ac:dyDescent="0.35">
      <c r="A1876" s="4" t="s">
        <v>252</v>
      </c>
      <c r="B1876" s="4" t="s">
        <v>253</v>
      </c>
      <c r="C1876" s="4" t="s">
        <v>252</v>
      </c>
      <c r="D1876" s="4" t="s">
        <v>3513</v>
      </c>
      <c r="E1876" s="4" t="s">
        <v>3514</v>
      </c>
      <c r="F1876" s="4" t="s">
        <v>3513</v>
      </c>
    </row>
    <row r="1877" spans="1:6" ht="14.4" thickBot="1" x14ac:dyDescent="0.35">
      <c r="A1877" s="4" t="s">
        <v>252</v>
      </c>
      <c r="B1877" s="4" t="s">
        <v>253</v>
      </c>
      <c r="C1877" s="4" t="s">
        <v>252</v>
      </c>
      <c r="D1877" s="4" t="s">
        <v>4300</v>
      </c>
      <c r="E1877" s="4" t="s">
        <v>4301</v>
      </c>
      <c r="F1877" s="4" t="s">
        <v>4300</v>
      </c>
    </row>
    <row r="1878" spans="1:6" ht="14.4" thickBot="1" x14ac:dyDescent="0.35">
      <c r="A1878" s="4" t="s">
        <v>252</v>
      </c>
      <c r="B1878" s="4" t="s">
        <v>253</v>
      </c>
      <c r="C1878" s="4" t="s">
        <v>252</v>
      </c>
      <c r="D1878" s="4" t="s">
        <v>4990</v>
      </c>
      <c r="E1878" s="4" t="s">
        <v>4991</v>
      </c>
      <c r="F1878" s="4" t="s">
        <v>4990</v>
      </c>
    </row>
    <row r="1879" spans="1:6" ht="14.4" thickBot="1" x14ac:dyDescent="0.35">
      <c r="A1879" s="4" t="s">
        <v>252</v>
      </c>
      <c r="B1879" s="4" t="s">
        <v>253</v>
      </c>
      <c r="C1879" s="4" t="s">
        <v>252</v>
      </c>
      <c r="D1879" s="4" t="s">
        <v>4977</v>
      </c>
      <c r="E1879" s="4" t="s">
        <v>4978</v>
      </c>
      <c r="F1879" s="4" t="s">
        <v>4977</v>
      </c>
    </row>
    <row r="1880" spans="1:6" ht="14.4" thickBot="1" x14ac:dyDescent="0.35">
      <c r="A1880" s="4" t="s">
        <v>252</v>
      </c>
      <c r="B1880" s="4" t="s">
        <v>253</v>
      </c>
      <c r="C1880" s="4" t="s">
        <v>252</v>
      </c>
      <c r="D1880" s="4" t="s">
        <v>3475</v>
      </c>
      <c r="E1880" s="4" t="s">
        <v>3476</v>
      </c>
      <c r="F1880" s="4" t="s">
        <v>3475</v>
      </c>
    </row>
    <row r="1881" spans="1:6" ht="14.4" thickBot="1" x14ac:dyDescent="0.35">
      <c r="A1881" s="4" t="s">
        <v>252</v>
      </c>
      <c r="B1881" s="4" t="s">
        <v>253</v>
      </c>
      <c r="C1881" s="4" t="s">
        <v>252</v>
      </c>
      <c r="D1881" s="4" t="s">
        <v>265</v>
      </c>
      <c r="E1881" s="4" t="s">
        <v>266</v>
      </c>
      <c r="F1881" s="4" t="s">
        <v>265</v>
      </c>
    </row>
    <row r="1882" spans="1:6" ht="14.4" thickBot="1" x14ac:dyDescent="0.35">
      <c r="A1882" s="4" t="s">
        <v>252</v>
      </c>
      <c r="B1882" s="4" t="s">
        <v>253</v>
      </c>
      <c r="C1882" s="4" t="s">
        <v>252</v>
      </c>
      <c r="D1882" s="4" t="s">
        <v>4952</v>
      </c>
      <c r="E1882" s="4" t="s">
        <v>4953</v>
      </c>
      <c r="F1882" s="4" t="s">
        <v>4952</v>
      </c>
    </row>
    <row r="1883" spans="1:6" ht="14.4" thickBot="1" x14ac:dyDescent="0.35">
      <c r="A1883" s="4" t="s">
        <v>252</v>
      </c>
      <c r="B1883" s="4" t="s">
        <v>253</v>
      </c>
      <c r="C1883" s="4" t="s">
        <v>252</v>
      </c>
      <c r="D1883" s="4" t="s">
        <v>2037</v>
      </c>
      <c r="E1883" s="4" t="s">
        <v>2038</v>
      </c>
      <c r="F1883" s="4" t="s">
        <v>2037</v>
      </c>
    </row>
    <row r="1884" spans="1:6" ht="14.4" thickBot="1" x14ac:dyDescent="0.35">
      <c r="A1884" s="4" t="s">
        <v>252</v>
      </c>
      <c r="B1884" s="4" t="s">
        <v>253</v>
      </c>
      <c r="C1884" s="4" t="s">
        <v>252</v>
      </c>
      <c r="D1884" s="4" t="s">
        <v>275</v>
      </c>
      <c r="E1884" s="4" t="s">
        <v>276</v>
      </c>
      <c r="F1884" s="4" t="s">
        <v>275</v>
      </c>
    </row>
    <row r="1885" spans="1:6" ht="14.4" thickBot="1" x14ac:dyDescent="0.35">
      <c r="A1885" s="4" t="s">
        <v>252</v>
      </c>
      <c r="B1885" s="4" t="s">
        <v>253</v>
      </c>
      <c r="C1885" s="4" t="s">
        <v>252</v>
      </c>
      <c r="D1885" s="4" t="s">
        <v>273</v>
      </c>
      <c r="E1885" s="4" t="s">
        <v>274</v>
      </c>
      <c r="F1885" s="4" t="s">
        <v>273</v>
      </c>
    </row>
    <row r="1886" spans="1:6" ht="14.4" thickBot="1" x14ac:dyDescent="0.35">
      <c r="A1886" s="4" t="s">
        <v>252</v>
      </c>
      <c r="B1886" s="4" t="s">
        <v>253</v>
      </c>
      <c r="C1886" s="4" t="s">
        <v>252</v>
      </c>
      <c r="D1886" s="4" t="s">
        <v>5673</v>
      </c>
      <c r="E1886" s="4" t="s">
        <v>5674</v>
      </c>
      <c r="F1886" s="4" t="s">
        <v>5673</v>
      </c>
    </row>
    <row r="1887" spans="1:6" ht="14.4" thickBot="1" x14ac:dyDescent="0.35">
      <c r="A1887" s="4" t="s">
        <v>252</v>
      </c>
      <c r="B1887" s="4" t="s">
        <v>253</v>
      </c>
      <c r="C1887" s="4" t="s">
        <v>252</v>
      </c>
      <c r="D1887" s="4" t="s">
        <v>3474</v>
      </c>
      <c r="E1887" s="4" t="s">
        <v>2040</v>
      </c>
      <c r="F1887" s="4" t="s">
        <v>3474</v>
      </c>
    </row>
    <row r="1888" spans="1:6" ht="14.4" thickBot="1" x14ac:dyDescent="0.35">
      <c r="A1888" s="4" t="s">
        <v>252</v>
      </c>
      <c r="B1888" s="4" t="s">
        <v>253</v>
      </c>
      <c r="C1888" s="4" t="s">
        <v>252</v>
      </c>
      <c r="D1888" s="4" t="s">
        <v>5671</v>
      </c>
      <c r="E1888" s="4" t="s">
        <v>5672</v>
      </c>
      <c r="F1888" s="4" t="s">
        <v>5671</v>
      </c>
    </row>
    <row r="1889" spans="1:6" ht="14.4" thickBot="1" x14ac:dyDescent="0.35">
      <c r="A1889" s="4" t="s">
        <v>252</v>
      </c>
      <c r="B1889" s="4" t="s">
        <v>253</v>
      </c>
      <c r="C1889" s="4" t="s">
        <v>252</v>
      </c>
      <c r="D1889" s="4" t="s">
        <v>1263</v>
      </c>
      <c r="E1889" s="4" t="s">
        <v>1264</v>
      </c>
      <c r="F1889" s="4" t="s">
        <v>1263</v>
      </c>
    </row>
    <row r="1890" spans="1:6" ht="14.4" thickBot="1" x14ac:dyDescent="0.35">
      <c r="A1890" s="4" t="s">
        <v>252</v>
      </c>
      <c r="B1890" s="4" t="s">
        <v>253</v>
      </c>
      <c r="C1890" s="4" t="s">
        <v>252</v>
      </c>
      <c r="D1890" s="4" t="s">
        <v>1245</v>
      </c>
      <c r="E1890" s="4" t="s">
        <v>1246</v>
      </c>
      <c r="F1890" s="4" t="s">
        <v>1245</v>
      </c>
    </row>
    <row r="1891" spans="1:6" ht="14.4" thickBot="1" x14ac:dyDescent="0.35">
      <c r="A1891" s="4" t="s">
        <v>252</v>
      </c>
      <c r="B1891" s="4" t="s">
        <v>253</v>
      </c>
      <c r="C1891" s="4" t="s">
        <v>252</v>
      </c>
      <c r="D1891" s="4" t="s">
        <v>1261</v>
      </c>
      <c r="E1891" s="4" t="s">
        <v>1262</v>
      </c>
      <c r="F1891" s="4" t="s">
        <v>1261</v>
      </c>
    </row>
    <row r="1892" spans="1:6" ht="14.4" thickBot="1" x14ac:dyDescent="0.35">
      <c r="A1892" s="4" t="s">
        <v>252</v>
      </c>
      <c r="B1892" s="4" t="s">
        <v>253</v>
      </c>
      <c r="C1892" s="4" t="s">
        <v>252</v>
      </c>
      <c r="D1892" s="4" t="s">
        <v>5675</v>
      </c>
      <c r="E1892" s="4" t="s">
        <v>5676</v>
      </c>
      <c r="F1892" s="4" t="s">
        <v>5675</v>
      </c>
    </row>
    <row r="1893" spans="1:6" ht="14.4" thickBot="1" x14ac:dyDescent="0.35">
      <c r="A1893" s="4" t="s">
        <v>252</v>
      </c>
      <c r="B1893" s="4" t="s">
        <v>253</v>
      </c>
      <c r="C1893" s="4" t="s">
        <v>252</v>
      </c>
      <c r="D1893" s="4" t="s">
        <v>1259</v>
      </c>
      <c r="E1893" s="4" t="s">
        <v>1260</v>
      </c>
      <c r="F1893" s="4" t="s">
        <v>1259</v>
      </c>
    </row>
    <row r="1894" spans="1:6" ht="14.4" thickBot="1" x14ac:dyDescent="0.35">
      <c r="A1894" s="4" t="s">
        <v>252</v>
      </c>
      <c r="B1894" s="4" t="s">
        <v>253</v>
      </c>
      <c r="C1894" s="4" t="s">
        <v>252</v>
      </c>
      <c r="D1894" s="4" t="s">
        <v>4294</v>
      </c>
      <c r="E1894" s="4" t="s">
        <v>4295</v>
      </c>
      <c r="F1894" s="4" t="s">
        <v>4294</v>
      </c>
    </row>
    <row r="1895" spans="1:6" ht="14.4" thickBot="1" x14ac:dyDescent="0.35">
      <c r="A1895" s="4" t="s">
        <v>252</v>
      </c>
      <c r="B1895" s="4" t="s">
        <v>253</v>
      </c>
      <c r="C1895" s="4" t="s">
        <v>252</v>
      </c>
      <c r="D1895" s="4" t="s">
        <v>271</v>
      </c>
      <c r="E1895" s="4" t="s">
        <v>272</v>
      </c>
      <c r="F1895" s="4" t="s">
        <v>271</v>
      </c>
    </row>
    <row r="1896" spans="1:6" ht="14.4" thickBot="1" x14ac:dyDescent="0.35">
      <c r="A1896" s="4" t="s">
        <v>252</v>
      </c>
      <c r="B1896" s="4" t="s">
        <v>253</v>
      </c>
      <c r="C1896" s="4" t="s">
        <v>252</v>
      </c>
      <c r="D1896" s="4" t="s">
        <v>5669</v>
      </c>
      <c r="E1896" s="4" t="s">
        <v>5670</v>
      </c>
      <c r="F1896" s="4" t="s">
        <v>5669</v>
      </c>
    </row>
    <row r="1897" spans="1:6" ht="14.4" thickBot="1" x14ac:dyDescent="0.35">
      <c r="A1897" s="4" t="s">
        <v>252</v>
      </c>
      <c r="B1897" s="4" t="s">
        <v>253</v>
      </c>
      <c r="C1897" s="4" t="s">
        <v>252</v>
      </c>
      <c r="D1897" s="4" t="s">
        <v>4950</v>
      </c>
      <c r="E1897" s="4" t="s">
        <v>4951</v>
      </c>
      <c r="F1897" s="4" t="s">
        <v>4950</v>
      </c>
    </row>
    <row r="1898" spans="1:6" ht="14.4" thickBot="1" x14ac:dyDescent="0.35">
      <c r="A1898" s="4" t="s">
        <v>252</v>
      </c>
      <c r="B1898" s="4" t="s">
        <v>253</v>
      </c>
      <c r="C1898" s="4" t="s">
        <v>252</v>
      </c>
      <c r="D1898" s="4" t="s">
        <v>5667</v>
      </c>
      <c r="E1898" s="4" t="s">
        <v>5668</v>
      </c>
      <c r="F1898" s="4" t="s">
        <v>5667</v>
      </c>
    </row>
    <row r="1899" spans="1:6" ht="14.4" thickBot="1" x14ac:dyDescent="0.35">
      <c r="A1899" s="4" t="s">
        <v>252</v>
      </c>
      <c r="B1899" s="4" t="s">
        <v>253</v>
      </c>
      <c r="C1899" s="4" t="s">
        <v>252</v>
      </c>
      <c r="D1899" s="4" t="s">
        <v>3472</v>
      </c>
      <c r="E1899" s="4" t="s">
        <v>3473</v>
      </c>
      <c r="F1899" s="4" t="s">
        <v>3472</v>
      </c>
    </row>
    <row r="1900" spans="1:6" ht="14.4" thickBot="1" x14ac:dyDescent="0.35">
      <c r="A1900" s="4" t="s">
        <v>252</v>
      </c>
      <c r="B1900" s="4" t="s">
        <v>253</v>
      </c>
      <c r="C1900" s="4" t="s">
        <v>252</v>
      </c>
      <c r="D1900" s="4" t="s">
        <v>5665</v>
      </c>
      <c r="E1900" s="4" t="s">
        <v>5666</v>
      </c>
      <c r="F1900" s="4" t="s">
        <v>5665</v>
      </c>
    </row>
    <row r="1901" spans="1:6" ht="14.4" thickBot="1" x14ac:dyDescent="0.35">
      <c r="A1901" s="4" t="s">
        <v>252</v>
      </c>
      <c r="B1901" s="4" t="s">
        <v>253</v>
      </c>
      <c r="C1901" s="4" t="s">
        <v>252</v>
      </c>
      <c r="D1901" s="4" t="s">
        <v>2704</v>
      </c>
      <c r="E1901" s="4" t="s">
        <v>2705</v>
      </c>
      <c r="F1901" s="4" t="s">
        <v>2704</v>
      </c>
    </row>
    <row r="1902" spans="1:6" ht="14.4" thickBot="1" x14ac:dyDescent="0.35">
      <c r="A1902" s="4" t="s">
        <v>252</v>
      </c>
      <c r="B1902" s="4" t="s">
        <v>253</v>
      </c>
      <c r="C1902" s="4" t="s">
        <v>252</v>
      </c>
      <c r="D1902" s="4" t="s">
        <v>5677</v>
      </c>
      <c r="E1902" s="4" t="s">
        <v>5678</v>
      </c>
      <c r="F1902" s="4" t="s">
        <v>5677</v>
      </c>
    </row>
    <row r="1903" spans="1:6" ht="14.4" thickBot="1" x14ac:dyDescent="0.35">
      <c r="A1903" s="4" t="s">
        <v>252</v>
      </c>
      <c r="B1903" s="4" t="s">
        <v>253</v>
      </c>
      <c r="C1903" s="4" t="s">
        <v>252</v>
      </c>
      <c r="D1903" s="4" t="s">
        <v>2744</v>
      </c>
      <c r="E1903" s="4" t="s">
        <v>2745</v>
      </c>
      <c r="F1903" s="4" t="s">
        <v>2744</v>
      </c>
    </row>
    <row r="1904" spans="1:6" ht="14.4" thickBot="1" x14ac:dyDescent="0.35">
      <c r="A1904" s="4" t="s">
        <v>252</v>
      </c>
      <c r="B1904" s="4" t="s">
        <v>253</v>
      </c>
      <c r="C1904" s="4" t="s">
        <v>252</v>
      </c>
      <c r="D1904" s="4" t="s">
        <v>2057</v>
      </c>
      <c r="E1904" s="4" t="s">
        <v>2058</v>
      </c>
      <c r="F1904" s="4" t="s">
        <v>2057</v>
      </c>
    </row>
    <row r="1905" spans="1:6" ht="14.4" thickBot="1" x14ac:dyDescent="0.35">
      <c r="A1905" s="4" t="s">
        <v>252</v>
      </c>
      <c r="B1905" s="4" t="s">
        <v>253</v>
      </c>
      <c r="C1905" s="4" t="s">
        <v>252</v>
      </c>
      <c r="D1905" s="4" t="s">
        <v>4970</v>
      </c>
      <c r="E1905" s="4" t="s">
        <v>4971</v>
      </c>
      <c r="F1905" s="4" t="s">
        <v>4970</v>
      </c>
    </row>
    <row r="1906" spans="1:6" ht="14.4" thickBot="1" x14ac:dyDescent="0.35">
      <c r="A1906" s="4" t="s">
        <v>252</v>
      </c>
      <c r="B1906" s="4" t="s">
        <v>253</v>
      </c>
      <c r="C1906" s="4" t="s">
        <v>252</v>
      </c>
      <c r="D1906" s="4" t="s">
        <v>2740</v>
      </c>
      <c r="E1906" s="4" t="s">
        <v>2741</v>
      </c>
      <c r="F1906" s="4" t="s">
        <v>2740</v>
      </c>
    </row>
    <row r="1907" spans="1:6" ht="14.4" thickBot="1" x14ac:dyDescent="0.35">
      <c r="A1907" s="4" t="s">
        <v>252</v>
      </c>
      <c r="B1907" s="4" t="s">
        <v>253</v>
      </c>
      <c r="C1907" s="4" t="s">
        <v>252</v>
      </c>
      <c r="D1907" s="4" t="s">
        <v>2718</v>
      </c>
      <c r="E1907" s="4" t="s">
        <v>2719</v>
      </c>
      <c r="F1907" s="4" t="s">
        <v>2718</v>
      </c>
    </row>
    <row r="1908" spans="1:6" ht="14.4" thickBot="1" x14ac:dyDescent="0.35">
      <c r="A1908" s="4" t="s">
        <v>252</v>
      </c>
      <c r="B1908" s="4" t="s">
        <v>253</v>
      </c>
      <c r="C1908" s="4" t="s">
        <v>252</v>
      </c>
      <c r="D1908" s="4" t="s">
        <v>307</v>
      </c>
      <c r="E1908" s="4" t="s">
        <v>308</v>
      </c>
      <c r="F1908" s="4" t="s">
        <v>307</v>
      </c>
    </row>
    <row r="1909" spans="1:6" ht="14.4" thickBot="1" x14ac:dyDescent="0.35">
      <c r="A1909" s="4" t="s">
        <v>252</v>
      </c>
      <c r="B1909" s="4" t="s">
        <v>253</v>
      </c>
      <c r="C1909" s="4" t="s">
        <v>252</v>
      </c>
      <c r="D1909" s="4" t="s">
        <v>1241</v>
      </c>
      <c r="E1909" s="4" t="s">
        <v>1242</v>
      </c>
      <c r="F1909" s="4" t="s">
        <v>1241</v>
      </c>
    </row>
    <row r="1910" spans="1:6" ht="14.4" thickBot="1" x14ac:dyDescent="0.35">
      <c r="A1910" s="4" t="s">
        <v>252</v>
      </c>
      <c r="B1910" s="4" t="s">
        <v>253</v>
      </c>
      <c r="C1910" s="4" t="s">
        <v>252</v>
      </c>
      <c r="D1910" s="4" t="s">
        <v>2738</v>
      </c>
      <c r="E1910" s="4" t="s">
        <v>2739</v>
      </c>
      <c r="F1910" s="4" t="s">
        <v>2738</v>
      </c>
    </row>
    <row r="1911" spans="1:6" ht="14.4" thickBot="1" x14ac:dyDescent="0.35">
      <c r="A1911" s="4" t="s">
        <v>252</v>
      </c>
      <c r="B1911" s="4" t="s">
        <v>253</v>
      </c>
      <c r="C1911" s="4" t="s">
        <v>252</v>
      </c>
      <c r="D1911" s="4" t="s">
        <v>1239</v>
      </c>
      <c r="E1911" s="4" t="s">
        <v>1240</v>
      </c>
      <c r="F1911" s="4" t="s">
        <v>1239</v>
      </c>
    </row>
    <row r="1912" spans="1:6" ht="14.4" thickBot="1" x14ac:dyDescent="0.35">
      <c r="A1912" s="4" t="s">
        <v>252</v>
      </c>
      <c r="B1912" s="4" t="s">
        <v>253</v>
      </c>
      <c r="C1912" s="4" t="s">
        <v>252</v>
      </c>
      <c r="D1912" s="4" t="s">
        <v>2736</v>
      </c>
      <c r="E1912" s="4" t="s">
        <v>2737</v>
      </c>
      <c r="F1912" s="4" t="s">
        <v>2736</v>
      </c>
    </row>
    <row r="1913" spans="1:6" ht="14.4" thickBot="1" x14ac:dyDescent="0.35">
      <c r="A1913" s="4" t="s">
        <v>252</v>
      </c>
      <c r="B1913" s="4" t="s">
        <v>253</v>
      </c>
      <c r="C1913" s="4" t="s">
        <v>252</v>
      </c>
      <c r="D1913" s="4" t="s">
        <v>4298</v>
      </c>
      <c r="E1913" s="4" t="s">
        <v>4299</v>
      </c>
      <c r="F1913" s="4" t="s">
        <v>4298</v>
      </c>
    </row>
    <row r="1914" spans="1:6" ht="14.4" thickBot="1" x14ac:dyDescent="0.35">
      <c r="A1914" s="4" t="s">
        <v>252</v>
      </c>
      <c r="B1914" s="4" t="s">
        <v>253</v>
      </c>
      <c r="C1914" s="4" t="s">
        <v>252</v>
      </c>
      <c r="D1914" s="4" t="s">
        <v>3482</v>
      </c>
      <c r="E1914" s="4" t="s">
        <v>3483</v>
      </c>
      <c r="F1914" s="4" t="s">
        <v>3482</v>
      </c>
    </row>
    <row r="1915" spans="1:6" ht="14.4" thickBot="1" x14ac:dyDescent="0.35">
      <c r="A1915" s="4" t="s">
        <v>252</v>
      </c>
      <c r="B1915" s="4" t="s">
        <v>253</v>
      </c>
      <c r="C1915" s="4" t="s">
        <v>252</v>
      </c>
      <c r="D1915" s="4" t="s">
        <v>3480</v>
      </c>
      <c r="E1915" s="4" t="s">
        <v>3481</v>
      </c>
      <c r="F1915" s="4" t="s">
        <v>3480</v>
      </c>
    </row>
    <row r="1916" spans="1:6" ht="14.4" thickBot="1" x14ac:dyDescent="0.35">
      <c r="A1916" s="4" t="s">
        <v>252</v>
      </c>
      <c r="B1916" s="4" t="s">
        <v>253</v>
      </c>
      <c r="C1916" s="4" t="s">
        <v>252</v>
      </c>
      <c r="D1916" s="4" t="s">
        <v>3511</v>
      </c>
      <c r="E1916" s="4" t="s">
        <v>3512</v>
      </c>
      <c r="F1916" s="4" t="s">
        <v>3511</v>
      </c>
    </row>
    <row r="1917" spans="1:6" ht="14.4" thickBot="1" x14ac:dyDescent="0.35">
      <c r="A1917" s="4" t="s">
        <v>252</v>
      </c>
      <c r="B1917" s="4" t="s">
        <v>253</v>
      </c>
      <c r="C1917" s="4" t="s">
        <v>252</v>
      </c>
      <c r="D1917" s="4" t="s">
        <v>283</v>
      </c>
      <c r="E1917" s="4" t="s">
        <v>284</v>
      </c>
      <c r="F1917" s="4" t="s">
        <v>283</v>
      </c>
    </row>
    <row r="1918" spans="1:6" ht="14.4" thickBot="1" x14ac:dyDescent="0.35">
      <c r="A1918" s="4" t="s">
        <v>252</v>
      </c>
      <c r="B1918" s="4" t="s">
        <v>253</v>
      </c>
      <c r="C1918" s="4" t="s">
        <v>252</v>
      </c>
      <c r="D1918" s="4" t="s">
        <v>2716</v>
      </c>
      <c r="E1918" s="4" t="s">
        <v>2717</v>
      </c>
      <c r="F1918" s="4" t="s">
        <v>2716</v>
      </c>
    </row>
    <row r="1919" spans="1:6" ht="14.4" thickBot="1" x14ac:dyDescent="0.35">
      <c r="A1919" s="4" t="s">
        <v>252</v>
      </c>
      <c r="B1919" s="4" t="s">
        <v>253</v>
      </c>
      <c r="C1919" s="4" t="s">
        <v>252</v>
      </c>
      <c r="D1919" s="4" t="s">
        <v>1235</v>
      </c>
      <c r="E1919" s="4" t="s">
        <v>1236</v>
      </c>
      <c r="F1919" s="4" t="s">
        <v>1235</v>
      </c>
    </row>
    <row r="1920" spans="1:6" ht="14.4" thickBot="1" x14ac:dyDescent="0.35">
      <c r="A1920" s="4" t="s">
        <v>252</v>
      </c>
      <c r="B1920" s="4" t="s">
        <v>253</v>
      </c>
      <c r="C1920" s="4" t="s">
        <v>252</v>
      </c>
      <c r="D1920" s="4" t="s">
        <v>305</v>
      </c>
      <c r="E1920" s="4" t="s">
        <v>306</v>
      </c>
      <c r="F1920" s="4" t="s">
        <v>305</v>
      </c>
    </row>
    <row r="1921" spans="1:6" ht="14.4" thickBot="1" x14ac:dyDescent="0.35">
      <c r="A1921" s="4" t="s">
        <v>252</v>
      </c>
      <c r="B1921" s="4" t="s">
        <v>253</v>
      </c>
      <c r="C1921" s="4" t="s">
        <v>252</v>
      </c>
      <c r="D1921" s="4" t="s">
        <v>4966</v>
      </c>
      <c r="E1921" s="4" t="s">
        <v>4967</v>
      </c>
      <c r="F1921" s="4" t="s">
        <v>4966</v>
      </c>
    </row>
    <row r="1922" spans="1:6" ht="14.4" thickBot="1" x14ac:dyDescent="0.35">
      <c r="A1922" s="4" t="s">
        <v>252</v>
      </c>
      <c r="B1922" s="4" t="s">
        <v>253</v>
      </c>
      <c r="C1922" s="4" t="s">
        <v>252</v>
      </c>
      <c r="D1922" s="4" t="s">
        <v>303</v>
      </c>
      <c r="E1922" s="4" t="s">
        <v>304</v>
      </c>
      <c r="F1922" s="4" t="s">
        <v>303</v>
      </c>
    </row>
    <row r="1923" spans="1:6" ht="14.4" thickBot="1" x14ac:dyDescent="0.35">
      <c r="A1923" s="4" t="s">
        <v>252</v>
      </c>
      <c r="B1923" s="4" t="s">
        <v>253</v>
      </c>
      <c r="C1923" s="4" t="s">
        <v>252</v>
      </c>
      <c r="D1923" s="4" t="s">
        <v>4964</v>
      </c>
      <c r="E1923" s="4" t="s">
        <v>4965</v>
      </c>
      <c r="F1923" s="4" t="s">
        <v>4964</v>
      </c>
    </row>
    <row r="1924" spans="1:6" ht="14.4" thickBot="1" x14ac:dyDescent="0.35">
      <c r="A1924" s="4" t="s">
        <v>252</v>
      </c>
      <c r="B1924" s="4" t="s">
        <v>253</v>
      </c>
      <c r="C1924" s="4" t="s">
        <v>252</v>
      </c>
      <c r="D1924" s="4" t="s">
        <v>4311</v>
      </c>
      <c r="E1924" s="4" t="s">
        <v>4312</v>
      </c>
      <c r="F1924" s="4" t="s">
        <v>4311</v>
      </c>
    </row>
    <row r="1925" spans="1:6" ht="14.4" thickBot="1" x14ac:dyDescent="0.35">
      <c r="A1925" s="4" t="s">
        <v>252</v>
      </c>
      <c r="B1925" s="4" t="s">
        <v>253</v>
      </c>
      <c r="C1925" s="4" t="s">
        <v>252</v>
      </c>
      <c r="D1925" s="4" t="s">
        <v>3478</v>
      </c>
      <c r="E1925" s="4" t="s">
        <v>3479</v>
      </c>
      <c r="F1925" s="4" t="s">
        <v>3478</v>
      </c>
    </row>
    <row r="1926" spans="1:6" ht="14.4" thickBot="1" x14ac:dyDescent="0.35">
      <c r="A1926" s="4" t="s">
        <v>252</v>
      </c>
      <c r="B1926" s="4" t="s">
        <v>253</v>
      </c>
      <c r="C1926" s="4" t="s">
        <v>252</v>
      </c>
      <c r="D1926" s="4" t="s">
        <v>2023</v>
      </c>
      <c r="E1926" s="4" t="s">
        <v>2024</v>
      </c>
      <c r="F1926" s="4" t="s">
        <v>2023</v>
      </c>
    </row>
    <row r="1927" spans="1:6" ht="14.4" thickBot="1" x14ac:dyDescent="0.35">
      <c r="A1927" s="4" t="s">
        <v>252</v>
      </c>
      <c r="B1927" s="4" t="s">
        <v>253</v>
      </c>
      <c r="C1927" s="4" t="s">
        <v>252</v>
      </c>
      <c r="D1927" s="4" t="s">
        <v>5661</v>
      </c>
      <c r="E1927" s="4" t="s">
        <v>5662</v>
      </c>
      <c r="F1927" s="4" t="s">
        <v>5661</v>
      </c>
    </row>
    <row r="1928" spans="1:6" ht="14.4" thickBot="1" x14ac:dyDescent="0.35">
      <c r="A1928" s="4" t="s">
        <v>252</v>
      </c>
      <c r="B1928" s="4" t="s">
        <v>253</v>
      </c>
      <c r="C1928" s="4" t="s">
        <v>252</v>
      </c>
      <c r="D1928" s="4" t="s">
        <v>1199</v>
      </c>
      <c r="E1928" s="4" t="s">
        <v>1200</v>
      </c>
      <c r="F1928" s="4" t="s">
        <v>1199</v>
      </c>
    </row>
    <row r="1929" spans="1:6" ht="14.4" thickBot="1" x14ac:dyDescent="0.35">
      <c r="A1929" s="4" t="s">
        <v>252</v>
      </c>
      <c r="B1929" s="4" t="s">
        <v>253</v>
      </c>
      <c r="C1929" s="4" t="s">
        <v>252</v>
      </c>
      <c r="D1929" s="4" t="s">
        <v>4962</v>
      </c>
      <c r="E1929" s="4" t="s">
        <v>4963</v>
      </c>
      <c r="F1929" s="4" t="s">
        <v>4962</v>
      </c>
    </row>
    <row r="1930" spans="1:6" ht="14.4" thickBot="1" x14ac:dyDescent="0.35">
      <c r="A1930" s="4" t="s">
        <v>252</v>
      </c>
      <c r="B1930" s="4" t="s">
        <v>253</v>
      </c>
      <c r="C1930" s="4" t="s">
        <v>252</v>
      </c>
      <c r="D1930" s="4" t="s">
        <v>3468</v>
      </c>
      <c r="E1930" s="4" t="s">
        <v>3469</v>
      </c>
      <c r="F1930" s="4" t="s">
        <v>3468</v>
      </c>
    </row>
    <row r="1931" spans="1:6" ht="14.4" thickBot="1" x14ac:dyDescent="0.35">
      <c r="A1931" s="4" t="s">
        <v>252</v>
      </c>
      <c r="B1931" s="4" t="s">
        <v>253</v>
      </c>
      <c r="C1931" s="4" t="s">
        <v>252</v>
      </c>
      <c r="D1931" s="4" t="s">
        <v>2734</v>
      </c>
      <c r="E1931" s="4" t="s">
        <v>2735</v>
      </c>
      <c r="F1931" s="4" t="s">
        <v>2734</v>
      </c>
    </row>
    <row r="1932" spans="1:6" ht="14.4" thickBot="1" x14ac:dyDescent="0.35">
      <c r="A1932" s="4" t="s">
        <v>252</v>
      </c>
      <c r="B1932" s="4" t="s">
        <v>253</v>
      </c>
      <c r="C1932" s="4" t="s">
        <v>252</v>
      </c>
      <c r="D1932" s="4" t="s">
        <v>4942</v>
      </c>
      <c r="E1932" s="4" t="s">
        <v>4943</v>
      </c>
      <c r="F1932" s="4" t="s">
        <v>4942</v>
      </c>
    </row>
    <row r="1933" spans="1:6" ht="14.4" thickBot="1" x14ac:dyDescent="0.35">
      <c r="A1933" s="4" t="s">
        <v>252</v>
      </c>
      <c r="B1933" s="4" t="s">
        <v>253</v>
      </c>
      <c r="C1933" s="4" t="s">
        <v>252</v>
      </c>
      <c r="D1933" s="4" t="s">
        <v>1229</v>
      </c>
      <c r="E1933" s="4" t="s">
        <v>1230</v>
      </c>
      <c r="F1933" s="4" t="s">
        <v>1229</v>
      </c>
    </row>
    <row r="1934" spans="1:6" ht="14.4" thickBot="1" x14ac:dyDescent="0.35">
      <c r="A1934" s="4" t="s">
        <v>252</v>
      </c>
      <c r="B1934" s="4" t="s">
        <v>253</v>
      </c>
      <c r="C1934" s="4" t="s">
        <v>252</v>
      </c>
      <c r="D1934" s="4" t="s">
        <v>4280</v>
      </c>
      <c r="E1934" s="4" t="s">
        <v>4281</v>
      </c>
      <c r="F1934" s="4" t="s">
        <v>4280</v>
      </c>
    </row>
    <row r="1935" spans="1:6" ht="14.4" thickBot="1" x14ac:dyDescent="0.35">
      <c r="A1935" s="4" t="s">
        <v>252</v>
      </c>
      <c r="B1935" s="4" t="s">
        <v>253</v>
      </c>
      <c r="C1935" s="4" t="s">
        <v>252</v>
      </c>
      <c r="D1935" s="4" t="s">
        <v>5687</v>
      </c>
      <c r="E1935" s="4" t="s">
        <v>5688</v>
      </c>
      <c r="F1935" s="4" t="s">
        <v>5687</v>
      </c>
    </row>
    <row r="1936" spans="1:6" ht="14.4" thickBot="1" x14ac:dyDescent="0.35">
      <c r="A1936" s="4" t="s">
        <v>252</v>
      </c>
      <c r="B1936" s="4" t="s">
        <v>253</v>
      </c>
      <c r="C1936" s="4" t="s">
        <v>252</v>
      </c>
      <c r="D1936" s="4" t="s">
        <v>4958</v>
      </c>
      <c r="E1936" s="4" t="s">
        <v>4959</v>
      </c>
      <c r="F1936" s="4" t="s">
        <v>4958</v>
      </c>
    </row>
    <row r="1937" spans="1:6" ht="14.4" thickBot="1" x14ac:dyDescent="0.35">
      <c r="A1937" s="4" t="s">
        <v>252</v>
      </c>
      <c r="B1937" s="4" t="s">
        <v>253</v>
      </c>
      <c r="C1937" s="4" t="s">
        <v>252</v>
      </c>
      <c r="D1937" s="4" t="s">
        <v>4956</v>
      </c>
      <c r="E1937" s="4" t="s">
        <v>4957</v>
      </c>
      <c r="F1937" s="4" t="s">
        <v>4956</v>
      </c>
    </row>
    <row r="1938" spans="1:6" ht="14.4" thickBot="1" x14ac:dyDescent="0.35">
      <c r="A1938" s="4" t="s">
        <v>252</v>
      </c>
      <c r="B1938" s="4" t="s">
        <v>253</v>
      </c>
      <c r="C1938" s="4" t="s">
        <v>252</v>
      </c>
      <c r="D1938" s="4" t="s">
        <v>4937</v>
      </c>
      <c r="E1938" s="4" t="s">
        <v>4056</v>
      </c>
      <c r="F1938" s="4" t="s">
        <v>4937</v>
      </c>
    </row>
    <row r="1939" spans="1:6" ht="14.4" thickBot="1" x14ac:dyDescent="0.35">
      <c r="A1939" s="4" t="s">
        <v>252</v>
      </c>
      <c r="B1939" s="4" t="s">
        <v>253</v>
      </c>
      <c r="C1939" s="4" t="s">
        <v>252</v>
      </c>
      <c r="D1939" s="4" t="s">
        <v>1233</v>
      </c>
      <c r="E1939" s="4" t="s">
        <v>1234</v>
      </c>
      <c r="F1939" s="4" t="s">
        <v>1233</v>
      </c>
    </row>
    <row r="1940" spans="1:6" ht="14.4" thickBot="1" x14ac:dyDescent="0.35">
      <c r="A1940" s="4" t="s">
        <v>252</v>
      </c>
      <c r="B1940" s="4" t="s">
        <v>253</v>
      </c>
      <c r="C1940" s="4" t="s">
        <v>252</v>
      </c>
      <c r="D1940" s="4" t="s">
        <v>2696</v>
      </c>
      <c r="E1940" s="4" t="s">
        <v>2697</v>
      </c>
      <c r="F1940" s="4" t="s">
        <v>2696</v>
      </c>
    </row>
    <row r="1941" spans="1:6" ht="14.4" thickBot="1" x14ac:dyDescent="0.35">
      <c r="A1941" s="4" t="s">
        <v>252</v>
      </c>
      <c r="B1941" s="4" t="s">
        <v>253</v>
      </c>
      <c r="C1941" s="4" t="s">
        <v>252</v>
      </c>
      <c r="D1941" s="4" t="s">
        <v>4960</v>
      </c>
      <c r="E1941" s="4" t="s">
        <v>4961</v>
      </c>
      <c r="F1941" s="4" t="s">
        <v>4960</v>
      </c>
    </row>
    <row r="1942" spans="1:6" ht="14.4" thickBot="1" x14ac:dyDescent="0.35">
      <c r="A1942" s="4" t="s">
        <v>252</v>
      </c>
      <c r="B1942" s="4" t="s">
        <v>253</v>
      </c>
      <c r="C1942" s="4" t="s">
        <v>252</v>
      </c>
      <c r="D1942" s="4" t="s">
        <v>3477</v>
      </c>
      <c r="E1942" s="4" t="s">
        <v>1667</v>
      </c>
      <c r="F1942" s="4" t="s">
        <v>3477</v>
      </c>
    </row>
    <row r="1943" spans="1:6" ht="14.4" thickBot="1" x14ac:dyDescent="0.35">
      <c r="A1943" s="4" t="s">
        <v>252</v>
      </c>
      <c r="B1943" s="4" t="s">
        <v>253</v>
      </c>
      <c r="C1943" s="4" t="s">
        <v>252</v>
      </c>
      <c r="D1943" s="4" t="s">
        <v>3509</v>
      </c>
      <c r="E1943" s="4" t="s">
        <v>3510</v>
      </c>
      <c r="F1943" s="4" t="s">
        <v>3509</v>
      </c>
    </row>
    <row r="1944" spans="1:6" ht="14.4" thickBot="1" x14ac:dyDescent="0.35">
      <c r="A1944" s="4" t="s">
        <v>252</v>
      </c>
      <c r="B1944" s="4" t="s">
        <v>253</v>
      </c>
      <c r="C1944" s="4" t="s">
        <v>252</v>
      </c>
      <c r="D1944" s="4" t="s">
        <v>281</v>
      </c>
      <c r="E1944" s="4" t="s">
        <v>282</v>
      </c>
      <c r="F1944" s="4" t="s">
        <v>281</v>
      </c>
    </row>
    <row r="1945" spans="1:6" ht="14.4" thickBot="1" x14ac:dyDescent="0.35">
      <c r="A1945" s="4" t="s">
        <v>252</v>
      </c>
      <c r="B1945" s="4" t="s">
        <v>253</v>
      </c>
      <c r="C1945" s="4" t="s">
        <v>252</v>
      </c>
      <c r="D1945" s="4" t="s">
        <v>4988</v>
      </c>
      <c r="E1945" s="4" t="s">
        <v>4989</v>
      </c>
      <c r="F1945" s="4" t="s">
        <v>4988</v>
      </c>
    </row>
    <row r="1946" spans="1:6" ht="14.4" thickBot="1" x14ac:dyDescent="0.35">
      <c r="A1946" s="4" t="s">
        <v>252</v>
      </c>
      <c r="B1946" s="4" t="s">
        <v>253</v>
      </c>
      <c r="C1946" s="4" t="s">
        <v>252</v>
      </c>
      <c r="D1946" s="4" t="s">
        <v>4954</v>
      </c>
      <c r="E1946" s="4" t="s">
        <v>4955</v>
      </c>
      <c r="F1946" s="4" t="s">
        <v>4954</v>
      </c>
    </row>
    <row r="1947" spans="1:6" ht="14.4" thickBot="1" x14ac:dyDescent="0.35">
      <c r="A1947" s="4" t="s">
        <v>252</v>
      </c>
      <c r="B1947" s="4" t="s">
        <v>253</v>
      </c>
      <c r="C1947" s="4" t="s">
        <v>252</v>
      </c>
      <c r="D1947" s="4" t="s">
        <v>4309</v>
      </c>
      <c r="E1947" s="4" t="s">
        <v>4310</v>
      </c>
      <c r="F1947" s="4" t="s">
        <v>4309</v>
      </c>
    </row>
    <row r="1948" spans="1:6" ht="14.4" thickBot="1" x14ac:dyDescent="0.35">
      <c r="A1948" s="4" t="s">
        <v>252</v>
      </c>
      <c r="B1948" s="4" t="s">
        <v>253</v>
      </c>
      <c r="C1948" s="4" t="s">
        <v>252</v>
      </c>
      <c r="D1948" s="4" t="s">
        <v>4292</v>
      </c>
      <c r="E1948" s="4" t="s">
        <v>4293</v>
      </c>
      <c r="F1948" s="4" t="s">
        <v>4292</v>
      </c>
    </row>
    <row r="1949" spans="1:6" ht="14.4" thickBot="1" x14ac:dyDescent="0.35">
      <c r="A1949" s="4" t="s">
        <v>252</v>
      </c>
      <c r="B1949" s="4" t="s">
        <v>253</v>
      </c>
      <c r="C1949" s="4" t="s">
        <v>252</v>
      </c>
      <c r="D1949" s="4" t="s">
        <v>1255</v>
      </c>
      <c r="E1949" s="4" t="s">
        <v>1256</v>
      </c>
      <c r="F1949" s="4" t="s">
        <v>1255</v>
      </c>
    </row>
    <row r="1950" spans="1:6" ht="14.4" thickBot="1" x14ac:dyDescent="0.35">
      <c r="A1950" s="4" t="s">
        <v>252</v>
      </c>
      <c r="B1950" s="4" t="s">
        <v>253</v>
      </c>
      <c r="C1950" s="4" t="s">
        <v>252</v>
      </c>
      <c r="D1950" s="4" t="s">
        <v>4946</v>
      </c>
      <c r="E1950" s="4" t="s">
        <v>4947</v>
      </c>
      <c r="F1950" s="4" t="s">
        <v>4946</v>
      </c>
    </row>
    <row r="1951" spans="1:6" ht="14.4" thickBot="1" x14ac:dyDescent="0.35">
      <c r="A1951" s="4" t="s">
        <v>252</v>
      </c>
      <c r="B1951" s="4" t="s">
        <v>253</v>
      </c>
      <c r="C1951" s="4" t="s">
        <v>252</v>
      </c>
      <c r="D1951" s="4" t="s">
        <v>277</v>
      </c>
      <c r="E1951" s="4" t="s">
        <v>278</v>
      </c>
      <c r="F1951" s="4" t="s">
        <v>277</v>
      </c>
    </row>
    <row r="1952" spans="1:6" ht="14.4" thickBot="1" x14ac:dyDescent="0.35">
      <c r="A1952" s="4" t="s">
        <v>252</v>
      </c>
      <c r="B1952" s="4" t="s">
        <v>253</v>
      </c>
      <c r="C1952" s="4" t="s">
        <v>252</v>
      </c>
      <c r="D1952" s="4" t="s">
        <v>5655</v>
      </c>
      <c r="E1952" s="4" t="s">
        <v>5656</v>
      </c>
      <c r="F1952" s="4" t="s">
        <v>5655</v>
      </c>
    </row>
    <row r="1953" spans="1:6" ht="14.4" thickBot="1" x14ac:dyDescent="0.35">
      <c r="A1953" s="4" t="s">
        <v>252</v>
      </c>
      <c r="B1953" s="4" t="s">
        <v>253</v>
      </c>
      <c r="C1953" s="4" t="s">
        <v>252</v>
      </c>
      <c r="D1953" s="4" t="s">
        <v>5681</v>
      </c>
      <c r="E1953" s="4" t="s">
        <v>5682</v>
      </c>
      <c r="F1953" s="4" t="s">
        <v>5681</v>
      </c>
    </row>
    <row r="1954" spans="1:6" ht="14.4" thickBot="1" x14ac:dyDescent="0.35">
      <c r="A1954" s="4" t="s">
        <v>252</v>
      </c>
      <c r="B1954" s="4" t="s">
        <v>253</v>
      </c>
      <c r="C1954" s="4" t="s">
        <v>252</v>
      </c>
      <c r="D1954" s="4" t="s">
        <v>1223</v>
      </c>
      <c r="E1954" s="4" t="s">
        <v>1224</v>
      </c>
      <c r="F1954" s="4" t="s">
        <v>1223</v>
      </c>
    </row>
    <row r="1955" spans="1:6" ht="14.4" thickBot="1" x14ac:dyDescent="0.35">
      <c r="A1955" s="4" t="s">
        <v>252</v>
      </c>
      <c r="B1955" s="4" t="s">
        <v>253</v>
      </c>
      <c r="C1955" s="4" t="s">
        <v>252</v>
      </c>
      <c r="D1955" s="4" t="s">
        <v>5685</v>
      </c>
      <c r="E1955" s="4" t="s">
        <v>5686</v>
      </c>
      <c r="F1955" s="4" t="s">
        <v>5685</v>
      </c>
    </row>
    <row r="1956" spans="1:6" ht="14.4" thickBot="1" x14ac:dyDescent="0.35">
      <c r="A1956" s="4" t="s">
        <v>252</v>
      </c>
      <c r="B1956" s="4" t="s">
        <v>253</v>
      </c>
      <c r="C1956" s="4" t="s">
        <v>252</v>
      </c>
      <c r="D1956" s="4" t="s">
        <v>2028</v>
      </c>
      <c r="E1956" s="4" t="s">
        <v>2029</v>
      </c>
      <c r="F1956" s="4" t="s">
        <v>2028</v>
      </c>
    </row>
    <row r="1957" spans="1:6" ht="14.4" thickBot="1" x14ac:dyDescent="0.35">
      <c r="A1957" s="4" t="s">
        <v>252</v>
      </c>
      <c r="B1957" s="4" t="s">
        <v>253</v>
      </c>
      <c r="C1957" s="4" t="s">
        <v>252</v>
      </c>
      <c r="D1957" s="4" t="s">
        <v>3502</v>
      </c>
      <c r="E1957" s="4" t="s">
        <v>3503</v>
      </c>
      <c r="F1957" s="4" t="s">
        <v>3502</v>
      </c>
    </row>
    <row r="1958" spans="1:6" ht="14.4" thickBot="1" x14ac:dyDescent="0.35">
      <c r="A1958" s="4" t="s">
        <v>252</v>
      </c>
      <c r="B1958" s="4" t="s">
        <v>253</v>
      </c>
      <c r="C1958" s="4" t="s">
        <v>252</v>
      </c>
      <c r="D1958" s="4" t="s">
        <v>2053</v>
      </c>
      <c r="E1958" s="4" t="s">
        <v>2054</v>
      </c>
      <c r="F1958" s="4" t="s">
        <v>2053</v>
      </c>
    </row>
    <row r="1959" spans="1:6" ht="14.4" thickBot="1" x14ac:dyDescent="0.35">
      <c r="A1959" s="4" t="s">
        <v>252</v>
      </c>
      <c r="B1959" s="4" t="s">
        <v>253</v>
      </c>
      <c r="C1959" s="4" t="s">
        <v>252</v>
      </c>
      <c r="D1959" s="4" t="s">
        <v>1251</v>
      </c>
      <c r="E1959" s="4" t="s">
        <v>1252</v>
      </c>
      <c r="F1959" s="4" t="s">
        <v>1251</v>
      </c>
    </row>
    <row r="1960" spans="1:6" ht="14.4" thickBot="1" x14ac:dyDescent="0.35">
      <c r="A1960" s="4" t="s">
        <v>252</v>
      </c>
      <c r="B1960" s="4" t="s">
        <v>253</v>
      </c>
      <c r="C1960" s="4" t="s">
        <v>252</v>
      </c>
      <c r="D1960" s="4" t="s">
        <v>4986</v>
      </c>
      <c r="E1960" s="4" t="s">
        <v>4987</v>
      </c>
      <c r="F1960" s="4" t="s">
        <v>4986</v>
      </c>
    </row>
    <row r="1961" spans="1:6" ht="14.4" thickBot="1" x14ac:dyDescent="0.35">
      <c r="A1961" s="4" t="s">
        <v>252</v>
      </c>
      <c r="B1961" s="4" t="s">
        <v>253</v>
      </c>
      <c r="C1961" s="4" t="s">
        <v>252</v>
      </c>
      <c r="D1961" s="4" t="s">
        <v>1249</v>
      </c>
      <c r="E1961" s="4" t="s">
        <v>1250</v>
      </c>
      <c r="F1961" s="4" t="s">
        <v>1249</v>
      </c>
    </row>
    <row r="1962" spans="1:6" ht="14.4" thickBot="1" x14ac:dyDescent="0.35">
      <c r="A1962" s="4" t="s">
        <v>252</v>
      </c>
      <c r="B1962" s="4" t="s">
        <v>253</v>
      </c>
      <c r="C1962" s="4" t="s">
        <v>252</v>
      </c>
      <c r="D1962" s="4" t="s">
        <v>279</v>
      </c>
      <c r="E1962" s="4" t="s">
        <v>280</v>
      </c>
      <c r="F1962" s="4" t="s">
        <v>279</v>
      </c>
    </row>
    <row r="1963" spans="1:6" ht="14.4" thickBot="1" x14ac:dyDescent="0.35">
      <c r="A1963" s="4" t="s">
        <v>252</v>
      </c>
      <c r="B1963" s="4" t="s">
        <v>253</v>
      </c>
      <c r="C1963" s="4" t="s">
        <v>252</v>
      </c>
      <c r="D1963" s="4" t="s">
        <v>4290</v>
      </c>
      <c r="E1963" s="4" t="s">
        <v>4291</v>
      </c>
      <c r="F1963" s="4" t="s">
        <v>4290</v>
      </c>
    </row>
    <row r="1964" spans="1:6" ht="14.4" thickBot="1" x14ac:dyDescent="0.35">
      <c r="A1964" s="4" t="s">
        <v>252</v>
      </c>
      <c r="B1964" s="4" t="s">
        <v>253</v>
      </c>
      <c r="C1964" s="4" t="s">
        <v>252</v>
      </c>
      <c r="D1964" s="4" t="s">
        <v>2728</v>
      </c>
      <c r="E1964" s="4" t="s">
        <v>2729</v>
      </c>
      <c r="F1964" s="4" t="s">
        <v>2728</v>
      </c>
    </row>
    <row r="1965" spans="1:6" ht="14.4" thickBot="1" x14ac:dyDescent="0.35">
      <c r="A1965" s="4" t="s">
        <v>252</v>
      </c>
      <c r="B1965" s="4" t="s">
        <v>253</v>
      </c>
      <c r="C1965" s="4" t="s">
        <v>252</v>
      </c>
      <c r="D1965" s="4" t="s">
        <v>1211</v>
      </c>
      <c r="E1965" s="4" t="s">
        <v>1212</v>
      </c>
      <c r="F1965" s="4" t="s">
        <v>1211</v>
      </c>
    </row>
    <row r="1966" spans="1:6" ht="14.4" thickBot="1" x14ac:dyDescent="0.35">
      <c r="A1966" s="4" t="s">
        <v>252</v>
      </c>
      <c r="B1966" s="4" t="s">
        <v>253</v>
      </c>
      <c r="C1966" s="4" t="s">
        <v>252</v>
      </c>
      <c r="D1966" s="4" t="s">
        <v>2700</v>
      </c>
      <c r="E1966" s="4" t="s">
        <v>2701</v>
      </c>
      <c r="F1966" s="4" t="s">
        <v>2700</v>
      </c>
    </row>
    <row r="1967" spans="1:6" ht="14.4" thickBot="1" x14ac:dyDescent="0.35">
      <c r="A1967" s="4" t="s">
        <v>252</v>
      </c>
      <c r="B1967" s="4" t="s">
        <v>253</v>
      </c>
      <c r="C1967" s="4" t="s">
        <v>252</v>
      </c>
      <c r="D1967" s="4" t="s">
        <v>293</v>
      </c>
      <c r="E1967" s="4" t="s">
        <v>294</v>
      </c>
      <c r="F1967" s="4" t="s">
        <v>293</v>
      </c>
    </row>
    <row r="1968" spans="1:6" ht="14.4" thickBot="1" x14ac:dyDescent="0.35">
      <c r="A1968" s="4" t="s">
        <v>252</v>
      </c>
      <c r="B1968" s="4" t="s">
        <v>253</v>
      </c>
      <c r="C1968" s="4" t="s">
        <v>252</v>
      </c>
      <c r="D1968" s="4" t="s">
        <v>4980</v>
      </c>
      <c r="E1968" s="4" t="s">
        <v>4981</v>
      </c>
      <c r="F1968" s="4" t="s">
        <v>4980</v>
      </c>
    </row>
    <row r="1969" spans="1:6" ht="14.4" thickBot="1" x14ac:dyDescent="0.35">
      <c r="A1969" s="4" t="s">
        <v>252</v>
      </c>
      <c r="B1969" s="4" t="s">
        <v>253</v>
      </c>
      <c r="C1969" s="4" t="s">
        <v>252</v>
      </c>
      <c r="D1969" s="4" t="s">
        <v>3494</v>
      </c>
      <c r="E1969" s="4" t="s">
        <v>3495</v>
      </c>
      <c r="F1969" s="4" t="s">
        <v>3494</v>
      </c>
    </row>
    <row r="1970" spans="1:6" ht="14.4" thickBot="1" x14ac:dyDescent="0.35">
      <c r="A1970" s="4" t="s">
        <v>252</v>
      </c>
      <c r="B1970" s="4" t="s">
        <v>253</v>
      </c>
      <c r="C1970" s="4" t="s">
        <v>252</v>
      </c>
      <c r="D1970" s="4" t="s">
        <v>4307</v>
      </c>
      <c r="E1970" s="4" t="s">
        <v>4308</v>
      </c>
      <c r="F1970" s="4" t="s">
        <v>4307</v>
      </c>
    </row>
    <row r="1971" spans="1:6" ht="14.4" thickBot="1" x14ac:dyDescent="0.35">
      <c r="A1971" s="4" t="s">
        <v>252</v>
      </c>
      <c r="B1971" s="4" t="s">
        <v>253</v>
      </c>
      <c r="C1971" s="4" t="s">
        <v>252</v>
      </c>
      <c r="D1971" s="4" t="s">
        <v>4305</v>
      </c>
      <c r="E1971" s="4" t="s">
        <v>4306</v>
      </c>
      <c r="F1971" s="4" t="s">
        <v>4305</v>
      </c>
    </row>
    <row r="1972" spans="1:6" ht="14.4" thickBot="1" x14ac:dyDescent="0.35">
      <c r="A1972" s="4" t="s">
        <v>252</v>
      </c>
      <c r="B1972" s="4" t="s">
        <v>253</v>
      </c>
      <c r="C1972" s="4" t="s">
        <v>252</v>
      </c>
      <c r="D1972" s="4" t="s">
        <v>4303</v>
      </c>
      <c r="E1972" s="4" t="s">
        <v>4304</v>
      </c>
      <c r="F1972" s="4" t="s">
        <v>4303</v>
      </c>
    </row>
    <row r="1973" spans="1:6" ht="14.4" thickBot="1" x14ac:dyDescent="0.35">
      <c r="A1973" s="4" t="s">
        <v>252</v>
      </c>
      <c r="B1973" s="4" t="s">
        <v>253</v>
      </c>
      <c r="C1973" s="4" t="s">
        <v>252</v>
      </c>
      <c r="D1973" s="4" t="s">
        <v>3492</v>
      </c>
      <c r="E1973" s="4" t="s">
        <v>3493</v>
      </c>
      <c r="F1973" s="4" t="s">
        <v>3492</v>
      </c>
    </row>
    <row r="1974" spans="1:6" ht="14.4" thickBot="1" x14ac:dyDescent="0.35">
      <c r="A1974" s="4" t="s">
        <v>252</v>
      </c>
      <c r="B1974" s="4" t="s">
        <v>253</v>
      </c>
      <c r="C1974" s="4" t="s">
        <v>252</v>
      </c>
      <c r="D1974" s="4" t="s">
        <v>2724</v>
      </c>
      <c r="E1974" s="4" t="s">
        <v>2725</v>
      </c>
      <c r="F1974" s="4" t="s">
        <v>2724</v>
      </c>
    </row>
    <row r="1975" spans="1:6" ht="14.4" thickBot="1" x14ac:dyDescent="0.35">
      <c r="A1975" s="4" t="s">
        <v>252</v>
      </c>
      <c r="B1975" s="4" t="s">
        <v>253</v>
      </c>
      <c r="C1975" s="4" t="s">
        <v>252</v>
      </c>
      <c r="D1975" s="4" t="s">
        <v>4302</v>
      </c>
      <c r="E1975" s="4" t="s">
        <v>3038</v>
      </c>
      <c r="F1975" s="4" t="s">
        <v>4302</v>
      </c>
    </row>
    <row r="1976" spans="1:6" ht="14.4" thickBot="1" x14ac:dyDescent="0.35">
      <c r="A1976" s="4" t="s">
        <v>252</v>
      </c>
      <c r="B1976" s="4" t="s">
        <v>253</v>
      </c>
      <c r="C1976" s="4" t="s">
        <v>252</v>
      </c>
      <c r="D1976" s="4" t="s">
        <v>4979</v>
      </c>
      <c r="E1976" s="4" t="s">
        <v>4911</v>
      </c>
      <c r="F1976" s="4" t="s">
        <v>4979</v>
      </c>
    </row>
    <row r="1977" spans="1:6" ht="14.4" thickBot="1" x14ac:dyDescent="0.35">
      <c r="A1977" s="4" t="s">
        <v>252</v>
      </c>
      <c r="B1977" s="4" t="s">
        <v>253</v>
      </c>
      <c r="C1977" s="4" t="s">
        <v>252</v>
      </c>
      <c r="D1977" s="4" t="s">
        <v>2030</v>
      </c>
      <c r="E1977" s="4" t="s">
        <v>2031</v>
      </c>
      <c r="F1977" s="4" t="s">
        <v>2030</v>
      </c>
    </row>
    <row r="1978" spans="1:6" ht="14.4" thickBot="1" x14ac:dyDescent="0.35">
      <c r="A1978" s="4" t="s">
        <v>252</v>
      </c>
      <c r="B1978" s="4" t="s">
        <v>253</v>
      </c>
      <c r="C1978" s="4" t="s">
        <v>252</v>
      </c>
      <c r="D1978" s="4" t="s">
        <v>289</v>
      </c>
      <c r="E1978" s="4" t="s">
        <v>290</v>
      </c>
      <c r="F1978" s="4" t="s">
        <v>289</v>
      </c>
    </row>
    <row r="1979" spans="1:6" ht="14.4" thickBot="1" x14ac:dyDescent="0.35">
      <c r="A1979" s="4" t="s">
        <v>252</v>
      </c>
      <c r="B1979" s="4" t="s">
        <v>253</v>
      </c>
      <c r="C1979" s="4" t="s">
        <v>252</v>
      </c>
      <c r="D1979" s="4" t="s">
        <v>4940</v>
      </c>
      <c r="E1979" s="4" t="s">
        <v>4941</v>
      </c>
      <c r="F1979" s="4" t="s">
        <v>4940</v>
      </c>
    </row>
    <row r="1980" spans="1:6" ht="14.4" thickBot="1" x14ac:dyDescent="0.35">
      <c r="A1980" s="4" t="s">
        <v>252</v>
      </c>
      <c r="B1980" s="4" t="s">
        <v>253</v>
      </c>
      <c r="C1980" s="4" t="s">
        <v>252</v>
      </c>
      <c r="D1980" s="4" t="s">
        <v>4976</v>
      </c>
      <c r="E1980" s="4" t="s">
        <v>4369</v>
      </c>
      <c r="F1980" s="4" t="s">
        <v>4976</v>
      </c>
    </row>
    <row r="1981" spans="1:6" ht="14.4" thickBot="1" x14ac:dyDescent="0.35">
      <c r="A1981" s="4" t="s">
        <v>252</v>
      </c>
      <c r="B1981" s="4" t="s">
        <v>253</v>
      </c>
      <c r="C1981" s="4" t="s">
        <v>252</v>
      </c>
      <c r="D1981" s="4" t="s">
        <v>2722</v>
      </c>
      <c r="E1981" s="4" t="s">
        <v>2723</v>
      </c>
      <c r="F1981" s="4" t="s">
        <v>2722</v>
      </c>
    </row>
    <row r="1982" spans="1:6" ht="14.4" thickBot="1" x14ac:dyDescent="0.35">
      <c r="A1982" s="4" t="s">
        <v>252</v>
      </c>
      <c r="B1982" s="4" t="s">
        <v>253</v>
      </c>
      <c r="C1982" s="4" t="s">
        <v>252</v>
      </c>
      <c r="D1982" s="4" t="s">
        <v>2045</v>
      </c>
      <c r="E1982" s="4" t="s">
        <v>2046</v>
      </c>
      <c r="F1982" s="4" t="s">
        <v>2045</v>
      </c>
    </row>
    <row r="1983" spans="1:6" ht="14.4" thickBot="1" x14ac:dyDescent="0.35">
      <c r="A1983" s="4" t="s">
        <v>252</v>
      </c>
      <c r="B1983" s="4" t="s">
        <v>253</v>
      </c>
      <c r="C1983" s="4" t="s">
        <v>252</v>
      </c>
      <c r="D1983" s="4" t="s">
        <v>3490</v>
      </c>
      <c r="E1983" s="4" t="s">
        <v>3491</v>
      </c>
      <c r="F1983" s="4" t="s">
        <v>3490</v>
      </c>
    </row>
    <row r="1984" spans="1:6" ht="14.4" thickBot="1" x14ac:dyDescent="0.35">
      <c r="A1984" s="4" t="s">
        <v>252</v>
      </c>
      <c r="B1984" s="4" t="s">
        <v>253</v>
      </c>
      <c r="C1984" s="4" t="s">
        <v>252</v>
      </c>
      <c r="D1984" s="4" t="s">
        <v>2720</v>
      </c>
      <c r="E1984" s="4" t="s">
        <v>2721</v>
      </c>
      <c r="F1984" s="4" t="s">
        <v>2720</v>
      </c>
    </row>
    <row r="1985" spans="1:6" ht="14.4" thickBot="1" x14ac:dyDescent="0.35">
      <c r="A1985" s="4" t="s">
        <v>252</v>
      </c>
      <c r="B1985" s="4" t="s">
        <v>253</v>
      </c>
      <c r="C1985" s="4" t="s">
        <v>252</v>
      </c>
      <c r="D1985" s="4" t="s">
        <v>287</v>
      </c>
      <c r="E1985" s="4" t="s">
        <v>288</v>
      </c>
      <c r="F1985" s="4" t="s">
        <v>287</v>
      </c>
    </row>
    <row r="1986" spans="1:6" ht="14.4" thickBot="1" x14ac:dyDescent="0.35">
      <c r="A1986" s="4" t="s">
        <v>252</v>
      </c>
      <c r="B1986" s="4" t="s">
        <v>253</v>
      </c>
      <c r="C1986" s="4" t="s">
        <v>252</v>
      </c>
      <c r="D1986" s="4" t="s">
        <v>3488</v>
      </c>
      <c r="E1986" s="4" t="s">
        <v>3489</v>
      </c>
      <c r="F1986" s="4" t="s">
        <v>3488</v>
      </c>
    </row>
    <row r="1987" spans="1:6" ht="14.4" thickBot="1" x14ac:dyDescent="0.35">
      <c r="A1987" s="4" t="s">
        <v>252</v>
      </c>
      <c r="B1987" s="4" t="s">
        <v>253</v>
      </c>
      <c r="C1987" s="4" t="s">
        <v>252</v>
      </c>
      <c r="D1987" s="4" t="s">
        <v>2034</v>
      </c>
      <c r="E1987" s="4" t="s">
        <v>2035</v>
      </c>
      <c r="F1987" s="4" t="s">
        <v>2034</v>
      </c>
    </row>
    <row r="1988" spans="1:6" ht="14.4" thickBot="1" x14ac:dyDescent="0.35">
      <c r="A1988" s="4" t="s">
        <v>252</v>
      </c>
      <c r="B1988" s="4" t="s">
        <v>253</v>
      </c>
      <c r="C1988" s="4" t="s">
        <v>252</v>
      </c>
      <c r="D1988" s="4" t="s">
        <v>4288</v>
      </c>
      <c r="E1988" s="4" t="s">
        <v>4289</v>
      </c>
      <c r="F1988" s="4" t="s">
        <v>4288</v>
      </c>
    </row>
    <row r="1989" spans="1:6" ht="14.4" thickBot="1" x14ac:dyDescent="0.35">
      <c r="A1989" s="4" t="s">
        <v>252</v>
      </c>
      <c r="B1989" s="4" t="s">
        <v>253</v>
      </c>
      <c r="C1989" s="4" t="s">
        <v>252</v>
      </c>
      <c r="D1989" s="4" t="s">
        <v>4984</v>
      </c>
      <c r="E1989" s="4" t="s">
        <v>4985</v>
      </c>
      <c r="F1989" s="4" t="s">
        <v>4984</v>
      </c>
    </row>
    <row r="1990" spans="1:6" ht="14.4" thickBot="1" x14ac:dyDescent="0.35">
      <c r="A1990" s="4" t="s">
        <v>252</v>
      </c>
      <c r="B1990" s="4" t="s">
        <v>253</v>
      </c>
      <c r="C1990" s="4" t="s">
        <v>252</v>
      </c>
      <c r="D1990" s="4" t="s">
        <v>3466</v>
      </c>
      <c r="E1990" s="4" t="s">
        <v>3467</v>
      </c>
      <c r="F1990" s="4" t="s">
        <v>3466</v>
      </c>
    </row>
    <row r="1991" spans="1:6" ht="14.4" thickBot="1" x14ac:dyDescent="0.35">
      <c r="A1991" s="4" t="s">
        <v>252</v>
      </c>
      <c r="B1991" s="4" t="s">
        <v>253</v>
      </c>
      <c r="C1991" s="4" t="s">
        <v>252</v>
      </c>
      <c r="D1991" s="4" t="s">
        <v>295</v>
      </c>
      <c r="E1991" s="4" t="s">
        <v>296</v>
      </c>
      <c r="F1991" s="4" t="s">
        <v>295</v>
      </c>
    </row>
    <row r="1992" spans="1:6" ht="14.4" thickBot="1" x14ac:dyDescent="0.35">
      <c r="A1992" s="4" t="s">
        <v>252</v>
      </c>
      <c r="B1992" s="4" t="s">
        <v>253</v>
      </c>
      <c r="C1992" s="4" t="s">
        <v>252</v>
      </c>
      <c r="D1992" s="4" t="s">
        <v>5683</v>
      </c>
      <c r="E1992" s="4" t="s">
        <v>5684</v>
      </c>
      <c r="F1992" s="4" t="s">
        <v>5683</v>
      </c>
    </row>
    <row r="1993" spans="1:6" ht="14.4" thickBot="1" x14ac:dyDescent="0.35">
      <c r="A1993" s="4" t="s">
        <v>252</v>
      </c>
      <c r="B1993" s="4" t="s">
        <v>253</v>
      </c>
      <c r="C1993" s="4" t="s">
        <v>252</v>
      </c>
      <c r="D1993" s="4" t="s">
        <v>291</v>
      </c>
      <c r="E1993" s="4" t="s">
        <v>292</v>
      </c>
      <c r="F1993" s="4" t="s">
        <v>291</v>
      </c>
    </row>
    <row r="1994" spans="1:6" ht="14.4" thickBot="1" x14ac:dyDescent="0.35">
      <c r="A1994" s="4" t="s">
        <v>252</v>
      </c>
      <c r="B1994" s="4" t="s">
        <v>253</v>
      </c>
      <c r="C1994" s="4" t="s">
        <v>252</v>
      </c>
      <c r="D1994" s="4" t="s">
        <v>4278</v>
      </c>
      <c r="E1994" s="4" t="s">
        <v>4279</v>
      </c>
      <c r="F1994" s="4" t="s">
        <v>4278</v>
      </c>
    </row>
    <row r="1995" spans="1:6" ht="14.4" thickBot="1" x14ac:dyDescent="0.35">
      <c r="A1995" s="4" t="s">
        <v>252</v>
      </c>
      <c r="B1995" s="4" t="s">
        <v>253</v>
      </c>
      <c r="C1995" s="4" t="s">
        <v>252</v>
      </c>
      <c r="D1995" s="4" t="s">
        <v>2732</v>
      </c>
      <c r="E1995" s="4" t="s">
        <v>2733</v>
      </c>
      <c r="F1995" s="4" t="s">
        <v>2732</v>
      </c>
    </row>
    <row r="1996" spans="1:6" ht="14.4" thickBot="1" x14ac:dyDescent="0.35">
      <c r="A1996" s="4" t="s">
        <v>252</v>
      </c>
      <c r="B1996" s="4" t="s">
        <v>253</v>
      </c>
      <c r="C1996" s="4" t="s">
        <v>252</v>
      </c>
      <c r="D1996" s="4" t="s">
        <v>2047</v>
      </c>
      <c r="E1996" s="4" t="s">
        <v>2048</v>
      </c>
      <c r="F1996" s="4" t="s">
        <v>2047</v>
      </c>
    </row>
    <row r="1997" spans="1:6" ht="14.4" thickBot="1" x14ac:dyDescent="0.35">
      <c r="A1997" s="4" t="s">
        <v>252</v>
      </c>
      <c r="B1997" s="4" t="s">
        <v>253</v>
      </c>
      <c r="C1997" s="4" t="s">
        <v>252</v>
      </c>
      <c r="D1997" s="4" t="s">
        <v>299</v>
      </c>
      <c r="E1997" s="4" t="s">
        <v>300</v>
      </c>
      <c r="F1997" s="4" t="s">
        <v>299</v>
      </c>
    </row>
    <row r="1998" spans="1:6" ht="14.4" thickBot="1" x14ac:dyDescent="0.35">
      <c r="A1998" s="4" t="s">
        <v>252</v>
      </c>
      <c r="B1998" s="4" t="s">
        <v>253</v>
      </c>
      <c r="C1998" s="4" t="s">
        <v>252</v>
      </c>
      <c r="D1998" s="4" t="s">
        <v>4935</v>
      </c>
      <c r="E1998" s="4" t="s">
        <v>4936</v>
      </c>
      <c r="F1998" s="4" t="s">
        <v>4935</v>
      </c>
    </row>
    <row r="1999" spans="1:6" ht="14.4" thickBot="1" x14ac:dyDescent="0.35">
      <c r="A1999" s="4" t="s">
        <v>252</v>
      </c>
      <c r="B1999" s="4" t="s">
        <v>253</v>
      </c>
      <c r="C1999" s="4" t="s">
        <v>252</v>
      </c>
      <c r="D1999" s="4" t="s">
        <v>4286</v>
      </c>
      <c r="E1999" s="4" t="s">
        <v>4287</v>
      </c>
      <c r="F1999" s="4" t="s">
        <v>4286</v>
      </c>
    </row>
    <row r="2000" spans="1:6" ht="14.4" thickBot="1" x14ac:dyDescent="0.35">
      <c r="A2000" s="4" t="s">
        <v>252</v>
      </c>
      <c r="B2000" s="4" t="s">
        <v>253</v>
      </c>
      <c r="C2000" s="4" t="s">
        <v>252</v>
      </c>
      <c r="D2000" s="4" t="s">
        <v>4974</v>
      </c>
      <c r="E2000" s="4" t="s">
        <v>4975</v>
      </c>
      <c r="F2000" s="4" t="s">
        <v>4974</v>
      </c>
    </row>
    <row r="2001" spans="1:6" ht="14.4" thickBot="1" x14ac:dyDescent="0.35">
      <c r="A2001" s="4" t="s">
        <v>252</v>
      </c>
      <c r="B2001" s="4" t="s">
        <v>253</v>
      </c>
      <c r="C2001" s="4" t="s">
        <v>252</v>
      </c>
      <c r="D2001" s="4" t="s">
        <v>1247</v>
      </c>
      <c r="E2001" s="4" t="s">
        <v>1248</v>
      </c>
      <c r="F2001" s="4" t="s">
        <v>1247</v>
      </c>
    </row>
    <row r="2002" spans="1:6" ht="14.4" thickBot="1" x14ac:dyDescent="0.35">
      <c r="A2002" s="4" t="s">
        <v>252</v>
      </c>
      <c r="B2002" s="4" t="s">
        <v>253</v>
      </c>
      <c r="C2002" s="4" t="s">
        <v>252</v>
      </c>
      <c r="D2002" s="4" t="s">
        <v>3506</v>
      </c>
      <c r="E2002" s="4" t="s">
        <v>3507</v>
      </c>
      <c r="F2002" s="4" t="s">
        <v>3506</v>
      </c>
    </row>
    <row r="2003" spans="1:6" ht="14.4" thickBot="1" x14ac:dyDescent="0.35">
      <c r="A2003" s="4" t="s">
        <v>252</v>
      </c>
      <c r="B2003" s="4" t="s">
        <v>253</v>
      </c>
      <c r="C2003" s="4" t="s">
        <v>252</v>
      </c>
      <c r="D2003" s="4" t="s">
        <v>2043</v>
      </c>
      <c r="E2003" s="4" t="s">
        <v>2044</v>
      </c>
      <c r="F2003" s="4" t="s">
        <v>2043</v>
      </c>
    </row>
    <row r="2004" spans="1:6" ht="14.4" thickBot="1" x14ac:dyDescent="0.35">
      <c r="A2004" s="4" t="s">
        <v>252</v>
      </c>
      <c r="B2004" s="4" t="s">
        <v>253</v>
      </c>
      <c r="C2004" s="4" t="s">
        <v>252</v>
      </c>
      <c r="D2004" s="4" t="s">
        <v>1253</v>
      </c>
      <c r="E2004" s="4" t="s">
        <v>1254</v>
      </c>
      <c r="F2004" s="4" t="s">
        <v>1253</v>
      </c>
    </row>
    <row r="2005" spans="1:6" ht="14.4" thickBot="1" x14ac:dyDescent="0.35">
      <c r="A2005" s="4" t="s">
        <v>252</v>
      </c>
      <c r="B2005" s="4" t="s">
        <v>253</v>
      </c>
      <c r="C2005" s="4" t="s">
        <v>252</v>
      </c>
      <c r="D2005" s="4" t="s">
        <v>4968</v>
      </c>
      <c r="E2005" s="4" t="s">
        <v>4969</v>
      </c>
      <c r="F2005" s="4" t="s">
        <v>4968</v>
      </c>
    </row>
    <row r="2006" spans="1:6" ht="14.4" thickBot="1" x14ac:dyDescent="0.35">
      <c r="A2006" s="4" t="s">
        <v>252</v>
      </c>
      <c r="B2006" s="4" t="s">
        <v>253</v>
      </c>
      <c r="C2006" s="4" t="s">
        <v>252</v>
      </c>
      <c r="D2006" s="4" t="s">
        <v>3486</v>
      </c>
      <c r="E2006" s="4" t="s">
        <v>3487</v>
      </c>
      <c r="F2006" s="4" t="s">
        <v>3486</v>
      </c>
    </row>
    <row r="2007" spans="1:6" ht="14.4" thickBot="1" x14ac:dyDescent="0.35">
      <c r="A2007" s="4" t="s">
        <v>252</v>
      </c>
      <c r="B2007" s="4" t="s">
        <v>253</v>
      </c>
      <c r="C2007" s="4" t="s">
        <v>252</v>
      </c>
      <c r="D2007" s="4" t="s">
        <v>1207</v>
      </c>
      <c r="E2007" s="4" t="s">
        <v>1208</v>
      </c>
      <c r="F2007" s="4" t="s">
        <v>1207</v>
      </c>
    </row>
    <row r="2008" spans="1:6" ht="14.4" thickBot="1" x14ac:dyDescent="0.35">
      <c r="A2008" s="4" t="s">
        <v>252</v>
      </c>
      <c r="B2008" s="4" t="s">
        <v>253</v>
      </c>
      <c r="C2008" s="4" t="s">
        <v>252</v>
      </c>
      <c r="D2008" s="4" t="s">
        <v>2041</v>
      </c>
      <c r="E2008" s="4" t="s">
        <v>2042</v>
      </c>
      <c r="F2008" s="4" t="s">
        <v>2041</v>
      </c>
    </row>
    <row r="2009" spans="1:6" ht="14.4" thickBot="1" x14ac:dyDescent="0.35">
      <c r="A2009" s="4" t="s">
        <v>252</v>
      </c>
      <c r="B2009" s="4" t="s">
        <v>253</v>
      </c>
      <c r="C2009" s="4" t="s">
        <v>252</v>
      </c>
      <c r="D2009" s="4" t="s">
        <v>3504</v>
      </c>
      <c r="E2009" s="4" t="s">
        <v>3505</v>
      </c>
      <c r="F2009" s="4" t="s">
        <v>3504</v>
      </c>
    </row>
    <row r="2010" spans="1:6" ht="14.4" thickBot="1" x14ac:dyDescent="0.35">
      <c r="A2010" s="4" t="s">
        <v>252</v>
      </c>
      <c r="B2010" s="4" t="s">
        <v>253</v>
      </c>
      <c r="C2010" s="4" t="s">
        <v>252</v>
      </c>
      <c r="D2010" s="4" t="s">
        <v>4982</v>
      </c>
      <c r="E2010" s="4" t="s">
        <v>4983</v>
      </c>
      <c r="F2010" s="4" t="s">
        <v>4982</v>
      </c>
    </row>
    <row r="2011" spans="1:6" ht="14.4" thickBot="1" x14ac:dyDescent="0.35">
      <c r="A2011" s="4" t="s">
        <v>252</v>
      </c>
      <c r="B2011" s="4" t="s">
        <v>253</v>
      </c>
      <c r="C2011" s="4" t="s">
        <v>252</v>
      </c>
      <c r="D2011" s="4" t="s">
        <v>1243</v>
      </c>
      <c r="E2011" s="4" t="s">
        <v>1244</v>
      </c>
      <c r="F2011" s="4" t="s">
        <v>1243</v>
      </c>
    </row>
    <row r="2012" spans="1:6" ht="14.4" thickBot="1" x14ac:dyDescent="0.35">
      <c r="A2012" s="4" t="s">
        <v>252</v>
      </c>
      <c r="B2012" s="4" t="s">
        <v>253</v>
      </c>
      <c r="C2012" s="4" t="s">
        <v>252</v>
      </c>
      <c r="D2012" s="4" t="s">
        <v>4972</v>
      </c>
      <c r="E2012" s="4" t="s">
        <v>4973</v>
      </c>
      <c r="F2012" s="4" t="s">
        <v>4972</v>
      </c>
    </row>
    <row r="2013" spans="1:6" ht="14.4" thickBot="1" x14ac:dyDescent="0.35">
      <c r="A2013" s="4" t="s">
        <v>252</v>
      </c>
      <c r="B2013" s="4" t="s">
        <v>253</v>
      </c>
      <c r="C2013" s="4" t="s">
        <v>252</v>
      </c>
      <c r="D2013" s="4" t="s">
        <v>4270</v>
      </c>
      <c r="E2013" s="4" t="s">
        <v>4271</v>
      </c>
      <c r="F2013" s="4" t="s">
        <v>4270</v>
      </c>
    </row>
    <row r="2014" spans="1:6" ht="14.4" thickBot="1" x14ac:dyDescent="0.35">
      <c r="A2014" s="4" t="s">
        <v>252</v>
      </c>
      <c r="B2014" s="4" t="s">
        <v>253</v>
      </c>
      <c r="C2014" s="4" t="s">
        <v>252</v>
      </c>
      <c r="D2014" s="4" t="s">
        <v>2051</v>
      </c>
      <c r="E2014" s="4" t="s">
        <v>2052</v>
      </c>
      <c r="F2014" s="4" t="s">
        <v>2051</v>
      </c>
    </row>
    <row r="2015" spans="1:6" ht="14.4" thickBot="1" x14ac:dyDescent="0.35">
      <c r="A2015" s="4" t="s">
        <v>323</v>
      </c>
      <c r="B2015" s="4" t="s">
        <v>324</v>
      </c>
      <c r="C2015" s="4" t="s">
        <v>323</v>
      </c>
      <c r="D2015" s="4" t="s">
        <v>2067</v>
      </c>
      <c r="E2015" s="4" t="s">
        <v>2068</v>
      </c>
      <c r="F2015" s="4" t="s">
        <v>2067</v>
      </c>
    </row>
    <row r="2016" spans="1:6" ht="14.4" thickBot="1" x14ac:dyDescent="0.35">
      <c r="A2016" s="4" t="s">
        <v>323</v>
      </c>
      <c r="B2016" s="4" t="s">
        <v>324</v>
      </c>
      <c r="C2016" s="4" t="s">
        <v>323</v>
      </c>
      <c r="D2016" s="4" t="s">
        <v>2763</v>
      </c>
      <c r="E2016" s="4" t="s">
        <v>2764</v>
      </c>
      <c r="F2016" s="4" t="s">
        <v>2763</v>
      </c>
    </row>
    <row r="2017" spans="1:6" ht="14.4" thickBot="1" x14ac:dyDescent="0.35">
      <c r="A2017" s="4" t="s">
        <v>323</v>
      </c>
      <c r="B2017" s="4" t="s">
        <v>324</v>
      </c>
      <c r="C2017" s="4" t="s">
        <v>323</v>
      </c>
      <c r="D2017" s="4" t="s">
        <v>325</v>
      </c>
      <c r="E2017" s="4" t="s">
        <v>326</v>
      </c>
      <c r="F2017" s="4" t="s">
        <v>325</v>
      </c>
    </row>
    <row r="2018" spans="1:6" ht="14.4" thickBot="1" x14ac:dyDescent="0.35">
      <c r="A2018" s="4" t="s">
        <v>3521</v>
      </c>
      <c r="B2018" s="4" t="s">
        <v>3522</v>
      </c>
      <c r="C2018" s="4" t="s">
        <v>3521</v>
      </c>
      <c r="D2018" s="4" t="s">
        <v>3523</v>
      </c>
      <c r="E2018" s="4" t="s">
        <v>3524</v>
      </c>
      <c r="F2018" s="4" t="s">
        <v>3523</v>
      </c>
    </row>
    <row r="2019" spans="1:6" ht="14.4" thickBot="1" x14ac:dyDescent="0.35">
      <c r="A2019" s="4" t="s">
        <v>3521</v>
      </c>
      <c r="B2019" s="4" t="s">
        <v>3522</v>
      </c>
      <c r="C2019" s="4" t="s">
        <v>3521</v>
      </c>
      <c r="D2019" s="4" t="s">
        <v>4323</v>
      </c>
      <c r="E2019" s="4" t="s">
        <v>4324</v>
      </c>
      <c r="F2019" s="4" t="s">
        <v>4323</v>
      </c>
    </row>
    <row r="2020" spans="1:6" ht="14.4" thickBot="1" x14ac:dyDescent="0.35">
      <c r="A2020" s="4" t="s">
        <v>4217</v>
      </c>
      <c r="B2020" s="4" t="s">
        <v>5703</v>
      </c>
      <c r="C2020" s="4" t="s">
        <v>4217</v>
      </c>
      <c r="D2020" s="4" t="s">
        <v>5704</v>
      </c>
      <c r="E2020" s="4" t="s">
        <v>5705</v>
      </c>
      <c r="F2020" s="4" t="s">
        <v>5704</v>
      </c>
    </row>
    <row r="2021" spans="1:6" ht="14.4" thickBot="1" x14ac:dyDescent="0.35">
      <c r="A2021" s="4" t="s">
        <v>2765</v>
      </c>
      <c r="B2021" s="4" t="s">
        <v>2766</v>
      </c>
      <c r="C2021" s="4" t="s">
        <v>2765</v>
      </c>
      <c r="D2021" s="4" t="s">
        <v>2767</v>
      </c>
      <c r="E2021" s="4" t="s">
        <v>2768</v>
      </c>
      <c r="F2021" s="4" t="s">
        <v>2767</v>
      </c>
    </row>
    <row r="2022" spans="1:6" ht="14.4" thickBot="1" x14ac:dyDescent="0.35">
      <c r="A2022" s="4" t="s">
        <v>827</v>
      </c>
      <c r="B2022" s="4" t="s">
        <v>828</v>
      </c>
      <c r="C2022" s="4" t="s">
        <v>827</v>
      </c>
      <c r="D2022" s="4" t="s">
        <v>3982</v>
      </c>
      <c r="E2022" s="4" t="s">
        <v>1577</v>
      </c>
      <c r="F2022" s="4" t="s">
        <v>3982</v>
      </c>
    </row>
    <row r="2023" spans="1:6" ht="14.4" thickBot="1" x14ac:dyDescent="0.35">
      <c r="A2023" s="4" t="s">
        <v>827</v>
      </c>
      <c r="B2023" s="4" t="s">
        <v>828</v>
      </c>
      <c r="C2023" s="4" t="s">
        <v>827</v>
      </c>
      <c r="D2023" s="4" t="s">
        <v>4673</v>
      </c>
      <c r="E2023" s="4" t="s">
        <v>4674</v>
      </c>
      <c r="F2023" s="4" t="s">
        <v>4673</v>
      </c>
    </row>
    <row r="2024" spans="1:6" ht="14.4" thickBot="1" x14ac:dyDescent="0.35">
      <c r="A2024" s="4" t="s">
        <v>827</v>
      </c>
      <c r="B2024" s="4" t="s">
        <v>828</v>
      </c>
      <c r="C2024" s="4" t="s">
        <v>827</v>
      </c>
      <c r="D2024" s="4" t="s">
        <v>829</v>
      </c>
      <c r="E2024" s="4" t="s">
        <v>830</v>
      </c>
      <c r="F2024" s="4" t="s">
        <v>829</v>
      </c>
    </row>
    <row r="2025" spans="1:6" ht="14.4" thickBot="1" x14ac:dyDescent="0.35">
      <c r="A2025" s="4" t="s">
        <v>2069</v>
      </c>
      <c r="B2025" s="4" t="s">
        <v>2070</v>
      </c>
      <c r="C2025" s="4" t="s">
        <v>2069</v>
      </c>
      <c r="D2025" s="4" t="s">
        <v>2071</v>
      </c>
      <c r="E2025" s="4" t="s">
        <v>2072</v>
      </c>
      <c r="F2025" s="4" t="s">
        <v>2071</v>
      </c>
    </row>
    <row r="2026" spans="1:6" ht="14.4" thickBot="1" x14ac:dyDescent="0.35">
      <c r="A2026" s="4" t="s">
        <v>328</v>
      </c>
      <c r="B2026" s="4" t="s">
        <v>329</v>
      </c>
      <c r="C2026" s="4" t="s">
        <v>328</v>
      </c>
      <c r="D2026" s="4" t="s">
        <v>4325</v>
      </c>
      <c r="E2026" s="4" t="s">
        <v>4326</v>
      </c>
      <c r="F2026" s="4" t="s">
        <v>4325</v>
      </c>
    </row>
    <row r="2027" spans="1:6" ht="14.4" thickBot="1" x14ac:dyDescent="0.35">
      <c r="A2027" s="4" t="s">
        <v>328</v>
      </c>
      <c r="B2027" s="4" t="s">
        <v>329</v>
      </c>
      <c r="C2027" s="4" t="s">
        <v>328</v>
      </c>
      <c r="D2027" s="4" t="s">
        <v>1484</v>
      </c>
      <c r="E2027" s="4" t="s">
        <v>2073</v>
      </c>
      <c r="F2027" s="4" t="s">
        <v>1484</v>
      </c>
    </row>
    <row r="2028" spans="1:6" ht="14.4" thickBot="1" x14ac:dyDescent="0.35">
      <c r="A2028" s="4" t="s">
        <v>328</v>
      </c>
      <c r="B2028" s="4" t="s">
        <v>329</v>
      </c>
      <c r="C2028" s="4" t="s">
        <v>328</v>
      </c>
      <c r="D2028" s="4" t="s">
        <v>332</v>
      </c>
      <c r="E2028" s="4" t="s">
        <v>333</v>
      </c>
      <c r="F2028" s="4" t="s">
        <v>332</v>
      </c>
    </row>
    <row r="2029" spans="1:6" ht="14.4" thickBot="1" x14ac:dyDescent="0.35">
      <c r="A2029" s="4" t="s">
        <v>328</v>
      </c>
      <c r="B2029" s="4" t="s">
        <v>329</v>
      </c>
      <c r="C2029" s="4" t="s">
        <v>328</v>
      </c>
      <c r="D2029" s="4" t="s">
        <v>1273</v>
      </c>
      <c r="E2029" s="4" t="s">
        <v>1274</v>
      </c>
      <c r="F2029" s="4" t="s">
        <v>1273</v>
      </c>
    </row>
    <row r="2030" spans="1:6" ht="14.4" thickBot="1" x14ac:dyDescent="0.35">
      <c r="A2030" s="4" t="s">
        <v>328</v>
      </c>
      <c r="B2030" s="4" t="s">
        <v>329</v>
      </c>
      <c r="C2030" s="4" t="s">
        <v>328</v>
      </c>
      <c r="D2030" s="4" t="s">
        <v>330</v>
      </c>
      <c r="E2030" s="4" t="s">
        <v>331</v>
      </c>
      <c r="F2030" s="4" t="s">
        <v>330</v>
      </c>
    </row>
    <row r="2031" spans="1:6" ht="14.4" thickBot="1" x14ac:dyDescent="0.35">
      <c r="A2031" s="4" t="s">
        <v>335</v>
      </c>
      <c r="B2031" s="4" t="s">
        <v>336</v>
      </c>
      <c r="C2031" s="4" t="s">
        <v>335</v>
      </c>
      <c r="D2031" s="4" t="s">
        <v>1275</v>
      </c>
      <c r="E2031" s="4" t="s">
        <v>1276</v>
      </c>
      <c r="F2031" s="4" t="s">
        <v>1275</v>
      </c>
    </row>
    <row r="2032" spans="1:6" ht="14.4" thickBot="1" x14ac:dyDescent="0.35">
      <c r="A2032" s="4" t="s">
        <v>335</v>
      </c>
      <c r="B2032" s="4" t="s">
        <v>336</v>
      </c>
      <c r="C2032" s="4" t="s">
        <v>335</v>
      </c>
      <c r="D2032" s="4" t="s">
        <v>5706</v>
      </c>
      <c r="E2032" s="4" t="s">
        <v>5707</v>
      </c>
      <c r="F2032" s="4" t="s">
        <v>5706</v>
      </c>
    </row>
    <row r="2033" spans="1:6" ht="14.4" thickBot="1" x14ac:dyDescent="0.35">
      <c r="A2033" s="4" t="s">
        <v>335</v>
      </c>
      <c r="B2033" s="4" t="s">
        <v>336</v>
      </c>
      <c r="C2033" s="4" t="s">
        <v>335</v>
      </c>
      <c r="D2033" s="4" t="s">
        <v>2769</v>
      </c>
      <c r="E2033" s="4" t="s">
        <v>2770</v>
      </c>
      <c r="F2033" s="4" t="s">
        <v>2769</v>
      </c>
    </row>
    <row r="2034" spans="1:6" ht="14.4" thickBot="1" x14ac:dyDescent="0.35">
      <c r="A2034" s="4" t="s">
        <v>335</v>
      </c>
      <c r="B2034" s="4" t="s">
        <v>336</v>
      </c>
      <c r="C2034" s="4" t="s">
        <v>335</v>
      </c>
      <c r="D2034" s="4" t="s">
        <v>5708</v>
      </c>
      <c r="E2034" s="4" t="s">
        <v>5709</v>
      </c>
      <c r="F2034" s="4" t="s">
        <v>5708</v>
      </c>
    </row>
    <row r="2035" spans="1:6" ht="14.4" thickBot="1" x14ac:dyDescent="0.35">
      <c r="A2035" s="4" t="s">
        <v>335</v>
      </c>
      <c r="B2035" s="4" t="s">
        <v>336</v>
      </c>
      <c r="C2035" s="4" t="s">
        <v>335</v>
      </c>
      <c r="D2035" s="4" t="s">
        <v>5007</v>
      </c>
      <c r="E2035" s="4" t="s">
        <v>5008</v>
      </c>
      <c r="F2035" s="4" t="s">
        <v>5007</v>
      </c>
    </row>
    <row r="2036" spans="1:6" ht="14.4" thickBot="1" x14ac:dyDescent="0.35">
      <c r="A2036" s="4" t="s">
        <v>335</v>
      </c>
      <c r="B2036" s="4" t="s">
        <v>336</v>
      </c>
      <c r="C2036" s="4" t="s">
        <v>335</v>
      </c>
      <c r="D2036" s="4" t="s">
        <v>5009</v>
      </c>
      <c r="E2036" s="4" t="s">
        <v>5010</v>
      </c>
      <c r="F2036" s="4" t="s">
        <v>5009</v>
      </c>
    </row>
    <row r="2037" spans="1:6" ht="14.4" thickBot="1" x14ac:dyDescent="0.35">
      <c r="A2037" s="4" t="s">
        <v>335</v>
      </c>
      <c r="B2037" s="4" t="s">
        <v>336</v>
      </c>
      <c r="C2037" s="4" t="s">
        <v>335</v>
      </c>
      <c r="D2037" s="4" t="s">
        <v>337</v>
      </c>
      <c r="E2037" s="4" t="s">
        <v>338</v>
      </c>
      <c r="F2037" s="4" t="s">
        <v>337</v>
      </c>
    </row>
    <row r="2038" spans="1:6" ht="14.4" thickBot="1" x14ac:dyDescent="0.35">
      <c r="A2038" s="4" t="s">
        <v>339</v>
      </c>
      <c r="B2038" s="4" t="s">
        <v>340</v>
      </c>
      <c r="C2038" s="4" t="s">
        <v>339</v>
      </c>
      <c r="D2038" s="4" t="s">
        <v>2087</v>
      </c>
      <c r="E2038" s="4" t="s">
        <v>2088</v>
      </c>
      <c r="F2038" s="4" t="s">
        <v>2087</v>
      </c>
    </row>
    <row r="2039" spans="1:6" ht="14.4" thickBot="1" x14ac:dyDescent="0.35">
      <c r="A2039" s="4" t="s">
        <v>339</v>
      </c>
      <c r="B2039" s="4" t="s">
        <v>340</v>
      </c>
      <c r="C2039" s="4" t="s">
        <v>339</v>
      </c>
      <c r="D2039" s="4" t="s">
        <v>2773</v>
      </c>
      <c r="E2039" s="4" t="s">
        <v>2774</v>
      </c>
      <c r="F2039" s="4" t="s">
        <v>2773</v>
      </c>
    </row>
    <row r="2040" spans="1:6" ht="14.4" thickBot="1" x14ac:dyDescent="0.35">
      <c r="A2040" s="4" t="s">
        <v>339</v>
      </c>
      <c r="B2040" s="4" t="s">
        <v>340</v>
      </c>
      <c r="C2040" s="4" t="s">
        <v>339</v>
      </c>
      <c r="D2040" s="4" t="s">
        <v>4327</v>
      </c>
      <c r="E2040" s="4" t="s">
        <v>4328</v>
      </c>
      <c r="F2040" s="4" t="s">
        <v>4327</v>
      </c>
    </row>
    <row r="2041" spans="1:6" ht="14.4" thickBot="1" x14ac:dyDescent="0.35">
      <c r="A2041" s="4" t="s">
        <v>339</v>
      </c>
      <c r="B2041" s="4" t="s">
        <v>340</v>
      </c>
      <c r="C2041" s="4" t="s">
        <v>339</v>
      </c>
      <c r="D2041" s="4" t="s">
        <v>2775</v>
      </c>
      <c r="E2041" s="4" t="s">
        <v>2776</v>
      </c>
      <c r="F2041" s="4" t="s">
        <v>2775</v>
      </c>
    </row>
    <row r="2042" spans="1:6" ht="14.4" thickBot="1" x14ac:dyDescent="0.35">
      <c r="A2042" s="4" t="s">
        <v>339</v>
      </c>
      <c r="B2042" s="4" t="s">
        <v>340</v>
      </c>
      <c r="C2042" s="4" t="s">
        <v>339</v>
      </c>
      <c r="D2042" s="4" t="s">
        <v>3537</v>
      </c>
      <c r="E2042" s="4" t="s">
        <v>3538</v>
      </c>
      <c r="F2042" s="4" t="s">
        <v>3537</v>
      </c>
    </row>
    <row r="2043" spans="1:6" ht="14.4" thickBot="1" x14ac:dyDescent="0.35">
      <c r="A2043" s="4" t="s">
        <v>339</v>
      </c>
      <c r="B2043" s="4" t="s">
        <v>340</v>
      </c>
      <c r="C2043" s="4" t="s">
        <v>339</v>
      </c>
      <c r="D2043" s="4" t="s">
        <v>4335</v>
      </c>
      <c r="E2043" s="4" t="s">
        <v>4336</v>
      </c>
      <c r="F2043" s="4" t="s">
        <v>4335</v>
      </c>
    </row>
    <row r="2044" spans="1:6" ht="14.4" thickBot="1" x14ac:dyDescent="0.35">
      <c r="A2044" s="4" t="s">
        <v>339</v>
      </c>
      <c r="B2044" s="4" t="s">
        <v>340</v>
      </c>
      <c r="C2044" s="4" t="s">
        <v>339</v>
      </c>
      <c r="D2044" s="4" t="s">
        <v>3529</v>
      </c>
      <c r="E2044" s="4" t="s">
        <v>3530</v>
      </c>
      <c r="F2044" s="4" t="s">
        <v>3529</v>
      </c>
    </row>
    <row r="2045" spans="1:6" ht="14.4" thickBot="1" x14ac:dyDescent="0.35">
      <c r="A2045" s="4" t="s">
        <v>339</v>
      </c>
      <c r="B2045" s="4" t="s">
        <v>340</v>
      </c>
      <c r="C2045" s="4" t="s">
        <v>339</v>
      </c>
      <c r="D2045" s="4" t="s">
        <v>5710</v>
      </c>
      <c r="E2045" s="4" t="s">
        <v>5711</v>
      </c>
      <c r="F2045" s="4" t="s">
        <v>5710</v>
      </c>
    </row>
    <row r="2046" spans="1:6" ht="14.4" thickBot="1" x14ac:dyDescent="0.35">
      <c r="A2046" s="4" t="s">
        <v>339</v>
      </c>
      <c r="B2046" s="4" t="s">
        <v>340</v>
      </c>
      <c r="C2046" s="4" t="s">
        <v>339</v>
      </c>
      <c r="D2046" s="4" t="s">
        <v>1028</v>
      </c>
      <c r="E2046" s="4" t="s">
        <v>2082</v>
      </c>
      <c r="F2046" s="4" t="s">
        <v>1028</v>
      </c>
    </row>
    <row r="2047" spans="1:6" ht="14.4" thickBot="1" x14ac:dyDescent="0.35">
      <c r="A2047" s="4" t="s">
        <v>339</v>
      </c>
      <c r="B2047" s="4" t="s">
        <v>340</v>
      </c>
      <c r="C2047" s="4" t="s">
        <v>339</v>
      </c>
      <c r="D2047" s="4" t="s">
        <v>3527</v>
      </c>
      <c r="E2047" s="4" t="s">
        <v>3528</v>
      </c>
      <c r="F2047" s="4" t="s">
        <v>3527</v>
      </c>
    </row>
    <row r="2048" spans="1:6" ht="14.4" thickBot="1" x14ac:dyDescent="0.35">
      <c r="A2048" s="4" t="s">
        <v>339</v>
      </c>
      <c r="B2048" s="4" t="s">
        <v>340</v>
      </c>
      <c r="C2048" s="4" t="s">
        <v>339</v>
      </c>
      <c r="D2048" s="4" t="s">
        <v>4329</v>
      </c>
      <c r="E2048" s="4" t="s">
        <v>4330</v>
      </c>
      <c r="F2048" s="4" t="s">
        <v>4329</v>
      </c>
    </row>
    <row r="2049" spans="1:6" ht="14.4" thickBot="1" x14ac:dyDescent="0.35">
      <c r="A2049" s="4" t="s">
        <v>339</v>
      </c>
      <c r="B2049" s="4" t="s">
        <v>340</v>
      </c>
      <c r="C2049" s="4" t="s">
        <v>339</v>
      </c>
      <c r="D2049" s="4" t="s">
        <v>5712</v>
      </c>
      <c r="E2049" s="4" t="s">
        <v>5713</v>
      </c>
      <c r="F2049" s="4" t="s">
        <v>5712</v>
      </c>
    </row>
    <row r="2050" spans="1:6" ht="14.4" thickBot="1" x14ac:dyDescent="0.35">
      <c r="A2050" s="4" t="s">
        <v>339</v>
      </c>
      <c r="B2050" s="4" t="s">
        <v>340</v>
      </c>
      <c r="C2050" s="4" t="s">
        <v>339</v>
      </c>
      <c r="D2050" s="4" t="s">
        <v>2771</v>
      </c>
      <c r="E2050" s="4" t="s">
        <v>2772</v>
      </c>
      <c r="F2050" s="4" t="s">
        <v>2771</v>
      </c>
    </row>
    <row r="2051" spans="1:6" ht="14.4" thickBot="1" x14ac:dyDescent="0.35">
      <c r="A2051" s="4" t="s">
        <v>339</v>
      </c>
      <c r="B2051" s="4" t="s">
        <v>340</v>
      </c>
      <c r="C2051" s="4" t="s">
        <v>339</v>
      </c>
      <c r="D2051" s="4" t="s">
        <v>4331</v>
      </c>
      <c r="E2051" s="4" t="s">
        <v>4332</v>
      </c>
      <c r="F2051" s="4" t="s">
        <v>4331</v>
      </c>
    </row>
    <row r="2052" spans="1:6" ht="14.4" thickBot="1" x14ac:dyDescent="0.35">
      <c r="A2052" s="4" t="s">
        <v>339</v>
      </c>
      <c r="B2052" s="4" t="s">
        <v>340</v>
      </c>
      <c r="C2052" s="4" t="s">
        <v>339</v>
      </c>
      <c r="D2052" s="4" t="s">
        <v>2783</v>
      </c>
      <c r="E2052" s="4" t="s">
        <v>2784</v>
      </c>
      <c r="F2052" s="4" t="s">
        <v>2783</v>
      </c>
    </row>
    <row r="2053" spans="1:6" ht="14.4" thickBot="1" x14ac:dyDescent="0.35">
      <c r="A2053" s="4" t="s">
        <v>339</v>
      </c>
      <c r="B2053" s="4" t="s">
        <v>340</v>
      </c>
      <c r="C2053" s="4" t="s">
        <v>339</v>
      </c>
      <c r="D2053" s="4" t="s">
        <v>3525</v>
      </c>
      <c r="E2053" s="4" t="s">
        <v>3526</v>
      </c>
      <c r="F2053" s="4" t="s">
        <v>3525</v>
      </c>
    </row>
    <row r="2054" spans="1:6" ht="14.4" thickBot="1" x14ac:dyDescent="0.35">
      <c r="A2054" s="4" t="s">
        <v>339</v>
      </c>
      <c r="B2054" s="4" t="s">
        <v>340</v>
      </c>
      <c r="C2054" s="4" t="s">
        <v>339</v>
      </c>
      <c r="D2054" s="4" t="s">
        <v>2781</v>
      </c>
      <c r="E2054" s="4" t="s">
        <v>2782</v>
      </c>
      <c r="F2054" s="4" t="s">
        <v>2781</v>
      </c>
    </row>
    <row r="2055" spans="1:6" ht="14.4" thickBot="1" x14ac:dyDescent="0.35">
      <c r="A2055" s="4" t="s">
        <v>339</v>
      </c>
      <c r="B2055" s="4" t="s">
        <v>340</v>
      </c>
      <c r="C2055" s="4" t="s">
        <v>339</v>
      </c>
      <c r="D2055" s="4" t="s">
        <v>1277</v>
      </c>
      <c r="E2055" s="4" t="s">
        <v>1278</v>
      </c>
      <c r="F2055" s="4" t="s">
        <v>1277</v>
      </c>
    </row>
    <row r="2056" spans="1:6" ht="14.4" thickBot="1" x14ac:dyDescent="0.35">
      <c r="A2056" s="4" t="s">
        <v>339</v>
      </c>
      <c r="B2056" s="4" t="s">
        <v>340</v>
      </c>
      <c r="C2056" s="4" t="s">
        <v>339</v>
      </c>
      <c r="D2056" s="4" t="s">
        <v>345</v>
      </c>
      <c r="E2056" s="4" t="s">
        <v>346</v>
      </c>
      <c r="F2056" s="4" t="s">
        <v>345</v>
      </c>
    </row>
    <row r="2057" spans="1:6" ht="14.4" thickBot="1" x14ac:dyDescent="0.35">
      <c r="A2057" s="4" t="s">
        <v>339</v>
      </c>
      <c r="B2057" s="4" t="s">
        <v>340</v>
      </c>
      <c r="C2057" s="4" t="s">
        <v>339</v>
      </c>
      <c r="D2057" s="4" t="s">
        <v>351</v>
      </c>
      <c r="E2057" s="4" t="s">
        <v>352</v>
      </c>
      <c r="F2057" s="4" t="s">
        <v>351</v>
      </c>
    </row>
    <row r="2058" spans="1:6" ht="14.4" thickBot="1" x14ac:dyDescent="0.35">
      <c r="A2058" s="4" t="s">
        <v>339</v>
      </c>
      <c r="B2058" s="4" t="s">
        <v>340</v>
      </c>
      <c r="C2058" s="4" t="s">
        <v>339</v>
      </c>
      <c r="D2058" s="4" t="s">
        <v>349</v>
      </c>
      <c r="E2058" s="4" t="s">
        <v>350</v>
      </c>
      <c r="F2058" s="4" t="s">
        <v>349</v>
      </c>
    </row>
    <row r="2059" spans="1:6" ht="14.4" thickBot="1" x14ac:dyDescent="0.35">
      <c r="A2059" s="4" t="s">
        <v>339</v>
      </c>
      <c r="B2059" s="4" t="s">
        <v>340</v>
      </c>
      <c r="C2059" s="4" t="s">
        <v>339</v>
      </c>
      <c r="D2059" s="4" t="s">
        <v>2083</v>
      </c>
      <c r="E2059" s="4" t="s">
        <v>2084</v>
      </c>
      <c r="F2059" s="4" t="s">
        <v>2083</v>
      </c>
    </row>
    <row r="2060" spans="1:6" ht="14.4" thickBot="1" x14ac:dyDescent="0.35">
      <c r="A2060" s="4" t="s">
        <v>339</v>
      </c>
      <c r="B2060" s="4" t="s">
        <v>340</v>
      </c>
      <c r="C2060" s="4" t="s">
        <v>339</v>
      </c>
      <c r="D2060" s="4" t="s">
        <v>5714</v>
      </c>
      <c r="E2060" s="4" t="s">
        <v>5715</v>
      </c>
      <c r="F2060" s="4" t="s">
        <v>5714</v>
      </c>
    </row>
    <row r="2061" spans="1:6" ht="14.4" thickBot="1" x14ac:dyDescent="0.35">
      <c r="A2061" s="4" t="s">
        <v>339</v>
      </c>
      <c r="B2061" s="4" t="s">
        <v>340</v>
      </c>
      <c r="C2061" s="4" t="s">
        <v>339</v>
      </c>
      <c r="D2061" s="4" t="s">
        <v>3533</v>
      </c>
      <c r="E2061" s="4" t="s">
        <v>3534</v>
      </c>
      <c r="F2061" s="4" t="s">
        <v>3533</v>
      </c>
    </row>
    <row r="2062" spans="1:6" ht="14.4" thickBot="1" x14ac:dyDescent="0.35">
      <c r="A2062" s="4" t="s">
        <v>339</v>
      </c>
      <c r="B2062" s="4" t="s">
        <v>340</v>
      </c>
      <c r="C2062" s="4" t="s">
        <v>339</v>
      </c>
      <c r="D2062" s="4" t="s">
        <v>347</v>
      </c>
      <c r="E2062" s="4" t="s">
        <v>348</v>
      </c>
      <c r="F2062" s="4" t="s">
        <v>347</v>
      </c>
    </row>
    <row r="2063" spans="1:6" ht="14.4" thickBot="1" x14ac:dyDescent="0.35">
      <c r="A2063" s="4" t="s">
        <v>339</v>
      </c>
      <c r="B2063" s="4" t="s">
        <v>340</v>
      </c>
      <c r="C2063" s="4" t="s">
        <v>339</v>
      </c>
      <c r="D2063" s="4" t="s">
        <v>3531</v>
      </c>
      <c r="E2063" s="4" t="s">
        <v>3532</v>
      </c>
      <c r="F2063" s="4" t="s">
        <v>3531</v>
      </c>
    </row>
    <row r="2064" spans="1:6" ht="14.4" thickBot="1" x14ac:dyDescent="0.35">
      <c r="A2064" s="4" t="s">
        <v>339</v>
      </c>
      <c r="B2064" s="4" t="s">
        <v>340</v>
      </c>
      <c r="C2064" s="4" t="s">
        <v>339</v>
      </c>
      <c r="D2064" s="4" t="s">
        <v>2076</v>
      </c>
      <c r="E2064" s="4" t="s">
        <v>2077</v>
      </c>
      <c r="F2064" s="4" t="s">
        <v>2076</v>
      </c>
    </row>
    <row r="2065" spans="1:6" ht="14.4" thickBot="1" x14ac:dyDescent="0.35">
      <c r="A2065" s="4" t="s">
        <v>339</v>
      </c>
      <c r="B2065" s="4" t="s">
        <v>340</v>
      </c>
      <c r="C2065" s="4" t="s">
        <v>339</v>
      </c>
      <c r="D2065" s="4" t="s">
        <v>343</v>
      </c>
      <c r="E2065" s="4" t="s">
        <v>344</v>
      </c>
      <c r="F2065" s="4" t="s">
        <v>343</v>
      </c>
    </row>
    <row r="2066" spans="1:6" ht="14.4" thickBot="1" x14ac:dyDescent="0.35">
      <c r="A2066" s="4" t="s">
        <v>339</v>
      </c>
      <c r="B2066" s="4" t="s">
        <v>340</v>
      </c>
      <c r="C2066" s="4" t="s">
        <v>339</v>
      </c>
      <c r="D2066" s="4" t="s">
        <v>4339</v>
      </c>
      <c r="E2066" s="4" t="s">
        <v>4340</v>
      </c>
      <c r="F2066" s="4" t="s">
        <v>4339</v>
      </c>
    </row>
    <row r="2067" spans="1:6" ht="14.4" thickBot="1" x14ac:dyDescent="0.35">
      <c r="A2067" s="4" t="s">
        <v>339</v>
      </c>
      <c r="B2067" s="4" t="s">
        <v>340</v>
      </c>
      <c r="C2067" s="4" t="s">
        <v>339</v>
      </c>
      <c r="D2067" s="4" t="s">
        <v>5011</v>
      </c>
      <c r="E2067" s="4" t="s">
        <v>5012</v>
      </c>
      <c r="F2067" s="4" t="s">
        <v>5011</v>
      </c>
    </row>
    <row r="2068" spans="1:6" ht="14.4" thickBot="1" x14ac:dyDescent="0.35">
      <c r="A2068" s="4" t="s">
        <v>339</v>
      </c>
      <c r="B2068" s="4" t="s">
        <v>340</v>
      </c>
      <c r="C2068" s="4" t="s">
        <v>339</v>
      </c>
      <c r="D2068" s="4" t="s">
        <v>2080</v>
      </c>
      <c r="E2068" s="4" t="s">
        <v>2081</v>
      </c>
      <c r="F2068" s="4" t="s">
        <v>2080</v>
      </c>
    </row>
    <row r="2069" spans="1:6" ht="14.4" thickBot="1" x14ac:dyDescent="0.35">
      <c r="A2069" s="4" t="s">
        <v>339</v>
      </c>
      <c r="B2069" s="4" t="s">
        <v>340</v>
      </c>
      <c r="C2069" s="4" t="s">
        <v>339</v>
      </c>
      <c r="D2069" s="4" t="s">
        <v>4337</v>
      </c>
      <c r="E2069" s="4" t="s">
        <v>4338</v>
      </c>
      <c r="F2069" s="4" t="s">
        <v>4337</v>
      </c>
    </row>
    <row r="2070" spans="1:6" ht="14.4" thickBot="1" x14ac:dyDescent="0.35">
      <c r="A2070" s="4" t="s">
        <v>339</v>
      </c>
      <c r="B2070" s="4" t="s">
        <v>340</v>
      </c>
      <c r="C2070" s="4" t="s">
        <v>339</v>
      </c>
      <c r="D2070" s="4" t="s">
        <v>2078</v>
      </c>
      <c r="E2070" s="4" t="s">
        <v>2079</v>
      </c>
      <c r="F2070" s="4" t="s">
        <v>2078</v>
      </c>
    </row>
    <row r="2071" spans="1:6" ht="14.4" thickBot="1" x14ac:dyDescent="0.35">
      <c r="A2071" s="4" t="s">
        <v>339</v>
      </c>
      <c r="B2071" s="4" t="s">
        <v>340</v>
      </c>
      <c r="C2071" s="4" t="s">
        <v>339</v>
      </c>
      <c r="D2071" s="4" t="s">
        <v>1279</v>
      </c>
      <c r="E2071" s="4" t="s">
        <v>1280</v>
      </c>
      <c r="F2071" s="4" t="s">
        <v>1279</v>
      </c>
    </row>
    <row r="2072" spans="1:6" ht="14.4" thickBot="1" x14ac:dyDescent="0.35">
      <c r="A2072" s="4" t="s">
        <v>339</v>
      </c>
      <c r="B2072" s="4" t="s">
        <v>340</v>
      </c>
      <c r="C2072" s="4" t="s">
        <v>339</v>
      </c>
      <c r="D2072" s="4" t="s">
        <v>5015</v>
      </c>
      <c r="E2072" s="4" t="s">
        <v>5016</v>
      </c>
      <c r="F2072" s="4" t="s">
        <v>5015</v>
      </c>
    </row>
    <row r="2073" spans="1:6" ht="14.4" thickBot="1" x14ac:dyDescent="0.35">
      <c r="A2073" s="4" t="s">
        <v>339</v>
      </c>
      <c r="B2073" s="4" t="s">
        <v>340</v>
      </c>
      <c r="C2073" s="4" t="s">
        <v>339</v>
      </c>
      <c r="D2073" s="4" t="s">
        <v>2074</v>
      </c>
      <c r="E2073" s="4" t="s">
        <v>2075</v>
      </c>
      <c r="F2073" s="4" t="s">
        <v>2074</v>
      </c>
    </row>
    <row r="2074" spans="1:6" ht="14.4" thickBot="1" x14ac:dyDescent="0.35">
      <c r="A2074" s="4" t="s">
        <v>339</v>
      </c>
      <c r="B2074" s="4" t="s">
        <v>340</v>
      </c>
      <c r="C2074" s="4" t="s">
        <v>339</v>
      </c>
      <c r="D2074" s="4" t="s">
        <v>2085</v>
      </c>
      <c r="E2074" s="4" t="s">
        <v>2086</v>
      </c>
      <c r="F2074" s="4" t="s">
        <v>2085</v>
      </c>
    </row>
    <row r="2075" spans="1:6" ht="14.4" thickBot="1" x14ac:dyDescent="0.35">
      <c r="A2075" s="4" t="s">
        <v>339</v>
      </c>
      <c r="B2075" s="4" t="s">
        <v>340</v>
      </c>
      <c r="C2075" s="4" t="s">
        <v>339</v>
      </c>
      <c r="D2075" s="4" t="s">
        <v>2777</v>
      </c>
      <c r="E2075" s="4" t="s">
        <v>2778</v>
      </c>
      <c r="F2075" s="4" t="s">
        <v>2777</v>
      </c>
    </row>
    <row r="2076" spans="1:6" ht="14.4" thickBot="1" x14ac:dyDescent="0.35">
      <c r="A2076" s="4" t="s">
        <v>339</v>
      </c>
      <c r="B2076" s="4" t="s">
        <v>340</v>
      </c>
      <c r="C2076" s="4" t="s">
        <v>339</v>
      </c>
      <c r="D2076" s="4" t="s">
        <v>4333</v>
      </c>
      <c r="E2076" s="4" t="s">
        <v>4334</v>
      </c>
      <c r="F2076" s="4" t="s">
        <v>4333</v>
      </c>
    </row>
    <row r="2077" spans="1:6" ht="14.4" thickBot="1" x14ac:dyDescent="0.35">
      <c r="A2077" s="4" t="s">
        <v>339</v>
      </c>
      <c r="B2077" s="4" t="s">
        <v>340</v>
      </c>
      <c r="C2077" s="4" t="s">
        <v>339</v>
      </c>
      <c r="D2077" s="4" t="s">
        <v>3535</v>
      </c>
      <c r="E2077" s="4" t="s">
        <v>3536</v>
      </c>
      <c r="F2077" s="4" t="s">
        <v>3535</v>
      </c>
    </row>
    <row r="2078" spans="1:6" ht="14.4" thickBot="1" x14ac:dyDescent="0.35">
      <c r="A2078" s="4" t="s">
        <v>339</v>
      </c>
      <c r="B2078" s="4" t="s">
        <v>340</v>
      </c>
      <c r="C2078" s="4" t="s">
        <v>339</v>
      </c>
      <c r="D2078" s="4" t="s">
        <v>2779</v>
      </c>
      <c r="E2078" s="4" t="s">
        <v>2780</v>
      </c>
      <c r="F2078" s="4" t="s">
        <v>2779</v>
      </c>
    </row>
    <row r="2079" spans="1:6" ht="14.4" thickBot="1" x14ac:dyDescent="0.35">
      <c r="A2079" s="4" t="s">
        <v>339</v>
      </c>
      <c r="B2079" s="4" t="s">
        <v>340</v>
      </c>
      <c r="C2079" s="4" t="s">
        <v>339</v>
      </c>
      <c r="D2079" s="4" t="s">
        <v>4341</v>
      </c>
      <c r="E2079" s="4" t="s">
        <v>4342</v>
      </c>
      <c r="F2079" s="4" t="s">
        <v>4341</v>
      </c>
    </row>
    <row r="2080" spans="1:6" ht="14.4" thickBot="1" x14ac:dyDescent="0.35">
      <c r="A2080" s="4" t="s">
        <v>339</v>
      </c>
      <c r="B2080" s="4" t="s">
        <v>340</v>
      </c>
      <c r="C2080" s="4" t="s">
        <v>339</v>
      </c>
      <c r="D2080" s="4" t="s">
        <v>5013</v>
      </c>
      <c r="E2080" s="4" t="s">
        <v>5014</v>
      </c>
      <c r="F2080" s="4" t="s">
        <v>5013</v>
      </c>
    </row>
    <row r="2081" spans="1:6" ht="14.4" thickBot="1" x14ac:dyDescent="0.35">
      <c r="A2081" s="4" t="s">
        <v>339</v>
      </c>
      <c r="B2081" s="4" t="s">
        <v>340</v>
      </c>
      <c r="C2081" s="4" t="s">
        <v>339</v>
      </c>
      <c r="D2081" s="4" t="s">
        <v>4343</v>
      </c>
      <c r="E2081" s="4" t="s">
        <v>4344</v>
      </c>
      <c r="F2081" s="4" t="s">
        <v>4343</v>
      </c>
    </row>
    <row r="2082" spans="1:6" ht="14.4" thickBot="1" x14ac:dyDescent="0.35">
      <c r="A2082" s="4" t="s">
        <v>339</v>
      </c>
      <c r="B2082" s="4" t="s">
        <v>340</v>
      </c>
      <c r="C2082" s="4" t="s">
        <v>339</v>
      </c>
      <c r="D2082" s="4" t="s">
        <v>341</v>
      </c>
      <c r="E2082" s="4" t="s">
        <v>342</v>
      </c>
      <c r="F2082" s="4" t="s">
        <v>341</v>
      </c>
    </row>
    <row r="2083" spans="1:6" ht="14.4" thickBot="1" x14ac:dyDescent="0.35">
      <c r="A2083" s="4" t="s">
        <v>339</v>
      </c>
      <c r="B2083" s="4" t="s">
        <v>340</v>
      </c>
      <c r="C2083" s="4" t="s">
        <v>339</v>
      </c>
      <c r="D2083" s="4" t="s">
        <v>1281</v>
      </c>
      <c r="E2083" s="4" t="s">
        <v>1282</v>
      </c>
      <c r="F2083" s="4" t="s">
        <v>1281</v>
      </c>
    </row>
    <row r="2084" spans="1:6" ht="14.4" thickBot="1" x14ac:dyDescent="0.35">
      <c r="A2084" s="4" t="s">
        <v>968</v>
      </c>
      <c r="B2084" s="4" t="s">
        <v>969</v>
      </c>
      <c r="C2084" s="4" t="s">
        <v>968</v>
      </c>
      <c r="D2084" s="4" t="s">
        <v>1847</v>
      </c>
      <c r="E2084" s="4" t="s">
        <v>1848</v>
      </c>
      <c r="F2084" s="4" t="s">
        <v>1847</v>
      </c>
    </row>
    <row r="2085" spans="1:6" ht="14.4" thickBot="1" x14ac:dyDescent="0.35">
      <c r="A2085" s="4" t="s">
        <v>968</v>
      </c>
      <c r="B2085" s="4" t="s">
        <v>969</v>
      </c>
      <c r="C2085" s="4" t="s">
        <v>968</v>
      </c>
      <c r="D2085" s="4" t="s">
        <v>3159</v>
      </c>
      <c r="E2085" s="4" t="s">
        <v>3160</v>
      </c>
      <c r="F2085" s="4" t="s">
        <v>3159</v>
      </c>
    </row>
    <row r="2086" spans="1:6" ht="14.4" thickBot="1" x14ac:dyDescent="0.35">
      <c r="A2086" s="4" t="s">
        <v>968</v>
      </c>
      <c r="B2086" s="4" t="s">
        <v>969</v>
      </c>
      <c r="C2086" s="4" t="s">
        <v>968</v>
      </c>
      <c r="D2086" s="4" t="s">
        <v>4675</v>
      </c>
      <c r="E2086" s="4" t="s">
        <v>4676</v>
      </c>
      <c r="F2086" s="4" t="s">
        <v>4675</v>
      </c>
    </row>
    <row r="2087" spans="1:6" ht="14.4" thickBot="1" x14ac:dyDescent="0.35">
      <c r="A2087" s="4" t="s">
        <v>968</v>
      </c>
      <c r="B2087" s="4" t="s">
        <v>969</v>
      </c>
      <c r="C2087" s="4" t="s">
        <v>968</v>
      </c>
      <c r="D2087" s="4" t="s">
        <v>1859</v>
      </c>
      <c r="E2087" s="4" t="s">
        <v>5375</v>
      </c>
      <c r="F2087" s="4" t="s">
        <v>1859</v>
      </c>
    </row>
    <row r="2088" spans="1:6" ht="14.4" thickBot="1" x14ac:dyDescent="0.35">
      <c r="A2088" s="4" t="s">
        <v>968</v>
      </c>
      <c r="B2088" s="4" t="s">
        <v>969</v>
      </c>
      <c r="C2088" s="4" t="s">
        <v>968</v>
      </c>
      <c r="D2088" s="4" t="s">
        <v>1708</v>
      </c>
      <c r="E2088" s="4" t="s">
        <v>1709</v>
      </c>
      <c r="F2088" s="4" t="s">
        <v>1708</v>
      </c>
    </row>
    <row r="2089" spans="1:6" ht="14.4" thickBot="1" x14ac:dyDescent="0.35">
      <c r="A2089" s="4" t="s">
        <v>968</v>
      </c>
      <c r="B2089" s="4" t="s">
        <v>969</v>
      </c>
      <c r="C2089" s="4" t="s">
        <v>968</v>
      </c>
      <c r="D2089" s="4" t="s">
        <v>2494</v>
      </c>
      <c r="E2089" s="4" t="s">
        <v>2495</v>
      </c>
      <c r="F2089" s="4" t="s">
        <v>2494</v>
      </c>
    </row>
    <row r="2090" spans="1:6" ht="14.4" thickBot="1" x14ac:dyDescent="0.35">
      <c r="A2090" s="4" t="s">
        <v>968</v>
      </c>
      <c r="B2090" s="4" t="s">
        <v>969</v>
      </c>
      <c r="C2090" s="4" t="s">
        <v>968</v>
      </c>
      <c r="D2090" s="4" t="s">
        <v>970</v>
      </c>
      <c r="E2090" s="4" t="s">
        <v>971</v>
      </c>
      <c r="F2090" s="4" t="s">
        <v>970</v>
      </c>
    </row>
    <row r="2091" spans="1:6" ht="14.4" thickBot="1" x14ac:dyDescent="0.35">
      <c r="A2091" s="4" t="s">
        <v>968</v>
      </c>
      <c r="B2091" s="4" t="s">
        <v>969</v>
      </c>
      <c r="C2091" s="4" t="s">
        <v>968</v>
      </c>
      <c r="D2091" s="4" t="s">
        <v>6177</v>
      </c>
      <c r="E2091" s="4" t="s">
        <v>6178</v>
      </c>
      <c r="F2091" s="4" t="s">
        <v>6177</v>
      </c>
    </row>
    <row r="2092" spans="1:6" ht="14.4" thickBot="1" x14ac:dyDescent="0.35">
      <c r="A2092" s="4" t="s">
        <v>209</v>
      </c>
      <c r="B2092" s="4" t="s">
        <v>210</v>
      </c>
      <c r="C2092" s="4" t="s">
        <v>209</v>
      </c>
      <c r="D2092" s="4" t="s">
        <v>1166</v>
      </c>
      <c r="E2092" s="4" t="s">
        <v>971</v>
      </c>
      <c r="F2092" s="4" t="s">
        <v>1166</v>
      </c>
    </row>
    <row r="2093" spans="1:6" ht="14.4" thickBot="1" x14ac:dyDescent="0.35">
      <c r="A2093" s="4" t="s">
        <v>209</v>
      </c>
      <c r="B2093" s="4" t="s">
        <v>210</v>
      </c>
      <c r="C2093" s="4" t="s">
        <v>209</v>
      </c>
      <c r="D2093" s="4" t="s">
        <v>5615</v>
      </c>
      <c r="E2093" s="4" t="s">
        <v>5616</v>
      </c>
      <c r="F2093" s="4" t="s">
        <v>5615</v>
      </c>
    </row>
    <row r="2094" spans="1:6" ht="14.4" thickBot="1" x14ac:dyDescent="0.35">
      <c r="A2094" s="4" t="s">
        <v>209</v>
      </c>
      <c r="B2094" s="4" t="s">
        <v>210</v>
      </c>
      <c r="C2094" s="4" t="s">
        <v>209</v>
      </c>
      <c r="D2094" s="4" t="s">
        <v>5617</v>
      </c>
      <c r="E2094" s="4" t="s">
        <v>5618</v>
      </c>
      <c r="F2094" s="4" t="s">
        <v>5617</v>
      </c>
    </row>
    <row r="2095" spans="1:6" ht="14.4" thickBot="1" x14ac:dyDescent="0.35">
      <c r="A2095" s="4" t="s">
        <v>209</v>
      </c>
      <c r="B2095" s="4" t="s">
        <v>210</v>
      </c>
      <c r="C2095" s="4" t="s">
        <v>209</v>
      </c>
      <c r="D2095" s="4" t="s">
        <v>1987</v>
      </c>
      <c r="E2095" s="4" t="s">
        <v>1988</v>
      </c>
      <c r="F2095" s="4" t="s">
        <v>1987</v>
      </c>
    </row>
    <row r="2096" spans="1:6" ht="14.4" thickBot="1" x14ac:dyDescent="0.35">
      <c r="A2096" s="4" t="s">
        <v>209</v>
      </c>
      <c r="B2096" s="4" t="s">
        <v>210</v>
      </c>
      <c r="C2096" s="4" t="s">
        <v>209</v>
      </c>
      <c r="D2096" s="4" t="s">
        <v>1989</v>
      </c>
      <c r="E2096" s="4" t="s">
        <v>1990</v>
      </c>
      <c r="F2096" s="4" t="s">
        <v>1989</v>
      </c>
    </row>
    <row r="2097" spans="1:6" ht="14.4" thickBot="1" x14ac:dyDescent="0.35">
      <c r="A2097" s="4" t="s">
        <v>209</v>
      </c>
      <c r="B2097" s="4" t="s">
        <v>210</v>
      </c>
      <c r="C2097" s="4" t="s">
        <v>209</v>
      </c>
      <c r="D2097" s="4" t="s">
        <v>2637</v>
      </c>
      <c r="E2097" s="4" t="s">
        <v>2638</v>
      </c>
      <c r="F2097" s="4" t="s">
        <v>2637</v>
      </c>
    </row>
    <row r="2098" spans="1:6" ht="14.4" thickBot="1" x14ac:dyDescent="0.35">
      <c r="A2098" s="4" t="s">
        <v>209</v>
      </c>
      <c r="B2098" s="4" t="s">
        <v>210</v>
      </c>
      <c r="C2098" s="4" t="s">
        <v>209</v>
      </c>
      <c r="D2098" s="4" t="s">
        <v>4900</v>
      </c>
      <c r="E2098" s="4" t="s">
        <v>4901</v>
      </c>
      <c r="F2098" s="4" t="s">
        <v>4900</v>
      </c>
    </row>
    <row r="2099" spans="1:6" ht="14.4" thickBot="1" x14ac:dyDescent="0.35">
      <c r="A2099" s="4" t="s">
        <v>209</v>
      </c>
      <c r="B2099" s="4" t="s">
        <v>210</v>
      </c>
      <c r="C2099" s="4" t="s">
        <v>209</v>
      </c>
      <c r="D2099" s="4" t="s">
        <v>211</v>
      </c>
      <c r="E2099" s="4" t="s">
        <v>212</v>
      </c>
      <c r="F2099" s="4" t="s">
        <v>211</v>
      </c>
    </row>
    <row r="2100" spans="1:6" ht="14.4" thickBot="1" x14ac:dyDescent="0.35">
      <c r="A2100" s="4" t="s">
        <v>214</v>
      </c>
      <c r="B2100" s="4" t="s">
        <v>215</v>
      </c>
      <c r="C2100" s="4" t="s">
        <v>214</v>
      </c>
      <c r="D2100" s="4" t="s">
        <v>2001</v>
      </c>
      <c r="E2100" s="4" t="s">
        <v>2002</v>
      </c>
      <c r="F2100" s="4" t="s">
        <v>2001</v>
      </c>
    </row>
    <row r="2101" spans="1:6" ht="14.4" thickBot="1" x14ac:dyDescent="0.35">
      <c r="A2101" s="4" t="s">
        <v>214</v>
      </c>
      <c r="B2101" s="4" t="s">
        <v>215</v>
      </c>
      <c r="C2101" s="4" t="s">
        <v>214</v>
      </c>
      <c r="D2101" s="4" t="s">
        <v>4227</v>
      </c>
      <c r="E2101" s="4" t="s">
        <v>4228</v>
      </c>
      <c r="F2101" s="4" t="s">
        <v>4227</v>
      </c>
    </row>
    <row r="2102" spans="1:6" ht="14.4" thickBot="1" x14ac:dyDescent="0.35">
      <c r="A2102" s="4" t="s">
        <v>214</v>
      </c>
      <c r="B2102" s="4" t="s">
        <v>215</v>
      </c>
      <c r="C2102" s="4" t="s">
        <v>214</v>
      </c>
      <c r="D2102" s="4" t="s">
        <v>5621</v>
      </c>
      <c r="E2102" s="4" t="s">
        <v>4226</v>
      </c>
      <c r="F2102" s="4" t="s">
        <v>5621</v>
      </c>
    </row>
    <row r="2103" spans="1:6" ht="14.4" thickBot="1" x14ac:dyDescent="0.35">
      <c r="A2103" s="4" t="s">
        <v>214</v>
      </c>
      <c r="B2103" s="4" t="s">
        <v>215</v>
      </c>
      <c r="C2103" s="4" t="s">
        <v>214</v>
      </c>
      <c r="D2103" s="4" t="s">
        <v>1169</v>
      </c>
      <c r="E2103" s="4" t="s">
        <v>1170</v>
      </c>
      <c r="F2103" s="4" t="s">
        <v>1169</v>
      </c>
    </row>
    <row r="2104" spans="1:6" ht="14.4" thickBot="1" x14ac:dyDescent="0.35">
      <c r="A2104" s="4" t="s">
        <v>214</v>
      </c>
      <c r="B2104" s="4" t="s">
        <v>215</v>
      </c>
      <c r="C2104" s="4" t="s">
        <v>214</v>
      </c>
      <c r="D2104" s="4" t="s">
        <v>5628</v>
      </c>
      <c r="E2104" s="4" t="s">
        <v>5629</v>
      </c>
      <c r="F2104" s="4" t="s">
        <v>5628</v>
      </c>
    </row>
    <row r="2105" spans="1:6" ht="14.4" thickBot="1" x14ac:dyDescent="0.35">
      <c r="A2105" s="4" t="s">
        <v>214</v>
      </c>
      <c r="B2105" s="4" t="s">
        <v>215</v>
      </c>
      <c r="C2105" s="4" t="s">
        <v>214</v>
      </c>
      <c r="D2105" s="4" t="s">
        <v>1314</v>
      </c>
      <c r="E2105" s="4" t="s">
        <v>4241</v>
      </c>
      <c r="F2105" s="4" t="s">
        <v>1314</v>
      </c>
    </row>
    <row r="2106" spans="1:6" ht="14.4" thickBot="1" x14ac:dyDescent="0.35">
      <c r="A2106" s="4" t="s">
        <v>214</v>
      </c>
      <c r="B2106" s="4" t="s">
        <v>215</v>
      </c>
      <c r="C2106" s="4" t="s">
        <v>214</v>
      </c>
      <c r="D2106" s="4" t="s">
        <v>3439</v>
      </c>
      <c r="E2106" s="4" t="s">
        <v>3440</v>
      </c>
      <c r="F2106" s="4" t="s">
        <v>3439</v>
      </c>
    </row>
    <row r="2107" spans="1:6" ht="14.4" thickBot="1" x14ac:dyDescent="0.35">
      <c r="A2107" s="4" t="s">
        <v>214</v>
      </c>
      <c r="B2107" s="4" t="s">
        <v>215</v>
      </c>
      <c r="C2107" s="4" t="s">
        <v>214</v>
      </c>
      <c r="D2107" s="4" t="s">
        <v>2639</v>
      </c>
      <c r="E2107" s="4" t="s">
        <v>2640</v>
      </c>
      <c r="F2107" s="4" t="s">
        <v>2639</v>
      </c>
    </row>
    <row r="2108" spans="1:6" ht="14.4" thickBot="1" x14ac:dyDescent="0.35">
      <c r="A2108" s="4" t="s">
        <v>214</v>
      </c>
      <c r="B2108" s="4" t="s">
        <v>215</v>
      </c>
      <c r="C2108" s="4" t="s">
        <v>214</v>
      </c>
      <c r="D2108" s="4" t="s">
        <v>5638</v>
      </c>
      <c r="E2108" s="4" t="s">
        <v>5639</v>
      </c>
      <c r="F2108" s="4" t="s">
        <v>5638</v>
      </c>
    </row>
    <row r="2109" spans="1:6" ht="14.4" thickBot="1" x14ac:dyDescent="0.35">
      <c r="A2109" s="4" t="s">
        <v>214</v>
      </c>
      <c r="B2109" s="4" t="s">
        <v>215</v>
      </c>
      <c r="C2109" s="4" t="s">
        <v>214</v>
      </c>
      <c r="D2109" s="4" t="s">
        <v>2651</v>
      </c>
      <c r="E2109" s="4" t="s">
        <v>2652</v>
      </c>
      <c r="F2109" s="4" t="s">
        <v>2651</v>
      </c>
    </row>
    <row r="2110" spans="1:6" ht="14.4" thickBot="1" x14ac:dyDescent="0.35">
      <c r="A2110" s="4" t="s">
        <v>214</v>
      </c>
      <c r="B2110" s="4" t="s">
        <v>215</v>
      </c>
      <c r="C2110" s="4" t="s">
        <v>214</v>
      </c>
      <c r="D2110" s="4" t="s">
        <v>231</v>
      </c>
      <c r="E2110" s="4" t="s">
        <v>232</v>
      </c>
      <c r="F2110" s="4" t="s">
        <v>231</v>
      </c>
    </row>
    <row r="2111" spans="1:6" ht="14.4" thickBot="1" x14ac:dyDescent="0.35">
      <c r="A2111" s="4" t="s">
        <v>214</v>
      </c>
      <c r="B2111" s="4" t="s">
        <v>215</v>
      </c>
      <c r="C2111" s="4" t="s">
        <v>214</v>
      </c>
      <c r="D2111" s="4" t="s">
        <v>2009</v>
      </c>
      <c r="E2111" s="4" t="s">
        <v>2010</v>
      </c>
      <c r="F2111" s="4" t="s">
        <v>2009</v>
      </c>
    </row>
    <row r="2112" spans="1:6" ht="14.4" thickBot="1" x14ac:dyDescent="0.35">
      <c r="A2112" s="4" t="s">
        <v>214</v>
      </c>
      <c r="B2112" s="4" t="s">
        <v>215</v>
      </c>
      <c r="C2112" s="4" t="s">
        <v>214</v>
      </c>
      <c r="D2112" s="4" t="s">
        <v>2015</v>
      </c>
      <c r="E2112" s="4" t="s">
        <v>2016</v>
      </c>
      <c r="F2112" s="4" t="s">
        <v>2015</v>
      </c>
    </row>
    <row r="2113" spans="1:6" ht="14.4" thickBot="1" x14ac:dyDescent="0.35">
      <c r="A2113" s="4" t="s">
        <v>214</v>
      </c>
      <c r="B2113" s="4" t="s">
        <v>215</v>
      </c>
      <c r="C2113" s="4" t="s">
        <v>214</v>
      </c>
      <c r="D2113" s="4" t="s">
        <v>1177</v>
      </c>
      <c r="E2113" s="4" t="s">
        <v>1178</v>
      </c>
      <c r="F2113" s="4" t="s">
        <v>1177</v>
      </c>
    </row>
    <row r="2114" spans="1:6" ht="14.4" thickBot="1" x14ac:dyDescent="0.35">
      <c r="A2114" s="4" t="s">
        <v>214</v>
      </c>
      <c r="B2114" s="4" t="s">
        <v>215</v>
      </c>
      <c r="C2114" s="4" t="s">
        <v>214</v>
      </c>
      <c r="D2114" s="4" t="s">
        <v>2013</v>
      </c>
      <c r="E2114" s="4" t="s">
        <v>2014</v>
      </c>
      <c r="F2114" s="4" t="s">
        <v>2013</v>
      </c>
    </row>
    <row r="2115" spans="1:6" ht="14.4" thickBot="1" x14ac:dyDescent="0.35">
      <c r="A2115" s="4" t="s">
        <v>214</v>
      </c>
      <c r="B2115" s="4" t="s">
        <v>215</v>
      </c>
      <c r="C2115" s="4" t="s">
        <v>214</v>
      </c>
      <c r="D2115" s="4" t="s">
        <v>3431</v>
      </c>
      <c r="E2115" s="4" t="s">
        <v>3432</v>
      </c>
      <c r="F2115" s="4" t="s">
        <v>3431</v>
      </c>
    </row>
    <row r="2116" spans="1:6" ht="14.4" thickBot="1" x14ac:dyDescent="0.35">
      <c r="A2116" s="4" t="s">
        <v>214</v>
      </c>
      <c r="B2116" s="4" t="s">
        <v>215</v>
      </c>
      <c r="C2116" s="4" t="s">
        <v>214</v>
      </c>
      <c r="D2116" s="4" t="s">
        <v>1995</v>
      </c>
      <c r="E2116" s="4" t="s">
        <v>1996</v>
      </c>
      <c r="F2116" s="4" t="s">
        <v>1995</v>
      </c>
    </row>
    <row r="2117" spans="1:6" ht="14.4" thickBot="1" x14ac:dyDescent="0.35">
      <c r="A2117" s="4" t="s">
        <v>214</v>
      </c>
      <c r="B2117" s="4" t="s">
        <v>215</v>
      </c>
      <c r="C2117" s="4" t="s">
        <v>214</v>
      </c>
      <c r="D2117" s="4" t="s">
        <v>3437</v>
      </c>
      <c r="E2117" s="4" t="s">
        <v>3438</v>
      </c>
      <c r="F2117" s="4" t="s">
        <v>3437</v>
      </c>
    </row>
    <row r="2118" spans="1:6" ht="14.4" thickBot="1" x14ac:dyDescent="0.35">
      <c r="A2118" s="4" t="s">
        <v>214</v>
      </c>
      <c r="B2118" s="4" t="s">
        <v>215</v>
      </c>
      <c r="C2118" s="4" t="s">
        <v>214</v>
      </c>
      <c r="D2118" s="4" t="s">
        <v>229</v>
      </c>
      <c r="E2118" s="4" t="s">
        <v>230</v>
      </c>
      <c r="F2118" s="4" t="s">
        <v>229</v>
      </c>
    </row>
    <row r="2119" spans="1:6" ht="14.4" thickBot="1" x14ac:dyDescent="0.35">
      <c r="A2119" s="4" t="s">
        <v>214</v>
      </c>
      <c r="B2119" s="4" t="s">
        <v>215</v>
      </c>
      <c r="C2119" s="4" t="s">
        <v>214</v>
      </c>
      <c r="D2119" s="4" t="s">
        <v>112</v>
      </c>
      <c r="E2119" s="4" t="s">
        <v>216</v>
      </c>
      <c r="F2119" s="4" t="s">
        <v>112</v>
      </c>
    </row>
    <row r="2120" spans="1:6" ht="14.4" thickBot="1" x14ac:dyDescent="0.35">
      <c r="A2120" s="4" t="s">
        <v>214</v>
      </c>
      <c r="B2120" s="4" t="s">
        <v>215</v>
      </c>
      <c r="C2120" s="4" t="s">
        <v>214</v>
      </c>
      <c r="D2120" s="4" t="s">
        <v>4904</v>
      </c>
      <c r="E2120" s="4" t="s">
        <v>4905</v>
      </c>
      <c r="F2120" s="4" t="s">
        <v>4904</v>
      </c>
    </row>
    <row r="2121" spans="1:6" ht="14.4" thickBot="1" x14ac:dyDescent="0.35">
      <c r="A2121" s="4" t="s">
        <v>214</v>
      </c>
      <c r="B2121" s="4" t="s">
        <v>215</v>
      </c>
      <c r="C2121" s="4" t="s">
        <v>214</v>
      </c>
      <c r="D2121" s="4" t="s">
        <v>4231</v>
      </c>
      <c r="E2121" s="4" t="s">
        <v>4232</v>
      </c>
      <c r="F2121" s="4" t="s">
        <v>4231</v>
      </c>
    </row>
    <row r="2122" spans="1:6" ht="14.4" thickBot="1" x14ac:dyDescent="0.35">
      <c r="A2122" s="4" t="s">
        <v>214</v>
      </c>
      <c r="B2122" s="4" t="s">
        <v>215</v>
      </c>
      <c r="C2122" s="4" t="s">
        <v>214</v>
      </c>
      <c r="D2122" s="4" t="s">
        <v>2643</v>
      </c>
      <c r="E2122" s="4" t="s">
        <v>2644</v>
      </c>
      <c r="F2122" s="4" t="s">
        <v>2643</v>
      </c>
    </row>
    <row r="2123" spans="1:6" ht="14.4" thickBot="1" x14ac:dyDescent="0.35">
      <c r="A2123" s="4" t="s">
        <v>214</v>
      </c>
      <c r="B2123" s="4" t="s">
        <v>215</v>
      </c>
      <c r="C2123" s="4" t="s">
        <v>214</v>
      </c>
      <c r="D2123" s="4" t="s">
        <v>4916</v>
      </c>
      <c r="E2123" s="4" t="s">
        <v>4917</v>
      </c>
      <c r="F2123" s="4" t="s">
        <v>4916</v>
      </c>
    </row>
    <row r="2124" spans="1:6" ht="14.4" thickBot="1" x14ac:dyDescent="0.35">
      <c r="A2124" s="4" t="s">
        <v>214</v>
      </c>
      <c r="B2124" s="4" t="s">
        <v>215</v>
      </c>
      <c r="C2124" s="4" t="s">
        <v>214</v>
      </c>
      <c r="D2124" s="4" t="s">
        <v>5636</v>
      </c>
      <c r="E2124" s="4" t="s">
        <v>5637</v>
      </c>
      <c r="F2124" s="4" t="s">
        <v>5636</v>
      </c>
    </row>
    <row r="2125" spans="1:6" ht="14.4" thickBot="1" x14ac:dyDescent="0.35">
      <c r="A2125" s="4" t="s">
        <v>214</v>
      </c>
      <c r="B2125" s="4" t="s">
        <v>215</v>
      </c>
      <c r="C2125" s="4" t="s">
        <v>214</v>
      </c>
      <c r="D2125" s="4" t="s">
        <v>1997</v>
      </c>
      <c r="E2125" s="4" t="s">
        <v>1998</v>
      </c>
      <c r="F2125" s="4" t="s">
        <v>1997</v>
      </c>
    </row>
    <row r="2126" spans="1:6" ht="14.4" thickBot="1" x14ac:dyDescent="0.35">
      <c r="A2126" s="4" t="s">
        <v>214</v>
      </c>
      <c r="B2126" s="4" t="s">
        <v>215</v>
      </c>
      <c r="C2126" s="4" t="s">
        <v>214</v>
      </c>
      <c r="D2126" s="4" t="s">
        <v>3433</v>
      </c>
      <c r="E2126" s="4" t="s">
        <v>3434</v>
      </c>
      <c r="F2126" s="4" t="s">
        <v>3433</v>
      </c>
    </row>
    <row r="2127" spans="1:6" ht="14.4" thickBot="1" x14ac:dyDescent="0.35">
      <c r="A2127" s="4" t="s">
        <v>214</v>
      </c>
      <c r="B2127" s="4" t="s">
        <v>215</v>
      </c>
      <c r="C2127" s="4" t="s">
        <v>214</v>
      </c>
      <c r="D2127" s="4" t="s">
        <v>5640</v>
      </c>
      <c r="E2127" s="4" t="s">
        <v>3361</v>
      </c>
      <c r="F2127" s="4" t="s">
        <v>5640</v>
      </c>
    </row>
    <row r="2128" spans="1:6" ht="14.4" thickBot="1" x14ac:dyDescent="0.35">
      <c r="A2128" s="4" t="s">
        <v>214</v>
      </c>
      <c r="B2128" s="4" t="s">
        <v>215</v>
      </c>
      <c r="C2128" s="4" t="s">
        <v>214</v>
      </c>
      <c r="D2128" s="4" t="s">
        <v>4244</v>
      </c>
      <c r="E2128" s="4" t="s">
        <v>4245</v>
      </c>
      <c r="F2128" s="4" t="s">
        <v>4244</v>
      </c>
    </row>
    <row r="2129" spans="1:6" ht="14.4" thickBot="1" x14ac:dyDescent="0.35">
      <c r="A2129" s="4" t="s">
        <v>214</v>
      </c>
      <c r="B2129" s="4" t="s">
        <v>215</v>
      </c>
      <c r="C2129" s="4" t="s">
        <v>214</v>
      </c>
      <c r="D2129" s="4" t="s">
        <v>2645</v>
      </c>
      <c r="E2129" s="4" t="s">
        <v>2646</v>
      </c>
      <c r="F2129" s="4" t="s">
        <v>2645</v>
      </c>
    </row>
    <row r="2130" spans="1:6" ht="14.4" thickBot="1" x14ac:dyDescent="0.35">
      <c r="A2130" s="4" t="s">
        <v>214</v>
      </c>
      <c r="B2130" s="4" t="s">
        <v>215</v>
      </c>
      <c r="C2130" s="4" t="s">
        <v>214</v>
      </c>
      <c r="D2130" s="4" t="s">
        <v>223</v>
      </c>
      <c r="E2130" s="4" t="s">
        <v>224</v>
      </c>
      <c r="F2130" s="4" t="s">
        <v>223</v>
      </c>
    </row>
    <row r="2131" spans="1:6" ht="14.4" thickBot="1" x14ac:dyDescent="0.35">
      <c r="A2131" s="4" t="s">
        <v>214</v>
      </c>
      <c r="B2131" s="4" t="s">
        <v>215</v>
      </c>
      <c r="C2131" s="4" t="s">
        <v>214</v>
      </c>
      <c r="D2131" s="4" t="s">
        <v>2005</v>
      </c>
      <c r="E2131" s="4" t="s">
        <v>2006</v>
      </c>
      <c r="F2131" s="4" t="s">
        <v>2005</v>
      </c>
    </row>
    <row r="2132" spans="1:6" ht="14.4" thickBot="1" x14ac:dyDescent="0.35">
      <c r="A2132" s="4" t="s">
        <v>214</v>
      </c>
      <c r="B2132" s="4" t="s">
        <v>215</v>
      </c>
      <c r="C2132" s="4" t="s">
        <v>214</v>
      </c>
      <c r="D2132" s="4" t="s">
        <v>227</v>
      </c>
      <c r="E2132" s="4" t="s">
        <v>228</v>
      </c>
      <c r="F2132" s="4" t="s">
        <v>227</v>
      </c>
    </row>
    <row r="2133" spans="1:6" ht="14.4" thickBot="1" x14ac:dyDescent="0.35">
      <c r="A2133" s="4" t="s">
        <v>214</v>
      </c>
      <c r="B2133" s="4" t="s">
        <v>215</v>
      </c>
      <c r="C2133" s="4" t="s">
        <v>214</v>
      </c>
      <c r="D2133" s="4" t="s">
        <v>4225</v>
      </c>
      <c r="E2133" s="4" t="s">
        <v>4226</v>
      </c>
      <c r="F2133" s="4" t="s">
        <v>4225</v>
      </c>
    </row>
    <row r="2134" spans="1:6" ht="14.4" thickBot="1" x14ac:dyDescent="0.35">
      <c r="A2134" s="4" t="s">
        <v>214</v>
      </c>
      <c r="B2134" s="4" t="s">
        <v>215</v>
      </c>
      <c r="C2134" s="4" t="s">
        <v>214</v>
      </c>
      <c r="D2134" s="4" t="s">
        <v>3443</v>
      </c>
      <c r="E2134" s="4" t="s">
        <v>3444</v>
      </c>
      <c r="F2134" s="4" t="s">
        <v>3443</v>
      </c>
    </row>
    <row r="2135" spans="1:6" ht="14.4" thickBot="1" x14ac:dyDescent="0.35">
      <c r="A2135" s="4" t="s">
        <v>214</v>
      </c>
      <c r="B2135" s="4" t="s">
        <v>215</v>
      </c>
      <c r="C2135" s="4" t="s">
        <v>214</v>
      </c>
      <c r="D2135" s="4" t="s">
        <v>1993</v>
      </c>
      <c r="E2135" s="4" t="s">
        <v>1994</v>
      </c>
      <c r="F2135" s="4" t="s">
        <v>1993</v>
      </c>
    </row>
    <row r="2136" spans="1:6" ht="14.4" thickBot="1" x14ac:dyDescent="0.35">
      <c r="A2136" s="4" t="s">
        <v>214</v>
      </c>
      <c r="B2136" s="4" t="s">
        <v>215</v>
      </c>
      <c r="C2136" s="4" t="s">
        <v>214</v>
      </c>
      <c r="D2136" s="4" t="s">
        <v>2649</v>
      </c>
      <c r="E2136" s="4" t="s">
        <v>2650</v>
      </c>
      <c r="F2136" s="4" t="s">
        <v>2649</v>
      </c>
    </row>
    <row r="2137" spans="1:6" ht="14.4" thickBot="1" x14ac:dyDescent="0.35">
      <c r="A2137" s="4" t="s">
        <v>214</v>
      </c>
      <c r="B2137" s="4" t="s">
        <v>215</v>
      </c>
      <c r="C2137" s="4" t="s">
        <v>214</v>
      </c>
      <c r="D2137" s="4" t="s">
        <v>2003</v>
      </c>
      <c r="E2137" s="4" t="s">
        <v>2004</v>
      </c>
      <c r="F2137" s="4" t="s">
        <v>2003</v>
      </c>
    </row>
    <row r="2138" spans="1:6" ht="14.4" thickBot="1" x14ac:dyDescent="0.35">
      <c r="A2138" s="4" t="s">
        <v>214</v>
      </c>
      <c r="B2138" s="4" t="s">
        <v>215</v>
      </c>
      <c r="C2138" s="4" t="s">
        <v>214</v>
      </c>
      <c r="D2138" s="4" t="s">
        <v>225</v>
      </c>
      <c r="E2138" s="4" t="s">
        <v>226</v>
      </c>
      <c r="F2138" s="4" t="s">
        <v>225</v>
      </c>
    </row>
    <row r="2139" spans="1:6" ht="14.4" thickBot="1" x14ac:dyDescent="0.35">
      <c r="A2139" s="4" t="s">
        <v>214</v>
      </c>
      <c r="B2139" s="4" t="s">
        <v>215</v>
      </c>
      <c r="C2139" s="4" t="s">
        <v>214</v>
      </c>
      <c r="D2139" s="4" t="s">
        <v>4910</v>
      </c>
      <c r="E2139" s="4" t="s">
        <v>4911</v>
      </c>
      <c r="F2139" s="4" t="s">
        <v>4910</v>
      </c>
    </row>
    <row r="2140" spans="1:6" ht="14.4" thickBot="1" x14ac:dyDescent="0.35">
      <c r="A2140" s="4" t="s">
        <v>214</v>
      </c>
      <c r="B2140" s="4" t="s">
        <v>215</v>
      </c>
      <c r="C2140" s="4" t="s">
        <v>214</v>
      </c>
      <c r="D2140" s="4" t="s">
        <v>2661</v>
      </c>
      <c r="E2140" s="4" t="s">
        <v>2662</v>
      </c>
      <c r="F2140" s="4" t="s">
        <v>2661</v>
      </c>
    </row>
    <row r="2141" spans="1:6" ht="14.4" thickBot="1" x14ac:dyDescent="0.35">
      <c r="A2141" s="4" t="s">
        <v>214</v>
      </c>
      <c r="B2141" s="4" t="s">
        <v>215</v>
      </c>
      <c r="C2141" s="4" t="s">
        <v>214</v>
      </c>
      <c r="D2141" s="4" t="s">
        <v>4242</v>
      </c>
      <c r="E2141" s="4" t="s">
        <v>4243</v>
      </c>
      <c r="F2141" s="4" t="s">
        <v>4242</v>
      </c>
    </row>
    <row r="2142" spans="1:6" ht="14.4" thickBot="1" x14ac:dyDescent="0.35">
      <c r="A2142" s="4" t="s">
        <v>214</v>
      </c>
      <c r="B2142" s="4" t="s">
        <v>215</v>
      </c>
      <c r="C2142" s="4" t="s">
        <v>214</v>
      </c>
      <c r="D2142" s="4" t="s">
        <v>5619</v>
      </c>
      <c r="E2142" s="4" t="s">
        <v>5620</v>
      </c>
      <c r="F2142" s="4" t="s">
        <v>5619</v>
      </c>
    </row>
    <row r="2143" spans="1:6" ht="14.4" thickBot="1" x14ac:dyDescent="0.35">
      <c r="A2143" s="4" t="s">
        <v>214</v>
      </c>
      <c r="B2143" s="4" t="s">
        <v>215</v>
      </c>
      <c r="C2143" s="4" t="s">
        <v>214</v>
      </c>
      <c r="D2143" s="4" t="s">
        <v>2011</v>
      </c>
      <c r="E2143" s="4" t="s">
        <v>2012</v>
      </c>
      <c r="F2143" s="4" t="s">
        <v>2011</v>
      </c>
    </row>
    <row r="2144" spans="1:6" ht="14.4" thickBot="1" x14ac:dyDescent="0.35">
      <c r="A2144" s="4" t="s">
        <v>214</v>
      </c>
      <c r="B2144" s="4" t="s">
        <v>215</v>
      </c>
      <c r="C2144" s="4" t="s">
        <v>214</v>
      </c>
      <c r="D2144" s="4" t="s">
        <v>1175</v>
      </c>
      <c r="E2144" s="4" t="s">
        <v>1176</v>
      </c>
      <c r="F2144" s="4" t="s">
        <v>1175</v>
      </c>
    </row>
    <row r="2145" spans="1:6" ht="14.4" thickBot="1" x14ac:dyDescent="0.35">
      <c r="A2145" s="4" t="s">
        <v>214</v>
      </c>
      <c r="B2145" s="4" t="s">
        <v>215</v>
      </c>
      <c r="C2145" s="4" t="s">
        <v>214</v>
      </c>
      <c r="D2145" s="4" t="s">
        <v>1179</v>
      </c>
      <c r="E2145" s="4" t="s">
        <v>1180</v>
      </c>
      <c r="F2145" s="4" t="s">
        <v>1179</v>
      </c>
    </row>
    <row r="2146" spans="1:6" ht="14.4" thickBot="1" x14ac:dyDescent="0.35">
      <c r="A2146" s="4" t="s">
        <v>214</v>
      </c>
      <c r="B2146" s="4" t="s">
        <v>215</v>
      </c>
      <c r="C2146" s="4" t="s">
        <v>214</v>
      </c>
      <c r="D2146" s="4" t="s">
        <v>2659</v>
      </c>
      <c r="E2146" s="4" t="s">
        <v>2660</v>
      </c>
      <c r="F2146" s="4" t="s">
        <v>2659</v>
      </c>
    </row>
    <row r="2147" spans="1:6" ht="14.4" thickBot="1" x14ac:dyDescent="0.35">
      <c r="A2147" s="4" t="s">
        <v>214</v>
      </c>
      <c r="B2147" s="4" t="s">
        <v>215</v>
      </c>
      <c r="C2147" s="4" t="s">
        <v>214</v>
      </c>
      <c r="D2147" s="4" t="s">
        <v>4233</v>
      </c>
      <c r="E2147" s="4" t="s">
        <v>4234</v>
      </c>
      <c r="F2147" s="4" t="s">
        <v>4233</v>
      </c>
    </row>
    <row r="2148" spans="1:6" ht="14.4" thickBot="1" x14ac:dyDescent="0.35">
      <c r="A2148" s="4" t="s">
        <v>214</v>
      </c>
      <c r="B2148" s="4" t="s">
        <v>215</v>
      </c>
      <c r="C2148" s="4" t="s">
        <v>214</v>
      </c>
      <c r="D2148" s="4" t="s">
        <v>2647</v>
      </c>
      <c r="E2148" s="4" t="s">
        <v>2648</v>
      </c>
      <c r="F2148" s="4" t="s">
        <v>2647</v>
      </c>
    </row>
    <row r="2149" spans="1:6" ht="14.4" thickBot="1" x14ac:dyDescent="0.35">
      <c r="A2149" s="4" t="s">
        <v>214</v>
      </c>
      <c r="B2149" s="4" t="s">
        <v>215</v>
      </c>
      <c r="C2149" s="4" t="s">
        <v>214</v>
      </c>
      <c r="D2149" s="4" t="s">
        <v>5624</v>
      </c>
      <c r="E2149" s="4" t="s">
        <v>5625</v>
      </c>
      <c r="F2149" s="4" t="s">
        <v>5624</v>
      </c>
    </row>
    <row r="2150" spans="1:6" ht="14.4" thickBot="1" x14ac:dyDescent="0.35">
      <c r="A2150" s="4" t="s">
        <v>214</v>
      </c>
      <c r="B2150" s="4" t="s">
        <v>215</v>
      </c>
      <c r="C2150" s="4" t="s">
        <v>214</v>
      </c>
      <c r="D2150" s="4" t="s">
        <v>3441</v>
      </c>
      <c r="E2150" s="4" t="s">
        <v>3442</v>
      </c>
      <c r="F2150" s="4" t="s">
        <v>3441</v>
      </c>
    </row>
    <row r="2151" spans="1:6" ht="14.4" thickBot="1" x14ac:dyDescent="0.35">
      <c r="A2151" s="4" t="s">
        <v>214</v>
      </c>
      <c r="B2151" s="4" t="s">
        <v>215</v>
      </c>
      <c r="C2151" s="4" t="s">
        <v>214</v>
      </c>
      <c r="D2151" s="4" t="s">
        <v>1171</v>
      </c>
      <c r="E2151" s="4" t="s">
        <v>1172</v>
      </c>
      <c r="F2151" s="4" t="s">
        <v>1171</v>
      </c>
    </row>
    <row r="2152" spans="1:6" ht="14.4" thickBot="1" x14ac:dyDescent="0.35">
      <c r="A2152" s="4" t="s">
        <v>214</v>
      </c>
      <c r="B2152" s="4" t="s">
        <v>215</v>
      </c>
      <c r="C2152" s="4" t="s">
        <v>214</v>
      </c>
      <c r="D2152" s="4" t="s">
        <v>3449</v>
      </c>
      <c r="E2152" s="4" t="s">
        <v>3450</v>
      </c>
      <c r="F2152" s="4" t="s">
        <v>3449</v>
      </c>
    </row>
    <row r="2153" spans="1:6" ht="14.4" thickBot="1" x14ac:dyDescent="0.35">
      <c r="A2153" s="4" t="s">
        <v>214</v>
      </c>
      <c r="B2153" s="4" t="s">
        <v>215</v>
      </c>
      <c r="C2153" s="4" t="s">
        <v>214</v>
      </c>
      <c r="D2153" s="4" t="s">
        <v>4906</v>
      </c>
      <c r="E2153" s="4" t="s">
        <v>4907</v>
      </c>
      <c r="F2153" s="4" t="s">
        <v>4906</v>
      </c>
    </row>
    <row r="2154" spans="1:6" ht="14.4" thickBot="1" x14ac:dyDescent="0.35">
      <c r="A2154" s="4" t="s">
        <v>214</v>
      </c>
      <c r="B2154" s="4" t="s">
        <v>215</v>
      </c>
      <c r="C2154" s="4" t="s">
        <v>214</v>
      </c>
      <c r="D2154" s="4" t="s">
        <v>221</v>
      </c>
      <c r="E2154" s="4" t="s">
        <v>222</v>
      </c>
      <c r="F2154" s="4" t="s">
        <v>221</v>
      </c>
    </row>
    <row r="2155" spans="1:6" ht="14.4" thickBot="1" x14ac:dyDescent="0.35">
      <c r="A2155" s="4" t="s">
        <v>214</v>
      </c>
      <c r="B2155" s="4" t="s">
        <v>215</v>
      </c>
      <c r="C2155" s="4" t="s">
        <v>214</v>
      </c>
      <c r="D2155" s="4" t="s">
        <v>3435</v>
      </c>
      <c r="E2155" s="4" t="s">
        <v>3436</v>
      </c>
      <c r="F2155" s="4" t="s">
        <v>3435</v>
      </c>
    </row>
    <row r="2156" spans="1:6" ht="14.4" thickBot="1" x14ac:dyDescent="0.35">
      <c r="A2156" s="4" t="s">
        <v>214</v>
      </c>
      <c r="B2156" s="4" t="s">
        <v>215</v>
      </c>
      <c r="C2156" s="4" t="s">
        <v>214</v>
      </c>
      <c r="D2156" s="4" t="s">
        <v>5626</v>
      </c>
      <c r="E2156" s="4" t="s">
        <v>5627</v>
      </c>
      <c r="F2156" s="4" t="s">
        <v>5626</v>
      </c>
    </row>
    <row r="2157" spans="1:6" ht="14.4" thickBot="1" x14ac:dyDescent="0.35">
      <c r="A2157" s="4" t="s">
        <v>214</v>
      </c>
      <c r="B2157" s="4" t="s">
        <v>215</v>
      </c>
      <c r="C2157" s="4" t="s">
        <v>214</v>
      </c>
      <c r="D2157" s="4" t="s">
        <v>219</v>
      </c>
      <c r="E2157" s="4" t="s">
        <v>220</v>
      </c>
      <c r="F2157" s="4" t="s">
        <v>219</v>
      </c>
    </row>
    <row r="2158" spans="1:6" ht="14.4" thickBot="1" x14ac:dyDescent="0.35">
      <c r="A2158" s="4" t="s">
        <v>214</v>
      </c>
      <c r="B2158" s="4" t="s">
        <v>215</v>
      </c>
      <c r="C2158" s="4" t="s">
        <v>214</v>
      </c>
      <c r="D2158" s="4" t="s">
        <v>217</v>
      </c>
      <c r="E2158" s="4" t="s">
        <v>218</v>
      </c>
      <c r="F2158" s="4" t="s">
        <v>217</v>
      </c>
    </row>
    <row r="2159" spans="1:6" ht="14.4" thickBot="1" x14ac:dyDescent="0.35">
      <c r="A2159" s="4" t="s">
        <v>214</v>
      </c>
      <c r="B2159" s="4" t="s">
        <v>215</v>
      </c>
      <c r="C2159" s="4" t="s">
        <v>214</v>
      </c>
      <c r="D2159" s="4" t="s">
        <v>4229</v>
      </c>
      <c r="E2159" s="4" t="s">
        <v>4230</v>
      </c>
      <c r="F2159" s="4" t="s">
        <v>4229</v>
      </c>
    </row>
    <row r="2160" spans="1:6" ht="14.4" thickBot="1" x14ac:dyDescent="0.35">
      <c r="A2160" s="4" t="s">
        <v>214</v>
      </c>
      <c r="B2160" s="4" t="s">
        <v>215</v>
      </c>
      <c r="C2160" s="4" t="s">
        <v>214</v>
      </c>
      <c r="D2160" s="4" t="s">
        <v>1173</v>
      </c>
      <c r="E2160" s="4" t="s">
        <v>1174</v>
      </c>
      <c r="F2160" s="4" t="s">
        <v>1173</v>
      </c>
    </row>
    <row r="2161" spans="1:6" ht="14.4" thickBot="1" x14ac:dyDescent="0.35">
      <c r="A2161" s="4" t="s">
        <v>214</v>
      </c>
      <c r="B2161" s="4" t="s">
        <v>215</v>
      </c>
      <c r="C2161" s="4" t="s">
        <v>214</v>
      </c>
      <c r="D2161" s="4" t="s">
        <v>4914</v>
      </c>
      <c r="E2161" s="4" t="s">
        <v>4915</v>
      </c>
      <c r="F2161" s="4" t="s">
        <v>4914</v>
      </c>
    </row>
    <row r="2162" spans="1:6" ht="14.4" thickBot="1" x14ac:dyDescent="0.35">
      <c r="A2162" s="4" t="s">
        <v>214</v>
      </c>
      <c r="B2162" s="4" t="s">
        <v>215</v>
      </c>
      <c r="C2162" s="4" t="s">
        <v>214</v>
      </c>
      <c r="D2162" s="4" t="s">
        <v>4235</v>
      </c>
      <c r="E2162" s="4" t="s">
        <v>4236</v>
      </c>
      <c r="F2162" s="4" t="s">
        <v>4235</v>
      </c>
    </row>
    <row r="2163" spans="1:6" ht="14.4" thickBot="1" x14ac:dyDescent="0.35">
      <c r="A2163" s="4" t="s">
        <v>214</v>
      </c>
      <c r="B2163" s="4" t="s">
        <v>215</v>
      </c>
      <c r="C2163" s="4" t="s">
        <v>214</v>
      </c>
      <c r="D2163" s="4" t="s">
        <v>1999</v>
      </c>
      <c r="E2163" s="4" t="s">
        <v>2000</v>
      </c>
      <c r="F2163" s="4" t="s">
        <v>1999</v>
      </c>
    </row>
    <row r="2164" spans="1:6" ht="14.4" thickBot="1" x14ac:dyDescent="0.35">
      <c r="A2164" s="4" t="s">
        <v>214</v>
      </c>
      <c r="B2164" s="4" t="s">
        <v>215</v>
      </c>
      <c r="C2164" s="4" t="s">
        <v>214</v>
      </c>
      <c r="D2164" s="4" t="s">
        <v>4902</v>
      </c>
      <c r="E2164" s="4" t="s">
        <v>4903</v>
      </c>
      <c r="F2164" s="4" t="s">
        <v>4902</v>
      </c>
    </row>
    <row r="2165" spans="1:6" ht="14.4" thickBot="1" x14ac:dyDescent="0.35">
      <c r="A2165" s="4" t="s">
        <v>214</v>
      </c>
      <c r="B2165" s="4" t="s">
        <v>215</v>
      </c>
      <c r="C2165" s="4" t="s">
        <v>214</v>
      </c>
      <c r="D2165" s="4" t="s">
        <v>1991</v>
      </c>
      <c r="E2165" s="4" t="s">
        <v>1992</v>
      </c>
      <c r="F2165" s="4" t="s">
        <v>1991</v>
      </c>
    </row>
    <row r="2166" spans="1:6" ht="14.4" thickBot="1" x14ac:dyDescent="0.35">
      <c r="A2166" s="4" t="s">
        <v>214</v>
      </c>
      <c r="B2166" s="4" t="s">
        <v>215</v>
      </c>
      <c r="C2166" s="4" t="s">
        <v>214</v>
      </c>
      <c r="D2166" s="4" t="s">
        <v>5622</v>
      </c>
      <c r="E2166" s="4" t="s">
        <v>5623</v>
      </c>
      <c r="F2166" s="4" t="s">
        <v>5622</v>
      </c>
    </row>
    <row r="2167" spans="1:6" ht="14.4" thickBot="1" x14ac:dyDescent="0.35">
      <c r="A2167" s="4" t="s">
        <v>214</v>
      </c>
      <c r="B2167" s="4" t="s">
        <v>215</v>
      </c>
      <c r="C2167" s="4" t="s">
        <v>214</v>
      </c>
      <c r="D2167" s="4" t="s">
        <v>3445</v>
      </c>
      <c r="E2167" s="4" t="s">
        <v>3446</v>
      </c>
      <c r="F2167" s="4" t="s">
        <v>3445</v>
      </c>
    </row>
    <row r="2168" spans="1:6" ht="14.4" thickBot="1" x14ac:dyDescent="0.35">
      <c r="A2168" s="4" t="s">
        <v>214</v>
      </c>
      <c r="B2168" s="4" t="s">
        <v>215</v>
      </c>
      <c r="C2168" s="4" t="s">
        <v>214</v>
      </c>
      <c r="D2168" s="4" t="s">
        <v>3447</v>
      </c>
      <c r="E2168" s="4" t="s">
        <v>3448</v>
      </c>
      <c r="F2168" s="4" t="s">
        <v>3447</v>
      </c>
    </row>
    <row r="2169" spans="1:6" ht="14.4" thickBot="1" x14ac:dyDescent="0.35">
      <c r="A2169" s="4" t="s">
        <v>214</v>
      </c>
      <c r="B2169" s="4" t="s">
        <v>215</v>
      </c>
      <c r="C2169" s="4" t="s">
        <v>214</v>
      </c>
      <c r="D2169" s="4" t="s">
        <v>4908</v>
      </c>
      <c r="E2169" s="4" t="s">
        <v>4909</v>
      </c>
      <c r="F2169" s="4" t="s">
        <v>4908</v>
      </c>
    </row>
    <row r="2170" spans="1:6" ht="14.4" thickBot="1" x14ac:dyDescent="0.35">
      <c r="A2170" s="4" t="s">
        <v>214</v>
      </c>
      <c r="B2170" s="4" t="s">
        <v>215</v>
      </c>
      <c r="C2170" s="4" t="s">
        <v>214</v>
      </c>
      <c r="D2170" s="4" t="s">
        <v>2657</v>
      </c>
      <c r="E2170" s="4" t="s">
        <v>2658</v>
      </c>
      <c r="F2170" s="4" t="s">
        <v>2657</v>
      </c>
    </row>
    <row r="2171" spans="1:6" ht="14.4" thickBot="1" x14ac:dyDescent="0.35">
      <c r="A2171" s="4" t="s">
        <v>214</v>
      </c>
      <c r="B2171" s="4" t="s">
        <v>215</v>
      </c>
      <c r="C2171" s="4" t="s">
        <v>214</v>
      </c>
      <c r="D2171" s="4" t="s">
        <v>2655</v>
      </c>
      <c r="E2171" s="4" t="s">
        <v>2656</v>
      </c>
      <c r="F2171" s="4" t="s">
        <v>2655</v>
      </c>
    </row>
    <row r="2172" spans="1:6" ht="14.4" thickBot="1" x14ac:dyDescent="0.35">
      <c r="A2172" s="4" t="s">
        <v>214</v>
      </c>
      <c r="B2172" s="4" t="s">
        <v>215</v>
      </c>
      <c r="C2172" s="4" t="s">
        <v>214</v>
      </c>
      <c r="D2172" s="4" t="s">
        <v>5632</v>
      </c>
      <c r="E2172" s="4" t="s">
        <v>5633</v>
      </c>
      <c r="F2172" s="4" t="s">
        <v>5632</v>
      </c>
    </row>
    <row r="2173" spans="1:6" ht="14.4" thickBot="1" x14ac:dyDescent="0.35">
      <c r="A2173" s="4" t="s">
        <v>214</v>
      </c>
      <c r="B2173" s="4" t="s">
        <v>215</v>
      </c>
      <c r="C2173" s="4" t="s">
        <v>214</v>
      </c>
      <c r="D2173" s="4" t="s">
        <v>4237</v>
      </c>
      <c r="E2173" s="4" t="s">
        <v>4238</v>
      </c>
      <c r="F2173" s="4" t="s">
        <v>4237</v>
      </c>
    </row>
    <row r="2174" spans="1:6" ht="14.4" thickBot="1" x14ac:dyDescent="0.35">
      <c r="A2174" s="4" t="s">
        <v>214</v>
      </c>
      <c r="B2174" s="4" t="s">
        <v>215</v>
      </c>
      <c r="C2174" s="4" t="s">
        <v>214</v>
      </c>
      <c r="D2174" s="4" t="s">
        <v>3427</v>
      </c>
      <c r="E2174" s="4" t="s">
        <v>3428</v>
      </c>
      <c r="F2174" s="4" t="s">
        <v>3427</v>
      </c>
    </row>
    <row r="2175" spans="1:6" ht="14.4" thickBot="1" x14ac:dyDescent="0.35">
      <c r="A2175" s="4" t="s">
        <v>214</v>
      </c>
      <c r="B2175" s="4" t="s">
        <v>215</v>
      </c>
      <c r="C2175" s="4" t="s">
        <v>214</v>
      </c>
      <c r="D2175" s="4" t="s">
        <v>5630</v>
      </c>
      <c r="E2175" s="4" t="s">
        <v>5631</v>
      </c>
      <c r="F2175" s="4" t="s">
        <v>5630</v>
      </c>
    </row>
    <row r="2176" spans="1:6" ht="14.4" thickBot="1" x14ac:dyDescent="0.35">
      <c r="A2176" s="4" t="s">
        <v>214</v>
      </c>
      <c r="B2176" s="4" t="s">
        <v>215</v>
      </c>
      <c r="C2176" s="4" t="s">
        <v>214</v>
      </c>
      <c r="D2176" s="4" t="s">
        <v>5634</v>
      </c>
      <c r="E2176" s="4" t="s">
        <v>5635</v>
      </c>
      <c r="F2176" s="4" t="s">
        <v>5634</v>
      </c>
    </row>
    <row r="2177" spans="1:6" ht="14.4" thickBot="1" x14ac:dyDescent="0.35">
      <c r="A2177" s="4" t="s">
        <v>214</v>
      </c>
      <c r="B2177" s="4" t="s">
        <v>215</v>
      </c>
      <c r="C2177" s="4" t="s">
        <v>214</v>
      </c>
      <c r="D2177" s="4" t="s">
        <v>3425</v>
      </c>
      <c r="E2177" s="4" t="s">
        <v>3426</v>
      </c>
      <c r="F2177" s="4" t="s">
        <v>3425</v>
      </c>
    </row>
    <row r="2178" spans="1:6" ht="14.4" thickBot="1" x14ac:dyDescent="0.35">
      <c r="A2178" s="4" t="s">
        <v>214</v>
      </c>
      <c r="B2178" s="4" t="s">
        <v>215</v>
      </c>
      <c r="C2178" s="4" t="s">
        <v>214</v>
      </c>
      <c r="D2178" s="4" t="s">
        <v>3429</v>
      </c>
      <c r="E2178" s="4" t="s">
        <v>3430</v>
      </c>
      <c r="F2178" s="4" t="s">
        <v>3429</v>
      </c>
    </row>
    <row r="2179" spans="1:6" ht="14.4" thickBot="1" x14ac:dyDescent="0.35">
      <c r="A2179" s="4" t="s">
        <v>214</v>
      </c>
      <c r="B2179" s="4" t="s">
        <v>215</v>
      </c>
      <c r="C2179" s="4" t="s">
        <v>214</v>
      </c>
      <c r="D2179" s="4" t="s">
        <v>2641</v>
      </c>
      <c r="E2179" s="4" t="s">
        <v>2642</v>
      </c>
      <c r="F2179" s="4" t="s">
        <v>2641</v>
      </c>
    </row>
    <row r="2180" spans="1:6" ht="14.4" thickBot="1" x14ac:dyDescent="0.35">
      <c r="A2180" s="4" t="s">
        <v>214</v>
      </c>
      <c r="B2180" s="4" t="s">
        <v>215</v>
      </c>
      <c r="C2180" s="4" t="s">
        <v>214</v>
      </c>
      <c r="D2180" s="4" t="s">
        <v>4239</v>
      </c>
      <c r="E2180" s="4" t="s">
        <v>4240</v>
      </c>
      <c r="F2180" s="4" t="s">
        <v>4239</v>
      </c>
    </row>
    <row r="2181" spans="1:6" ht="14.4" thickBot="1" x14ac:dyDescent="0.35">
      <c r="A2181" s="4" t="s">
        <v>214</v>
      </c>
      <c r="B2181" s="4" t="s">
        <v>215</v>
      </c>
      <c r="C2181" s="4" t="s">
        <v>214</v>
      </c>
      <c r="D2181" s="4" t="s">
        <v>5641</v>
      </c>
      <c r="E2181" s="4" t="s">
        <v>5642</v>
      </c>
      <c r="F2181" s="4" t="s">
        <v>5641</v>
      </c>
    </row>
    <row r="2182" spans="1:6" ht="14.4" thickBot="1" x14ac:dyDescent="0.35">
      <c r="A2182" s="4" t="s">
        <v>214</v>
      </c>
      <c r="B2182" s="4" t="s">
        <v>215</v>
      </c>
      <c r="C2182" s="4" t="s">
        <v>214</v>
      </c>
      <c r="D2182" s="4" t="s">
        <v>2007</v>
      </c>
      <c r="E2182" s="4" t="s">
        <v>2008</v>
      </c>
      <c r="F2182" s="4" t="s">
        <v>2007</v>
      </c>
    </row>
    <row r="2183" spans="1:6" ht="14.4" thickBot="1" x14ac:dyDescent="0.35">
      <c r="A2183" s="4" t="s">
        <v>214</v>
      </c>
      <c r="B2183" s="4" t="s">
        <v>215</v>
      </c>
      <c r="C2183" s="4" t="s">
        <v>214</v>
      </c>
      <c r="D2183" s="4" t="s">
        <v>2653</v>
      </c>
      <c r="E2183" s="4" t="s">
        <v>2654</v>
      </c>
      <c r="F2183" s="4" t="s">
        <v>2653</v>
      </c>
    </row>
    <row r="2184" spans="1:6" ht="14.4" thickBot="1" x14ac:dyDescent="0.35">
      <c r="A2184" s="4" t="s">
        <v>214</v>
      </c>
      <c r="B2184" s="4" t="s">
        <v>215</v>
      </c>
      <c r="C2184" s="4" t="s">
        <v>214</v>
      </c>
      <c r="D2184" s="4" t="s">
        <v>4912</v>
      </c>
      <c r="E2184" s="4" t="s">
        <v>4913</v>
      </c>
      <c r="F2184" s="4" t="s">
        <v>4912</v>
      </c>
    </row>
    <row r="2185" spans="1:6" ht="14.4" thickBot="1" x14ac:dyDescent="0.35">
      <c r="A2185" s="4" t="s">
        <v>214</v>
      </c>
      <c r="B2185" s="4" t="s">
        <v>215</v>
      </c>
      <c r="C2185" s="4" t="s">
        <v>214</v>
      </c>
      <c r="D2185" s="4" t="s">
        <v>1167</v>
      </c>
      <c r="E2185" s="4" t="s">
        <v>1168</v>
      </c>
      <c r="F2185" s="4" t="s">
        <v>1167</v>
      </c>
    </row>
    <row r="2186" spans="1:6" ht="14.4" thickBot="1" x14ac:dyDescent="0.35">
      <c r="A2186" s="4" t="s">
        <v>233</v>
      </c>
      <c r="B2186" s="4" t="s">
        <v>234</v>
      </c>
      <c r="C2186" s="4" t="s">
        <v>233</v>
      </c>
      <c r="D2186" s="4" t="s">
        <v>404</v>
      </c>
      <c r="E2186" s="4" t="s">
        <v>4926</v>
      </c>
      <c r="F2186" s="4" t="s">
        <v>404</v>
      </c>
    </row>
    <row r="2187" spans="1:6" ht="14.4" thickBot="1" x14ac:dyDescent="0.35">
      <c r="A2187" s="4" t="s">
        <v>233</v>
      </c>
      <c r="B2187" s="4" t="s">
        <v>234</v>
      </c>
      <c r="C2187" s="4" t="s">
        <v>233</v>
      </c>
      <c r="D2187" s="4" t="s">
        <v>1189</v>
      </c>
      <c r="E2187" s="4" t="s">
        <v>1190</v>
      </c>
      <c r="F2187" s="4" t="s">
        <v>1189</v>
      </c>
    </row>
    <row r="2188" spans="1:6" ht="14.4" thickBot="1" x14ac:dyDescent="0.35">
      <c r="A2188" s="4" t="s">
        <v>233</v>
      </c>
      <c r="B2188" s="4" t="s">
        <v>234</v>
      </c>
      <c r="C2188" s="4" t="s">
        <v>233</v>
      </c>
      <c r="D2188" s="4" t="s">
        <v>4924</v>
      </c>
      <c r="E2188" s="4" t="s">
        <v>4925</v>
      </c>
      <c r="F2188" s="4" t="s">
        <v>4924</v>
      </c>
    </row>
    <row r="2189" spans="1:6" ht="14.4" thickBot="1" x14ac:dyDescent="0.35">
      <c r="A2189" s="4" t="s">
        <v>233</v>
      </c>
      <c r="B2189" s="4" t="s">
        <v>234</v>
      </c>
      <c r="C2189" s="4" t="s">
        <v>233</v>
      </c>
      <c r="D2189" s="4" t="s">
        <v>5645</v>
      </c>
      <c r="E2189" s="4" t="s">
        <v>5646</v>
      </c>
      <c r="F2189" s="4" t="s">
        <v>5645</v>
      </c>
    </row>
    <row r="2190" spans="1:6" ht="14.4" thickBot="1" x14ac:dyDescent="0.35">
      <c r="A2190" s="4" t="s">
        <v>233</v>
      </c>
      <c r="B2190" s="4" t="s">
        <v>234</v>
      </c>
      <c r="C2190" s="4" t="s">
        <v>233</v>
      </c>
      <c r="D2190" s="4" t="s">
        <v>776</v>
      </c>
      <c r="E2190" s="4" t="s">
        <v>4923</v>
      </c>
      <c r="F2190" s="4" t="s">
        <v>776</v>
      </c>
    </row>
    <row r="2191" spans="1:6" ht="14.4" thickBot="1" x14ac:dyDescent="0.35">
      <c r="A2191" s="4" t="s">
        <v>233</v>
      </c>
      <c r="B2191" s="4" t="s">
        <v>234</v>
      </c>
      <c r="C2191" s="4" t="s">
        <v>233</v>
      </c>
      <c r="D2191" s="4" t="s">
        <v>1628</v>
      </c>
      <c r="E2191" s="4" t="s">
        <v>2678</v>
      </c>
      <c r="F2191" s="4" t="s">
        <v>1628</v>
      </c>
    </row>
    <row r="2192" spans="1:6" ht="14.4" thickBot="1" x14ac:dyDescent="0.35">
      <c r="A2192" s="4" t="s">
        <v>233</v>
      </c>
      <c r="B2192" s="4" t="s">
        <v>234</v>
      </c>
      <c r="C2192" s="4" t="s">
        <v>233</v>
      </c>
      <c r="D2192" s="4" t="s">
        <v>4258</v>
      </c>
      <c r="E2192" s="4" t="s">
        <v>4259</v>
      </c>
      <c r="F2192" s="4" t="s">
        <v>4258</v>
      </c>
    </row>
    <row r="2193" spans="1:6" ht="14.4" thickBot="1" x14ac:dyDescent="0.35">
      <c r="A2193" s="4" t="s">
        <v>233</v>
      </c>
      <c r="B2193" s="4" t="s">
        <v>234</v>
      </c>
      <c r="C2193" s="4" t="s">
        <v>233</v>
      </c>
      <c r="D2193" s="4" t="s">
        <v>4922</v>
      </c>
      <c r="E2193" s="4" t="s">
        <v>4662</v>
      </c>
      <c r="F2193" s="4" t="s">
        <v>4922</v>
      </c>
    </row>
    <row r="2194" spans="1:6" ht="14.4" thickBot="1" x14ac:dyDescent="0.35">
      <c r="A2194" s="4" t="s">
        <v>233</v>
      </c>
      <c r="B2194" s="4" t="s">
        <v>234</v>
      </c>
      <c r="C2194" s="4" t="s">
        <v>233</v>
      </c>
      <c r="D2194" s="4" t="s">
        <v>3455</v>
      </c>
      <c r="E2194" s="4" t="s">
        <v>3456</v>
      </c>
      <c r="F2194" s="4" t="s">
        <v>3455</v>
      </c>
    </row>
    <row r="2195" spans="1:6" ht="14.4" thickBot="1" x14ac:dyDescent="0.35">
      <c r="A2195" s="4" t="s">
        <v>233</v>
      </c>
      <c r="B2195" s="4" t="s">
        <v>234</v>
      </c>
      <c r="C2195" s="4" t="s">
        <v>233</v>
      </c>
      <c r="D2195" s="4" t="s">
        <v>2017</v>
      </c>
      <c r="E2195" s="4" t="s">
        <v>2018</v>
      </c>
      <c r="F2195" s="4" t="s">
        <v>2017</v>
      </c>
    </row>
    <row r="2196" spans="1:6" ht="14.4" thickBot="1" x14ac:dyDescent="0.35">
      <c r="A2196" s="4" t="s">
        <v>233</v>
      </c>
      <c r="B2196" s="4" t="s">
        <v>234</v>
      </c>
      <c r="C2196" s="4" t="s">
        <v>233</v>
      </c>
      <c r="D2196" s="4" t="s">
        <v>4256</v>
      </c>
      <c r="E2196" s="4" t="s">
        <v>4257</v>
      </c>
      <c r="F2196" s="4" t="s">
        <v>4256</v>
      </c>
    </row>
    <row r="2197" spans="1:6" ht="14.4" thickBot="1" x14ac:dyDescent="0.35">
      <c r="A2197" s="4" t="s">
        <v>233</v>
      </c>
      <c r="B2197" s="4" t="s">
        <v>234</v>
      </c>
      <c r="C2197" s="4" t="s">
        <v>233</v>
      </c>
      <c r="D2197" s="4" t="s">
        <v>2663</v>
      </c>
      <c r="E2197" s="4" t="s">
        <v>2664</v>
      </c>
      <c r="F2197" s="4" t="s">
        <v>2663</v>
      </c>
    </row>
    <row r="2198" spans="1:6" ht="14.4" thickBot="1" x14ac:dyDescent="0.35">
      <c r="A2198" s="4" t="s">
        <v>233</v>
      </c>
      <c r="B2198" s="4" t="s">
        <v>234</v>
      </c>
      <c r="C2198" s="4" t="s">
        <v>233</v>
      </c>
      <c r="D2198" s="4" t="s">
        <v>1187</v>
      </c>
      <c r="E2198" s="4" t="s">
        <v>1188</v>
      </c>
      <c r="F2198" s="4" t="s">
        <v>1187</v>
      </c>
    </row>
    <row r="2199" spans="1:6" ht="14.4" thickBot="1" x14ac:dyDescent="0.35">
      <c r="A2199" s="4" t="s">
        <v>233</v>
      </c>
      <c r="B2199" s="4" t="s">
        <v>234</v>
      </c>
      <c r="C2199" s="4" t="s">
        <v>233</v>
      </c>
      <c r="D2199" s="4" t="s">
        <v>241</v>
      </c>
      <c r="E2199" s="4" t="s">
        <v>242</v>
      </c>
      <c r="F2199" s="4" t="s">
        <v>241</v>
      </c>
    </row>
    <row r="2200" spans="1:6" ht="14.4" thickBot="1" x14ac:dyDescent="0.35">
      <c r="A2200" s="4" t="s">
        <v>233</v>
      </c>
      <c r="B2200" s="4" t="s">
        <v>234</v>
      </c>
      <c r="C2200" s="4" t="s">
        <v>233</v>
      </c>
      <c r="D2200" s="4" t="s">
        <v>4920</v>
      </c>
      <c r="E2200" s="4" t="s">
        <v>4921</v>
      </c>
      <c r="F2200" s="4" t="s">
        <v>4920</v>
      </c>
    </row>
    <row r="2201" spans="1:6" ht="14.4" thickBot="1" x14ac:dyDescent="0.35">
      <c r="A2201" s="4" t="s">
        <v>233</v>
      </c>
      <c r="B2201" s="4" t="s">
        <v>234</v>
      </c>
      <c r="C2201" s="4" t="s">
        <v>233</v>
      </c>
      <c r="D2201" s="4" t="s">
        <v>2673</v>
      </c>
      <c r="E2201" s="4" t="s">
        <v>1675</v>
      </c>
      <c r="F2201" s="4" t="s">
        <v>2673</v>
      </c>
    </row>
    <row r="2202" spans="1:6" ht="14.4" thickBot="1" x14ac:dyDescent="0.35">
      <c r="A2202" s="4" t="s">
        <v>233</v>
      </c>
      <c r="B2202" s="4" t="s">
        <v>234</v>
      </c>
      <c r="C2202" s="4" t="s">
        <v>233</v>
      </c>
      <c r="D2202" s="4" t="s">
        <v>2665</v>
      </c>
      <c r="E2202" s="4" t="s">
        <v>2666</v>
      </c>
      <c r="F2202" s="4" t="s">
        <v>2665</v>
      </c>
    </row>
    <row r="2203" spans="1:6" ht="14.4" thickBot="1" x14ac:dyDescent="0.35">
      <c r="A2203" s="4" t="s">
        <v>233</v>
      </c>
      <c r="B2203" s="4" t="s">
        <v>234</v>
      </c>
      <c r="C2203" s="4" t="s">
        <v>233</v>
      </c>
      <c r="D2203" s="4" t="s">
        <v>5647</v>
      </c>
      <c r="E2203" s="4" t="s">
        <v>5648</v>
      </c>
      <c r="F2203" s="4" t="s">
        <v>5647</v>
      </c>
    </row>
    <row r="2204" spans="1:6" ht="14.4" thickBot="1" x14ac:dyDescent="0.35">
      <c r="A2204" s="4" t="s">
        <v>233</v>
      </c>
      <c r="B2204" s="4" t="s">
        <v>234</v>
      </c>
      <c r="C2204" s="4" t="s">
        <v>233</v>
      </c>
      <c r="D2204" s="4" t="s">
        <v>2669</v>
      </c>
      <c r="E2204" s="4" t="s">
        <v>2670</v>
      </c>
      <c r="F2204" s="4" t="s">
        <v>2669</v>
      </c>
    </row>
    <row r="2205" spans="1:6" ht="14.4" thickBot="1" x14ac:dyDescent="0.35">
      <c r="A2205" s="4" t="s">
        <v>233</v>
      </c>
      <c r="B2205" s="4" t="s">
        <v>234</v>
      </c>
      <c r="C2205" s="4" t="s">
        <v>233</v>
      </c>
      <c r="D2205" s="4" t="s">
        <v>235</v>
      </c>
      <c r="E2205" s="4" t="s">
        <v>236</v>
      </c>
      <c r="F2205" s="4" t="s">
        <v>235</v>
      </c>
    </row>
    <row r="2206" spans="1:6" ht="14.4" thickBot="1" x14ac:dyDescent="0.35">
      <c r="A2206" s="4" t="s">
        <v>233</v>
      </c>
      <c r="B2206" s="4" t="s">
        <v>234</v>
      </c>
      <c r="C2206" s="4" t="s">
        <v>233</v>
      </c>
      <c r="D2206" s="4" t="s">
        <v>1181</v>
      </c>
      <c r="E2206" s="4" t="s">
        <v>1182</v>
      </c>
      <c r="F2206" s="4" t="s">
        <v>1181</v>
      </c>
    </row>
    <row r="2207" spans="1:6" ht="14.4" thickBot="1" x14ac:dyDescent="0.35">
      <c r="A2207" s="4" t="s">
        <v>233</v>
      </c>
      <c r="B2207" s="4" t="s">
        <v>234</v>
      </c>
      <c r="C2207" s="4" t="s">
        <v>233</v>
      </c>
      <c r="D2207" s="4" t="s">
        <v>2681</v>
      </c>
      <c r="E2207" s="4" t="s">
        <v>657</v>
      </c>
      <c r="F2207" s="4" t="s">
        <v>2681</v>
      </c>
    </row>
    <row r="2208" spans="1:6" ht="14.4" thickBot="1" x14ac:dyDescent="0.35">
      <c r="A2208" s="4" t="s">
        <v>233</v>
      </c>
      <c r="B2208" s="4" t="s">
        <v>234</v>
      </c>
      <c r="C2208" s="4" t="s">
        <v>233</v>
      </c>
      <c r="D2208" s="4" t="s">
        <v>2667</v>
      </c>
      <c r="E2208" s="4" t="s">
        <v>2668</v>
      </c>
      <c r="F2208" s="4" t="s">
        <v>2667</v>
      </c>
    </row>
    <row r="2209" spans="1:6" ht="14.4" thickBot="1" x14ac:dyDescent="0.35">
      <c r="A2209" s="4" t="s">
        <v>233</v>
      </c>
      <c r="B2209" s="4" t="s">
        <v>234</v>
      </c>
      <c r="C2209" s="4" t="s">
        <v>233</v>
      </c>
      <c r="D2209" s="4" t="s">
        <v>4248</v>
      </c>
      <c r="E2209" s="4" t="s">
        <v>4249</v>
      </c>
      <c r="F2209" s="4" t="s">
        <v>4248</v>
      </c>
    </row>
    <row r="2210" spans="1:6" ht="14.4" thickBot="1" x14ac:dyDescent="0.35">
      <c r="A2210" s="4" t="s">
        <v>233</v>
      </c>
      <c r="B2210" s="4" t="s">
        <v>234</v>
      </c>
      <c r="C2210" s="4" t="s">
        <v>233</v>
      </c>
      <c r="D2210" s="4" t="s">
        <v>5643</v>
      </c>
      <c r="E2210" s="4" t="s">
        <v>5644</v>
      </c>
      <c r="F2210" s="4" t="s">
        <v>5643</v>
      </c>
    </row>
    <row r="2211" spans="1:6" ht="14.4" thickBot="1" x14ac:dyDescent="0.35">
      <c r="A2211" s="4" t="s">
        <v>233</v>
      </c>
      <c r="B2211" s="4" t="s">
        <v>234</v>
      </c>
      <c r="C2211" s="4" t="s">
        <v>233</v>
      </c>
      <c r="D2211" s="4" t="s">
        <v>4250</v>
      </c>
      <c r="E2211" s="4" t="s">
        <v>4251</v>
      </c>
      <c r="F2211" s="4" t="s">
        <v>4250</v>
      </c>
    </row>
    <row r="2212" spans="1:6" ht="14.4" thickBot="1" x14ac:dyDescent="0.35">
      <c r="A2212" s="4" t="s">
        <v>233</v>
      </c>
      <c r="B2212" s="4" t="s">
        <v>234</v>
      </c>
      <c r="C2212" s="4" t="s">
        <v>233</v>
      </c>
      <c r="D2212" s="4" t="s">
        <v>239</v>
      </c>
      <c r="E2212" s="4" t="s">
        <v>240</v>
      </c>
      <c r="F2212" s="4" t="s">
        <v>239</v>
      </c>
    </row>
    <row r="2213" spans="1:6" ht="14.4" thickBot="1" x14ac:dyDescent="0.35">
      <c r="A2213" s="4" t="s">
        <v>233</v>
      </c>
      <c r="B2213" s="4" t="s">
        <v>234</v>
      </c>
      <c r="C2213" s="4" t="s">
        <v>233</v>
      </c>
      <c r="D2213" s="4" t="s">
        <v>1183</v>
      </c>
      <c r="E2213" s="4" t="s">
        <v>1184</v>
      </c>
      <c r="F2213" s="4" t="s">
        <v>1183</v>
      </c>
    </row>
    <row r="2214" spans="1:6" ht="14.4" thickBot="1" x14ac:dyDescent="0.35">
      <c r="A2214" s="4" t="s">
        <v>233</v>
      </c>
      <c r="B2214" s="4" t="s">
        <v>234</v>
      </c>
      <c r="C2214" s="4" t="s">
        <v>233</v>
      </c>
      <c r="D2214" s="4" t="s">
        <v>2019</v>
      </c>
      <c r="E2214" s="4" t="s">
        <v>2020</v>
      </c>
      <c r="F2214" s="4" t="s">
        <v>2019</v>
      </c>
    </row>
    <row r="2215" spans="1:6" ht="14.4" thickBot="1" x14ac:dyDescent="0.35">
      <c r="A2215" s="4" t="s">
        <v>233</v>
      </c>
      <c r="B2215" s="4" t="s">
        <v>234</v>
      </c>
      <c r="C2215" s="4" t="s">
        <v>233</v>
      </c>
      <c r="D2215" s="4" t="s">
        <v>1185</v>
      </c>
      <c r="E2215" s="4" t="s">
        <v>1186</v>
      </c>
      <c r="F2215" s="4" t="s">
        <v>1185</v>
      </c>
    </row>
    <row r="2216" spans="1:6" ht="14.4" thickBot="1" x14ac:dyDescent="0.35">
      <c r="A2216" s="4" t="s">
        <v>233</v>
      </c>
      <c r="B2216" s="4" t="s">
        <v>234</v>
      </c>
      <c r="C2216" s="4" t="s">
        <v>233</v>
      </c>
      <c r="D2216" s="4" t="s">
        <v>4254</v>
      </c>
      <c r="E2216" s="4" t="s">
        <v>4255</v>
      </c>
      <c r="F2216" s="4" t="s">
        <v>4254</v>
      </c>
    </row>
    <row r="2217" spans="1:6" ht="14.4" thickBot="1" x14ac:dyDescent="0.35">
      <c r="A2217" s="4" t="s">
        <v>233</v>
      </c>
      <c r="B2217" s="4" t="s">
        <v>234</v>
      </c>
      <c r="C2217" s="4" t="s">
        <v>233</v>
      </c>
      <c r="D2217" s="4" t="s">
        <v>237</v>
      </c>
      <c r="E2217" s="4" t="s">
        <v>238</v>
      </c>
      <c r="F2217" s="4" t="s">
        <v>237</v>
      </c>
    </row>
    <row r="2218" spans="1:6" ht="14.4" thickBot="1" x14ac:dyDescent="0.35">
      <c r="A2218" s="4" t="s">
        <v>233</v>
      </c>
      <c r="B2218" s="4" t="s">
        <v>234</v>
      </c>
      <c r="C2218" s="4" t="s">
        <v>233</v>
      </c>
      <c r="D2218" s="4" t="s">
        <v>3451</v>
      </c>
      <c r="E2218" s="4" t="s">
        <v>3452</v>
      </c>
      <c r="F2218" s="4" t="s">
        <v>3451</v>
      </c>
    </row>
    <row r="2219" spans="1:6" ht="14.4" thickBot="1" x14ac:dyDescent="0.35">
      <c r="A2219" s="4" t="s">
        <v>233</v>
      </c>
      <c r="B2219" s="4" t="s">
        <v>234</v>
      </c>
      <c r="C2219" s="4" t="s">
        <v>233</v>
      </c>
      <c r="D2219" s="4" t="s">
        <v>3453</v>
      </c>
      <c r="E2219" s="4" t="s">
        <v>3454</v>
      </c>
      <c r="F2219" s="4" t="s">
        <v>3453</v>
      </c>
    </row>
    <row r="2220" spans="1:6" ht="14.4" thickBot="1" x14ac:dyDescent="0.35">
      <c r="A2220" s="4" t="s">
        <v>233</v>
      </c>
      <c r="B2220" s="4" t="s">
        <v>234</v>
      </c>
      <c r="C2220" s="4" t="s">
        <v>233</v>
      </c>
      <c r="D2220" s="4" t="s">
        <v>4918</v>
      </c>
      <c r="E2220" s="4" t="s">
        <v>4919</v>
      </c>
      <c r="F2220" s="4" t="s">
        <v>4918</v>
      </c>
    </row>
    <row r="2221" spans="1:6" ht="14.4" thickBot="1" x14ac:dyDescent="0.35">
      <c r="A2221" s="4" t="s">
        <v>233</v>
      </c>
      <c r="B2221" s="4" t="s">
        <v>234</v>
      </c>
      <c r="C2221" s="4" t="s">
        <v>233</v>
      </c>
      <c r="D2221" s="4" t="s">
        <v>2676</v>
      </c>
      <c r="E2221" s="4" t="s">
        <v>2677</v>
      </c>
      <c r="F2221" s="4" t="s">
        <v>2676</v>
      </c>
    </row>
    <row r="2222" spans="1:6" ht="14.4" thickBot="1" x14ac:dyDescent="0.35">
      <c r="A2222" s="4" t="s">
        <v>233</v>
      </c>
      <c r="B2222" s="4" t="s">
        <v>234</v>
      </c>
      <c r="C2222" s="4" t="s">
        <v>233</v>
      </c>
      <c r="D2222" s="4" t="s">
        <v>2679</v>
      </c>
      <c r="E2222" s="4" t="s">
        <v>2680</v>
      </c>
      <c r="F2222" s="4" t="s">
        <v>2679</v>
      </c>
    </row>
    <row r="2223" spans="1:6" ht="14.4" thickBot="1" x14ac:dyDescent="0.35">
      <c r="A2223" s="4" t="s">
        <v>233</v>
      </c>
      <c r="B2223" s="4" t="s">
        <v>234</v>
      </c>
      <c r="C2223" s="4" t="s">
        <v>233</v>
      </c>
      <c r="D2223" s="4" t="s">
        <v>2674</v>
      </c>
      <c r="E2223" s="4" t="s">
        <v>2675</v>
      </c>
      <c r="F2223" s="4" t="s">
        <v>2674</v>
      </c>
    </row>
    <row r="2224" spans="1:6" ht="14.4" thickBot="1" x14ac:dyDescent="0.35">
      <c r="A2224" s="4" t="s">
        <v>233</v>
      </c>
      <c r="B2224" s="4" t="s">
        <v>234</v>
      </c>
      <c r="C2224" s="4" t="s">
        <v>233</v>
      </c>
      <c r="D2224" s="4" t="s">
        <v>2671</v>
      </c>
      <c r="E2224" s="4" t="s">
        <v>2672</v>
      </c>
      <c r="F2224" s="4" t="s">
        <v>2671</v>
      </c>
    </row>
    <row r="2225" spans="1:6" ht="14.4" thickBot="1" x14ac:dyDescent="0.35">
      <c r="A2225" s="4" t="s">
        <v>233</v>
      </c>
      <c r="B2225" s="4" t="s">
        <v>234</v>
      </c>
      <c r="C2225" s="4" t="s">
        <v>233</v>
      </c>
      <c r="D2225" s="4" t="s">
        <v>4246</v>
      </c>
      <c r="E2225" s="4" t="s">
        <v>4247</v>
      </c>
      <c r="F2225" s="4" t="s">
        <v>4246</v>
      </c>
    </row>
    <row r="2226" spans="1:6" ht="14.4" thickBot="1" x14ac:dyDescent="0.35">
      <c r="A2226" s="4" t="s">
        <v>233</v>
      </c>
      <c r="B2226" s="4" t="s">
        <v>234</v>
      </c>
      <c r="C2226" s="4" t="s">
        <v>233</v>
      </c>
      <c r="D2226" s="4" t="s">
        <v>4252</v>
      </c>
      <c r="E2226" s="4" t="s">
        <v>4253</v>
      </c>
      <c r="F2226" s="4" t="s">
        <v>4252</v>
      </c>
    </row>
    <row r="2227" spans="1:6" ht="14.4" thickBot="1" x14ac:dyDescent="0.35">
      <c r="A2227" s="4" t="s">
        <v>243</v>
      </c>
      <c r="B2227" s="4" t="s">
        <v>244</v>
      </c>
      <c r="C2227" s="4" t="s">
        <v>243</v>
      </c>
      <c r="D2227" s="4" t="s">
        <v>2682</v>
      </c>
      <c r="E2227" s="4" t="s">
        <v>2683</v>
      </c>
      <c r="F2227" s="4" t="s">
        <v>2682</v>
      </c>
    </row>
    <row r="2228" spans="1:6" ht="14.4" thickBot="1" x14ac:dyDescent="0.35">
      <c r="A2228" s="4" t="s">
        <v>243</v>
      </c>
      <c r="B2228" s="4" t="s">
        <v>244</v>
      </c>
      <c r="C2228" s="4" t="s">
        <v>243</v>
      </c>
      <c r="D2228" s="4" t="s">
        <v>46</v>
      </c>
      <c r="E2228" s="4" t="s">
        <v>245</v>
      </c>
      <c r="F2228" s="4" t="s">
        <v>46</v>
      </c>
    </row>
    <row r="2229" spans="1:6" ht="14.4" thickBot="1" x14ac:dyDescent="0.35">
      <c r="A2229" s="4" t="s">
        <v>243</v>
      </c>
      <c r="B2229" s="4" t="s">
        <v>244</v>
      </c>
      <c r="C2229" s="4" t="s">
        <v>243</v>
      </c>
      <c r="D2229" s="4" t="s">
        <v>1191</v>
      </c>
      <c r="E2229" s="4" t="s">
        <v>1192</v>
      </c>
      <c r="F2229" s="4" t="s">
        <v>1191</v>
      </c>
    </row>
    <row r="2230" spans="1:6" ht="14.4" thickBot="1" x14ac:dyDescent="0.35">
      <c r="A2230" s="4" t="s">
        <v>243</v>
      </c>
      <c r="B2230" s="4" t="s">
        <v>244</v>
      </c>
      <c r="C2230" s="4" t="s">
        <v>243</v>
      </c>
      <c r="D2230" s="4" t="s">
        <v>4929</v>
      </c>
      <c r="E2230" s="4" t="s">
        <v>4930</v>
      </c>
      <c r="F2230" s="4" t="s">
        <v>4929</v>
      </c>
    </row>
    <row r="2231" spans="1:6" ht="14.4" thickBot="1" x14ac:dyDescent="0.35">
      <c r="A2231" s="4" t="s">
        <v>243</v>
      </c>
      <c r="B2231" s="4" t="s">
        <v>244</v>
      </c>
      <c r="C2231" s="4" t="s">
        <v>243</v>
      </c>
      <c r="D2231" s="4" t="s">
        <v>4927</v>
      </c>
      <c r="E2231" s="4" t="s">
        <v>4928</v>
      </c>
      <c r="F2231" s="4" t="s">
        <v>4927</v>
      </c>
    </row>
    <row r="2232" spans="1:6" ht="14.4" thickBot="1" x14ac:dyDescent="0.35">
      <c r="A2232" s="4" t="s">
        <v>243</v>
      </c>
      <c r="B2232" s="4" t="s">
        <v>244</v>
      </c>
      <c r="C2232" s="4" t="s">
        <v>243</v>
      </c>
      <c r="D2232" s="4" t="s">
        <v>2021</v>
      </c>
      <c r="E2232" s="4" t="s">
        <v>2022</v>
      </c>
      <c r="F2232" s="4" t="s">
        <v>2021</v>
      </c>
    </row>
    <row r="2233" spans="1:6" ht="14.4" thickBot="1" x14ac:dyDescent="0.35">
      <c r="A2233" s="4" t="s">
        <v>3161</v>
      </c>
      <c r="B2233" s="4" t="s">
        <v>3162</v>
      </c>
      <c r="C2233" s="4" t="s">
        <v>3161</v>
      </c>
      <c r="D2233" s="4" t="s">
        <v>3985</v>
      </c>
      <c r="E2233" s="4" t="s">
        <v>3986</v>
      </c>
      <c r="F2233" s="4" t="s">
        <v>3985</v>
      </c>
    </row>
    <row r="2234" spans="1:6" ht="14.4" thickBot="1" x14ac:dyDescent="0.35">
      <c r="A2234" s="4" t="s">
        <v>3161</v>
      </c>
      <c r="B2234" s="4" t="s">
        <v>3162</v>
      </c>
      <c r="C2234" s="4" t="s">
        <v>3161</v>
      </c>
      <c r="D2234" s="4" t="s">
        <v>3983</v>
      </c>
      <c r="E2234" s="4" t="s">
        <v>3984</v>
      </c>
      <c r="F2234" s="4" t="s">
        <v>3983</v>
      </c>
    </row>
    <row r="2235" spans="1:6" ht="14.4" thickBot="1" x14ac:dyDescent="0.35">
      <c r="A2235" s="4" t="s">
        <v>3161</v>
      </c>
      <c r="B2235" s="4" t="s">
        <v>3162</v>
      </c>
      <c r="C2235" s="4" t="s">
        <v>3161</v>
      </c>
      <c r="D2235" s="4" t="s">
        <v>6179</v>
      </c>
      <c r="E2235" s="4" t="s">
        <v>6180</v>
      </c>
      <c r="F2235" s="4" t="s">
        <v>6179</v>
      </c>
    </row>
    <row r="2236" spans="1:6" ht="14.4" thickBot="1" x14ac:dyDescent="0.35">
      <c r="A2236" s="4" t="s">
        <v>3161</v>
      </c>
      <c r="B2236" s="4" t="s">
        <v>3162</v>
      </c>
      <c r="C2236" s="4" t="s">
        <v>3161</v>
      </c>
      <c r="D2236" s="4" t="s">
        <v>5468</v>
      </c>
      <c r="E2236" s="4" t="s">
        <v>5469</v>
      </c>
      <c r="F2236" s="4" t="s">
        <v>5468</v>
      </c>
    </row>
    <row r="2237" spans="1:6" ht="14.4" thickBot="1" x14ac:dyDescent="0.35">
      <c r="A2237" s="4" t="s">
        <v>3161</v>
      </c>
      <c r="B2237" s="4" t="s">
        <v>3162</v>
      </c>
      <c r="C2237" s="4" t="s">
        <v>3161</v>
      </c>
      <c r="D2237" s="4" t="s">
        <v>4074</v>
      </c>
      <c r="E2237" s="4" t="s">
        <v>4075</v>
      </c>
      <c r="F2237" s="4" t="s">
        <v>4074</v>
      </c>
    </row>
    <row r="2238" spans="1:6" ht="14.4" thickBot="1" x14ac:dyDescent="0.35">
      <c r="A2238" s="4" t="s">
        <v>3161</v>
      </c>
      <c r="B2238" s="4" t="s">
        <v>3162</v>
      </c>
      <c r="C2238" s="4" t="s">
        <v>3161</v>
      </c>
      <c r="D2238" s="4" t="s">
        <v>3163</v>
      </c>
      <c r="E2238" s="4" t="s">
        <v>3164</v>
      </c>
      <c r="F2238" s="4" t="s">
        <v>3163</v>
      </c>
    </row>
    <row r="2239" spans="1:6" ht="14.4" thickBot="1" x14ac:dyDescent="0.35">
      <c r="A2239" s="4" t="s">
        <v>247</v>
      </c>
      <c r="B2239" s="4" t="s">
        <v>248</v>
      </c>
      <c r="C2239" s="4" t="s">
        <v>247</v>
      </c>
      <c r="D2239" s="4" t="s">
        <v>249</v>
      </c>
      <c r="E2239" s="4" t="s">
        <v>250</v>
      </c>
      <c r="F2239" s="4" t="s">
        <v>249</v>
      </c>
    </row>
    <row r="2240" spans="1:6" ht="14.4" thickBot="1" x14ac:dyDescent="0.35">
      <c r="A2240" s="4" t="s">
        <v>247</v>
      </c>
      <c r="B2240" s="4" t="s">
        <v>248</v>
      </c>
      <c r="C2240" s="4" t="s">
        <v>247</v>
      </c>
      <c r="D2240" s="4" t="s">
        <v>1193</v>
      </c>
      <c r="E2240" s="4" t="s">
        <v>1194</v>
      </c>
      <c r="F2240" s="4" t="s">
        <v>1193</v>
      </c>
    </row>
    <row r="2241" spans="1:6" ht="14.4" thickBot="1" x14ac:dyDescent="0.35">
      <c r="A2241" s="4" t="s">
        <v>4931</v>
      </c>
      <c r="B2241" s="4" t="s">
        <v>4932</v>
      </c>
      <c r="C2241" s="4" t="s">
        <v>4931</v>
      </c>
      <c r="D2241" s="4" t="s">
        <v>4933</v>
      </c>
      <c r="E2241" s="4" t="s">
        <v>4934</v>
      </c>
      <c r="F2241" s="4" t="s">
        <v>4933</v>
      </c>
    </row>
    <row r="2242" spans="1:6" ht="14.4" thickBot="1" x14ac:dyDescent="0.35">
      <c r="A2242" s="4" t="s">
        <v>1195</v>
      </c>
      <c r="B2242" s="4" t="s">
        <v>1196</v>
      </c>
      <c r="C2242" s="4" t="s">
        <v>1195</v>
      </c>
      <c r="D2242" s="4" t="s">
        <v>1197</v>
      </c>
      <c r="E2242" s="4" t="s">
        <v>1198</v>
      </c>
      <c r="F2242" s="4" t="s">
        <v>1197</v>
      </c>
    </row>
    <row r="2243" spans="1:6" ht="14.4" thickBot="1" x14ac:dyDescent="0.35">
      <c r="A2243" s="4" t="s">
        <v>1195</v>
      </c>
      <c r="B2243" s="4" t="s">
        <v>1196</v>
      </c>
      <c r="C2243" s="4" t="s">
        <v>1195</v>
      </c>
      <c r="D2243" s="4" t="s">
        <v>4260</v>
      </c>
      <c r="E2243" s="4" t="s">
        <v>4261</v>
      </c>
      <c r="F2243" s="4" t="s">
        <v>4260</v>
      </c>
    </row>
    <row r="2244" spans="1:6" ht="14.4" thickBot="1" x14ac:dyDescent="0.35">
      <c r="A2244" s="4" t="s">
        <v>2684</v>
      </c>
      <c r="B2244" s="4" t="s">
        <v>2685</v>
      </c>
      <c r="C2244" s="4" t="s">
        <v>2684</v>
      </c>
      <c r="D2244" s="4" t="s">
        <v>5649</v>
      </c>
      <c r="E2244" s="4" t="s">
        <v>5650</v>
      </c>
      <c r="F2244" s="4" t="s">
        <v>5649</v>
      </c>
    </row>
    <row r="2245" spans="1:6" ht="14.4" thickBot="1" x14ac:dyDescent="0.35">
      <c r="A2245" s="4" t="s">
        <v>2684</v>
      </c>
      <c r="B2245" s="4" t="s">
        <v>2685</v>
      </c>
      <c r="C2245" s="4" t="s">
        <v>2684</v>
      </c>
      <c r="D2245" s="4" t="s">
        <v>2686</v>
      </c>
      <c r="E2245" s="4" t="s">
        <v>2687</v>
      </c>
      <c r="F2245" s="4" t="s">
        <v>2686</v>
      </c>
    </row>
    <row r="2246" spans="1:6" ht="14.4" thickBot="1" x14ac:dyDescent="0.35">
      <c r="A2246" s="4" t="s">
        <v>1710</v>
      </c>
      <c r="B2246" s="4" t="s">
        <v>1711</v>
      </c>
      <c r="C2246" s="4" t="s">
        <v>1710</v>
      </c>
      <c r="D2246" s="4" t="s">
        <v>6071</v>
      </c>
      <c r="E2246" s="4" t="s">
        <v>6072</v>
      </c>
      <c r="F2246" s="4" t="s">
        <v>6071</v>
      </c>
    </row>
    <row r="2247" spans="1:6" ht="14.4" thickBot="1" x14ac:dyDescent="0.35">
      <c r="A2247" s="4" t="s">
        <v>1710</v>
      </c>
      <c r="B2247" s="4" t="s">
        <v>1711</v>
      </c>
      <c r="C2247" s="4" t="s">
        <v>1710</v>
      </c>
      <c r="D2247" s="4" t="s">
        <v>1712</v>
      </c>
      <c r="E2247" s="4" t="s">
        <v>1713</v>
      </c>
      <c r="F2247" s="4" t="s">
        <v>1712</v>
      </c>
    </row>
    <row r="2248" spans="1:6" ht="14.4" thickBot="1" x14ac:dyDescent="0.35">
      <c r="A2248" s="4" t="s">
        <v>4262</v>
      </c>
      <c r="B2248" s="4" t="s">
        <v>4263</v>
      </c>
      <c r="C2248" s="4" t="s">
        <v>4262</v>
      </c>
      <c r="D2248" s="4" t="s">
        <v>4264</v>
      </c>
      <c r="E2248" s="4" t="s">
        <v>4265</v>
      </c>
      <c r="F2248" s="4" t="s">
        <v>4264</v>
      </c>
    </row>
    <row r="2249" spans="1:6" ht="14.4" thickBot="1" x14ac:dyDescent="0.35">
      <c r="A2249" s="4" t="s">
        <v>1117</v>
      </c>
      <c r="B2249" s="4" t="s">
        <v>1118</v>
      </c>
      <c r="C2249" s="4" t="s">
        <v>1117</v>
      </c>
      <c r="D2249" s="4" t="s">
        <v>2603</v>
      </c>
      <c r="E2249" s="4" t="s">
        <v>2604</v>
      </c>
      <c r="F2249" s="4" t="s">
        <v>2603</v>
      </c>
    </row>
    <row r="2250" spans="1:6" ht="14.4" thickBot="1" x14ac:dyDescent="0.35">
      <c r="A2250" s="4" t="s">
        <v>1117</v>
      </c>
      <c r="B2250" s="4" t="s">
        <v>1118</v>
      </c>
      <c r="C2250" s="4" t="s">
        <v>1117</v>
      </c>
      <c r="D2250" s="4" t="s">
        <v>2601</v>
      </c>
      <c r="E2250" s="4" t="s">
        <v>2602</v>
      </c>
      <c r="F2250" s="4" t="s">
        <v>2601</v>
      </c>
    </row>
    <row r="2251" spans="1:6" ht="14.4" thickBot="1" x14ac:dyDescent="0.35">
      <c r="A2251" s="4" t="s">
        <v>1117</v>
      </c>
      <c r="B2251" s="4" t="s">
        <v>1118</v>
      </c>
      <c r="C2251" s="4" t="s">
        <v>1117</v>
      </c>
      <c r="D2251" s="4" t="s">
        <v>1119</v>
      </c>
      <c r="E2251" s="4" t="s">
        <v>1120</v>
      </c>
      <c r="F2251" s="4" t="s">
        <v>1119</v>
      </c>
    </row>
    <row r="2252" spans="1:6" ht="14.4" thickBot="1" x14ac:dyDescent="0.35">
      <c r="A2252" s="4" t="s">
        <v>166</v>
      </c>
      <c r="B2252" s="4" t="s">
        <v>167</v>
      </c>
      <c r="C2252" s="4" t="s">
        <v>166</v>
      </c>
      <c r="D2252" s="4" t="s">
        <v>168</v>
      </c>
      <c r="E2252" s="4" t="s">
        <v>169</v>
      </c>
      <c r="F2252" s="4" t="s">
        <v>168</v>
      </c>
    </row>
    <row r="2253" spans="1:6" ht="14.4" thickBot="1" x14ac:dyDescent="0.35">
      <c r="A2253" s="4" t="s">
        <v>166</v>
      </c>
      <c r="B2253" s="4" t="s">
        <v>167</v>
      </c>
      <c r="C2253" s="4" t="s">
        <v>166</v>
      </c>
      <c r="D2253" s="4" t="s">
        <v>1121</v>
      </c>
      <c r="E2253" s="4" t="s">
        <v>1122</v>
      </c>
      <c r="F2253" s="4" t="s">
        <v>1121</v>
      </c>
    </row>
    <row r="2254" spans="1:6" ht="14.4" thickBot="1" x14ac:dyDescent="0.35">
      <c r="A2254" s="4" t="s">
        <v>97</v>
      </c>
      <c r="B2254" s="4" t="s">
        <v>171</v>
      </c>
      <c r="C2254" s="4" t="s">
        <v>97</v>
      </c>
      <c r="D2254" s="4" t="s">
        <v>3408</v>
      </c>
      <c r="E2254" s="4" t="s">
        <v>3409</v>
      </c>
      <c r="F2254" s="4" t="s">
        <v>3408</v>
      </c>
    </row>
    <row r="2255" spans="1:6" ht="14.4" thickBot="1" x14ac:dyDescent="0.35">
      <c r="A2255" s="4" t="s">
        <v>97</v>
      </c>
      <c r="B2255" s="4" t="s">
        <v>171</v>
      </c>
      <c r="C2255" s="4" t="s">
        <v>97</v>
      </c>
      <c r="D2255" s="4" t="s">
        <v>1123</v>
      </c>
      <c r="E2255" s="4" t="s">
        <v>1124</v>
      </c>
      <c r="F2255" s="4" t="s">
        <v>1123</v>
      </c>
    </row>
    <row r="2256" spans="1:6" ht="14.4" thickBot="1" x14ac:dyDescent="0.35">
      <c r="A2256" s="4" t="s">
        <v>97</v>
      </c>
      <c r="B2256" s="4" t="s">
        <v>171</v>
      </c>
      <c r="C2256" s="4" t="s">
        <v>97</v>
      </c>
      <c r="D2256" s="4" t="s">
        <v>1125</v>
      </c>
      <c r="E2256" s="4" t="s">
        <v>1126</v>
      </c>
      <c r="F2256" s="4" t="s">
        <v>1125</v>
      </c>
    </row>
    <row r="2257" spans="1:6" ht="14.4" thickBot="1" x14ac:dyDescent="0.35">
      <c r="A2257" s="4" t="s">
        <v>97</v>
      </c>
      <c r="B2257" s="4" t="s">
        <v>171</v>
      </c>
      <c r="C2257" s="4" t="s">
        <v>97</v>
      </c>
      <c r="D2257" s="4" t="s">
        <v>3410</v>
      </c>
      <c r="E2257" s="4" t="s">
        <v>321</v>
      </c>
      <c r="F2257" s="4" t="s">
        <v>3410</v>
      </c>
    </row>
    <row r="2258" spans="1:6" ht="14.4" thickBot="1" x14ac:dyDescent="0.35">
      <c r="A2258" s="4" t="s">
        <v>97</v>
      </c>
      <c r="B2258" s="4" t="s">
        <v>171</v>
      </c>
      <c r="C2258" s="4" t="s">
        <v>97</v>
      </c>
      <c r="D2258" s="4" t="s">
        <v>174</v>
      </c>
      <c r="E2258" s="4" t="s">
        <v>175</v>
      </c>
      <c r="F2258" s="4" t="s">
        <v>174</v>
      </c>
    </row>
    <row r="2259" spans="1:6" ht="14.4" thickBot="1" x14ac:dyDescent="0.35">
      <c r="A2259" s="4" t="s">
        <v>97</v>
      </c>
      <c r="B2259" s="4" t="s">
        <v>171</v>
      </c>
      <c r="C2259" s="4" t="s">
        <v>97</v>
      </c>
      <c r="D2259" s="4" t="s">
        <v>172</v>
      </c>
      <c r="E2259" s="4" t="s">
        <v>173</v>
      </c>
      <c r="F2259" s="4" t="s">
        <v>172</v>
      </c>
    </row>
    <row r="2260" spans="1:6" ht="14.4" thickBot="1" x14ac:dyDescent="0.35">
      <c r="A2260" s="4" t="s">
        <v>97</v>
      </c>
      <c r="B2260" s="4" t="s">
        <v>171</v>
      </c>
      <c r="C2260" s="4" t="s">
        <v>97</v>
      </c>
      <c r="D2260" s="4" t="s">
        <v>3406</v>
      </c>
      <c r="E2260" s="4" t="s">
        <v>3407</v>
      </c>
      <c r="F2260" s="4" t="s">
        <v>3406</v>
      </c>
    </row>
    <row r="2261" spans="1:6" ht="14.4" thickBot="1" x14ac:dyDescent="0.35">
      <c r="A2261" s="4" t="s">
        <v>97</v>
      </c>
      <c r="B2261" s="4" t="s">
        <v>171</v>
      </c>
      <c r="C2261" s="4" t="s">
        <v>97</v>
      </c>
      <c r="D2261" s="4" t="s">
        <v>1964</v>
      </c>
      <c r="E2261" s="4" t="s">
        <v>1965</v>
      </c>
      <c r="F2261" s="4" t="s">
        <v>1964</v>
      </c>
    </row>
    <row r="2262" spans="1:6" ht="14.4" thickBot="1" x14ac:dyDescent="0.35">
      <c r="A2262" s="4" t="s">
        <v>97</v>
      </c>
      <c r="B2262" s="4" t="s">
        <v>171</v>
      </c>
      <c r="C2262" s="4" t="s">
        <v>97</v>
      </c>
      <c r="D2262" s="4" t="s">
        <v>1962</v>
      </c>
      <c r="E2262" s="4" t="s">
        <v>1963</v>
      </c>
      <c r="F2262" s="4" t="s">
        <v>1962</v>
      </c>
    </row>
    <row r="2263" spans="1:6" ht="14.4" thickBot="1" x14ac:dyDescent="0.35">
      <c r="A2263" s="4" t="s">
        <v>97</v>
      </c>
      <c r="B2263" s="4" t="s">
        <v>171</v>
      </c>
      <c r="C2263" s="4" t="s">
        <v>97</v>
      </c>
      <c r="D2263" s="4" t="s">
        <v>4199</v>
      </c>
      <c r="E2263" s="4" t="s">
        <v>4200</v>
      </c>
      <c r="F2263" s="4" t="s">
        <v>4199</v>
      </c>
    </row>
    <row r="2264" spans="1:6" ht="14.4" thickBot="1" x14ac:dyDescent="0.35">
      <c r="A2264" s="4" t="s">
        <v>1127</v>
      </c>
      <c r="B2264" s="4" t="s">
        <v>1128</v>
      </c>
      <c r="C2264" s="4" t="s">
        <v>1127</v>
      </c>
      <c r="D2264" s="4" t="s">
        <v>1129</v>
      </c>
      <c r="E2264" s="4" t="s">
        <v>1130</v>
      </c>
      <c r="F2264" s="4" t="s">
        <v>1129</v>
      </c>
    </row>
    <row r="2265" spans="1:6" ht="14.4" thickBot="1" x14ac:dyDescent="0.35">
      <c r="A2265" s="4" t="s">
        <v>1127</v>
      </c>
      <c r="B2265" s="4" t="s">
        <v>1128</v>
      </c>
      <c r="C2265" s="4" t="s">
        <v>1127</v>
      </c>
      <c r="D2265" s="4" t="s">
        <v>3411</v>
      </c>
      <c r="E2265" s="4" t="s">
        <v>3412</v>
      </c>
      <c r="F2265" s="4" t="s">
        <v>3411</v>
      </c>
    </row>
    <row r="2266" spans="1:6" ht="14.4" thickBot="1" x14ac:dyDescent="0.35">
      <c r="A2266" s="4" t="s">
        <v>1966</v>
      </c>
      <c r="B2266" s="4" t="s">
        <v>1967</v>
      </c>
      <c r="C2266" s="4" t="s">
        <v>1966</v>
      </c>
      <c r="D2266" s="4" t="s">
        <v>4201</v>
      </c>
      <c r="E2266" s="4" t="s">
        <v>4202</v>
      </c>
      <c r="F2266" s="4" t="s">
        <v>4201</v>
      </c>
    </row>
    <row r="2267" spans="1:6" ht="14.4" thickBot="1" x14ac:dyDescent="0.35">
      <c r="A2267" s="4" t="s">
        <v>1966</v>
      </c>
      <c r="B2267" s="4" t="s">
        <v>1967</v>
      </c>
      <c r="C2267" s="4" t="s">
        <v>1966</v>
      </c>
      <c r="D2267" s="4" t="s">
        <v>5587</v>
      </c>
      <c r="E2267" s="4" t="s">
        <v>5588</v>
      </c>
      <c r="F2267" s="4" t="s">
        <v>5587</v>
      </c>
    </row>
    <row r="2268" spans="1:6" ht="14.4" thickBot="1" x14ac:dyDescent="0.35">
      <c r="A2268" s="4" t="s">
        <v>1966</v>
      </c>
      <c r="B2268" s="4" t="s">
        <v>1967</v>
      </c>
      <c r="C2268" s="4" t="s">
        <v>1966</v>
      </c>
      <c r="D2268" s="4" t="s">
        <v>1968</v>
      </c>
      <c r="E2268" s="4" t="s">
        <v>1969</v>
      </c>
      <c r="F2268" s="4" t="s">
        <v>1968</v>
      </c>
    </row>
    <row r="2269" spans="1:6" ht="14.4" thickBot="1" x14ac:dyDescent="0.35">
      <c r="A2269" s="4" t="s">
        <v>1578</v>
      </c>
      <c r="B2269" s="4" t="s">
        <v>2605</v>
      </c>
      <c r="C2269" s="4" t="s">
        <v>1578</v>
      </c>
      <c r="D2269" s="4" t="s">
        <v>5589</v>
      </c>
      <c r="E2269" s="4" t="s">
        <v>5590</v>
      </c>
      <c r="F2269" s="4" t="s">
        <v>5589</v>
      </c>
    </row>
    <row r="2270" spans="1:6" ht="14.4" thickBot="1" x14ac:dyDescent="0.35">
      <c r="A2270" s="4" t="s">
        <v>1578</v>
      </c>
      <c r="B2270" s="4" t="s">
        <v>2605</v>
      </c>
      <c r="C2270" s="4" t="s">
        <v>1578</v>
      </c>
      <c r="D2270" s="4" t="s">
        <v>2606</v>
      </c>
      <c r="E2270" s="4" t="s">
        <v>2607</v>
      </c>
      <c r="F2270" s="4" t="s">
        <v>2606</v>
      </c>
    </row>
    <row r="2271" spans="1:6" ht="14.4" thickBot="1" x14ac:dyDescent="0.35">
      <c r="A2271" s="4" t="s">
        <v>1822</v>
      </c>
      <c r="B2271" s="4" t="s">
        <v>2409</v>
      </c>
      <c r="C2271" s="4" t="s">
        <v>1822</v>
      </c>
      <c r="D2271" s="4" t="s">
        <v>2410</v>
      </c>
      <c r="E2271" s="4" t="s">
        <v>2411</v>
      </c>
      <c r="F2271" s="4" t="s">
        <v>2410</v>
      </c>
    </row>
    <row r="2272" spans="1:6" ht="14.4" thickBot="1" x14ac:dyDescent="0.35">
      <c r="A2272" s="4" t="s">
        <v>1131</v>
      </c>
      <c r="B2272" s="4" t="s">
        <v>1132</v>
      </c>
      <c r="C2272" s="4" t="s">
        <v>1131</v>
      </c>
      <c r="D2272" s="4" t="s">
        <v>2610</v>
      </c>
      <c r="E2272" s="4" t="s">
        <v>2611</v>
      </c>
      <c r="F2272" s="4" t="s">
        <v>2610</v>
      </c>
    </row>
    <row r="2273" spans="1:6" ht="14.4" thickBot="1" x14ac:dyDescent="0.35">
      <c r="A2273" s="4" t="s">
        <v>1131</v>
      </c>
      <c r="B2273" s="4" t="s">
        <v>1132</v>
      </c>
      <c r="C2273" s="4" t="s">
        <v>1131</v>
      </c>
      <c r="D2273" s="4" t="s">
        <v>2608</v>
      </c>
      <c r="E2273" s="4" t="s">
        <v>2609</v>
      </c>
      <c r="F2273" s="4" t="s">
        <v>2608</v>
      </c>
    </row>
    <row r="2274" spans="1:6" ht="14.4" thickBot="1" x14ac:dyDescent="0.35">
      <c r="A2274" s="4" t="s">
        <v>1131</v>
      </c>
      <c r="B2274" s="4" t="s">
        <v>1132</v>
      </c>
      <c r="C2274" s="4" t="s">
        <v>1131</v>
      </c>
      <c r="D2274" s="4" t="s">
        <v>1135</v>
      </c>
      <c r="E2274" s="4" t="s">
        <v>1136</v>
      </c>
      <c r="F2274" s="4" t="s">
        <v>1135</v>
      </c>
    </row>
    <row r="2275" spans="1:6" ht="14.4" thickBot="1" x14ac:dyDescent="0.35">
      <c r="A2275" s="4" t="s">
        <v>1131</v>
      </c>
      <c r="B2275" s="4" t="s">
        <v>1132</v>
      </c>
      <c r="C2275" s="4" t="s">
        <v>1131</v>
      </c>
      <c r="D2275" s="4" t="s">
        <v>1133</v>
      </c>
      <c r="E2275" s="4" t="s">
        <v>1134</v>
      </c>
      <c r="F2275" s="4" t="s">
        <v>1133</v>
      </c>
    </row>
    <row r="2276" spans="1:6" ht="14.4" thickBot="1" x14ac:dyDescent="0.35">
      <c r="A2276" s="4" t="s">
        <v>177</v>
      </c>
      <c r="B2276" s="4" t="s">
        <v>178</v>
      </c>
      <c r="C2276" s="4" t="s">
        <v>177</v>
      </c>
      <c r="D2276" s="4" t="s">
        <v>3421</v>
      </c>
      <c r="E2276" s="4" t="s">
        <v>3422</v>
      </c>
      <c r="F2276" s="4" t="s">
        <v>3421</v>
      </c>
    </row>
    <row r="2277" spans="1:6" ht="14.4" thickBot="1" x14ac:dyDescent="0.35">
      <c r="A2277" s="4" t="s">
        <v>177</v>
      </c>
      <c r="B2277" s="4" t="s">
        <v>178</v>
      </c>
      <c r="C2277" s="4" t="s">
        <v>177</v>
      </c>
      <c r="D2277" s="4" t="s">
        <v>4874</v>
      </c>
      <c r="E2277" s="4" t="s">
        <v>4875</v>
      </c>
      <c r="F2277" s="4" t="s">
        <v>4874</v>
      </c>
    </row>
    <row r="2278" spans="1:6" ht="14.4" thickBot="1" x14ac:dyDescent="0.35">
      <c r="A2278" s="4" t="s">
        <v>177</v>
      </c>
      <c r="B2278" s="4" t="s">
        <v>178</v>
      </c>
      <c r="C2278" s="4" t="s">
        <v>177</v>
      </c>
      <c r="D2278" s="4" t="s">
        <v>5591</v>
      </c>
      <c r="E2278" s="4" t="s">
        <v>5592</v>
      </c>
      <c r="F2278" s="4" t="s">
        <v>5591</v>
      </c>
    </row>
    <row r="2279" spans="1:6" ht="14.4" thickBot="1" x14ac:dyDescent="0.35">
      <c r="A2279" s="4" t="s">
        <v>177</v>
      </c>
      <c r="B2279" s="4" t="s">
        <v>178</v>
      </c>
      <c r="C2279" s="4" t="s">
        <v>177</v>
      </c>
      <c r="D2279" s="4" t="s">
        <v>1137</v>
      </c>
      <c r="E2279" s="4" t="s">
        <v>1138</v>
      </c>
      <c r="F2279" s="4" t="s">
        <v>1137</v>
      </c>
    </row>
    <row r="2280" spans="1:6" ht="14.4" thickBot="1" x14ac:dyDescent="0.35">
      <c r="A2280" s="4" t="s">
        <v>177</v>
      </c>
      <c r="B2280" s="4" t="s">
        <v>178</v>
      </c>
      <c r="C2280" s="4" t="s">
        <v>177</v>
      </c>
      <c r="D2280" s="4" t="s">
        <v>4881</v>
      </c>
      <c r="E2280" s="4" t="s">
        <v>4882</v>
      </c>
      <c r="F2280" s="4" t="s">
        <v>4881</v>
      </c>
    </row>
    <row r="2281" spans="1:6" ht="14.4" thickBot="1" x14ac:dyDescent="0.35">
      <c r="A2281" s="4" t="s">
        <v>177</v>
      </c>
      <c r="B2281" s="4" t="s">
        <v>178</v>
      </c>
      <c r="C2281" s="4" t="s">
        <v>177</v>
      </c>
      <c r="D2281" s="4" t="s">
        <v>1974</v>
      </c>
      <c r="E2281" s="4" t="s">
        <v>1975</v>
      </c>
      <c r="F2281" s="4" t="s">
        <v>1974</v>
      </c>
    </row>
    <row r="2282" spans="1:6" ht="14.4" thickBot="1" x14ac:dyDescent="0.35">
      <c r="A2282" s="4" t="s">
        <v>177</v>
      </c>
      <c r="B2282" s="4" t="s">
        <v>178</v>
      </c>
      <c r="C2282" s="4" t="s">
        <v>177</v>
      </c>
      <c r="D2282" s="4" t="s">
        <v>5593</v>
      </c>
      <c r="E2282" s="4" t="s">
        <v>5594</v>
      </c>
      <c r="F2282" s="4" t="s">
        <v>5593</v>
      </c>
    </row>
    <row r="2283" spans="1:6" ht="14.4" thickBot="1" x14ac:dyDescent="0.35">
      <c r="A2283" s="4" t="s">
        <v>177</v>
      </c>
      <c r="B2283" s="4" t="s">
        <v>178</v>
      </c>
      <c r="C2283" s="4" t="s">
        <v>177</v>
      </c>
      <c r="D2283" s="4" t="s">
        <v>182</v>
      </c>
      <c r="E2283" s="4" t="s">
        <v>183</v>
      </c>
      <c r="F2283" s="4" t="s">
        <v>182</v>
      </c>
    </row>
    <row r="2284" spans="1:6" ht="14.4" thickBot="1" x14ac:dyDescent="0.35">
      <c r="A2284" s="4" t="s">
        <v>177</v>
      </c>
      <c r="B2284" s="4" t="s">
        <v>178</v>
      </c>
      <c r="C2284" s="4" t="s">
        <v>177</v>
      </c>
      <c r="D2284" s="4" t="s">
        <v>783</v>
      </c>
      <c r="E2284" s="4" t="s">
        <v>4895</v>
      </c>
      <c r="F2284" s="4" t="s">
        <v>783</v>
      </c>
    </row>
    <row r="2285" spans="1:6" ht="14.4" thickBot="1" x14ac:dyDescent="0.35">
      <c r="A2285" s="4" t="s">
        <v>177</v>
      </c>
      <c r="B2285" s="4" t="s">
        <v>178</v>
      </c>
      <c r="C2285" s="4" t="s">
        <v>177</v>
      </c>
      <c r="D2285" s="4" t="s">
        <v>3419</v>
      </c>
      <c r="E2285" s="4" t="s">
        <v>3420</v>
      </c>
      <c r="F2285" s="4" t="s">
        <v>3419</v>
      </c>
    </row>
    <row r="2286" spans="1:6" ht="14.4" thickBot="1" x14ac:dyDescent="0.35">
      <c r="A2286" s="4" t="s">
        <v>177</v>
      </c>
      <c r="B2286" s="4" t="s">
        <v>178</v>
      </c>
      <c r="C2286" s="4" t="s">
        <v>177</v>
      </c>
      <c r="D2286" s="4" t="s">
        <v>4878</v>
      </c>
      <c r="E2286" s="4" t="s">
        <v>4879</v>
      </c>
      <c r="F2286" s="4" t="s">
        <v>4878</v>
      </c>
    </row>
    <row r="2287" spans="1:6" ht="14.4" thickBot="1" x14ac:dyDescent="0.35">
      <c r="A2287" s="4" t="s">
        <v>177</v>
      </c>
      <c r="B2287" s="4" t="s">
        <v>178</v>
      </c>
      <c r="C2287" s="4" t="s">
        <v>177</v>
      </c>
      <c r="D2287" s="4" t="s">
        <v>4217</v>
      </c>
      <c r="E2287" s="4" t="s">
        <v>4159</v>
      </c>
      <c r="F2287" s="4" t="s">
        <v>4217</v>
      </c>
    </row>
    <row r="2288" spans="1:6" ht="14.4" thickBot="1" x14ac:dyDescent="0.35">
      <c r="A2288" s="4" t="s">
        <v>177</v>
      </c>
      <c r="B2288" s="4" t="s">
        <v>178</v>
      </c>
      <c r="C2288" s="4" t="s">
        <v>177</v>
      </c>
      <c r="D2288" s="4" t="s">
        <v>339</v>
      </c>
      <c r="E2288" s="4" t="s">
        <v>1163</v>
      </c>
      <c r="F2288" s="4" t="s">
        <v>339</v>
      </c>
    </row>
    <row r="2289" spans="1:6" ht="14.4" thickBot="1" x14ac:dyDescent="0.35">
      <c r="A2289" s="4" t="s">
        <v>177</v>
      </c>
      <c r="B2289" s="4" t="s">
        <v>178</v>
      </c>
      <c r="C2289" s="4" t="s">
        <v>177</v>
      </c>
      <c r="D2289" s="4" t="s">
        <v>4880</v>
      </c>
      <c r="E2289" s="4" t="s">
        <v>4554</v>
      </c>
      <c r="F2289" s="4" t="s">
        <v>4880</v>
      </c>
    </row>
    <row r="2290" spans="1:6" ht="14.4" thickBot="1" x14ac:dyDescent="0.35">
      <c r="A2290" s="4" t="s">
        <v>177</v>
      </c>
      <c r="B2290" s="4" t="s">
        <v>178</v>
      </c>
      <c r="C2290" s="4" t="s">
        <v>177</v>
      </c>
      <c r="D2290" s="4" t="s">
        <v>1149</v>
      </c>
      <c r="E2290" s="4" t="s">
        <v>1150</v>
      </c>
      <c r="F2290" s="4" t="s">
        <v>1149</v>
      </c>
    </row>
    <row r="2291" spans="1:6" ht="14.4" thickBot="1" x14ac:dyDescent="0.35">
      <c r="A2291" s="4" t="s">
        <v>177</v>
      </c>
      <c r="B2291" s="4" t="s">
        <v>178</v>
      </c>
      <c r="C2291" s="4" t="s">
        <v>177</v>
      </c>
      <c r="D2291" s="4" t="s">
        <v>5595</v>
      </c>
      <c r="E2291" s="4" t="s">
        <v>5596</v>
      </c>
      <c r="F2291" s="4" t="s">
        <v>5595</v>
      </c>
    </row>
    <row r="2292" spans="1:6" ht="14.4" thickBot="1" x14ac:dyDescent="0.35">
      <c r="A2292" s="4" t="s">
        <v>177</v>
      </c>
      <c r="B2292" s="4" t="s">
        <v>178</v>
      </c>
      <c r="C2292" s="4" t="s">
        <v>177</v>
      </c>
      <c r="D2292" s="4" t="s">
        <v>4215</v>
      </c>
      <c r="E2292" s="4" t="s">
        <v>4216</v>
      </c>
      <c r="F2292" s="4" t="s">
        <v>4215</v>
      </c>
    </row>
    <row r="2293" spans="1:6" ht="14.4" thickBot="1" x14ac:dyDescent="0.35">
      <c r="A2293" s="4" t="s">
        <v>177</v>
      </c>
      <c r="B2293" s="4" t="s">
        <v>178</v>
      </c>
      <c r="C2293" s="4" t="s">
        <v>177</v>
      </c>
      <c r="D2293" s="4" t="s">
        <v>4897</v>
      </c>
      <c r="E2293" s="4" t="s">
        <v>3175</v>
      </c>
      <c r="F2293" s="4" t="s">
        <v>4897</v>
      </c>
    </row>
    <row r="2294" spans="1:6" ht="14.4" thickBot="1" x14ac:dyDescent="0.35">
      <c r="A2294" s="4" t="s">
        <v>177</v>
      </c>
      <c r="B2294" s="4" t="s">
        <v>178</v>
      </c>
      <c r="C2294" s="4" t="s">
        <v>177</v>
      </c>
      <c r="D2294" s="4" t="s">
        <v>5607</v>
      </c>
      <c r="E2294" s="4" t="s">
        <v>5608</v>
      </c>
      <c r="F2294" s="4" t="s">
        <v>5607</v>
      </c>
    </row>
    <row r="2295" spans="1:6" ht="14.4" thickBot="1" x14ac:dyDescent="0.35">
      <c r="A2295" s="4" t="s">
        <v>177</v>
      </c>
      <c r="B2295" s="4" t="s">
        <v>178</v>
      </c>
      <c r="C2295" s="4" t="s">
        <v>177</v>
      </c>
      <c r="D2295" s="4" t="s">
        <v>1982</v>
      </c>
      <c r="E2295" s="4" t="s">
        <v>1983</v>
      </c>
      <c r="F2295" s="4" t="s">
        <v>1982</v>
      </c>
    </row>
    <row r="2296" spans="1:6" ht="14.4" thickBot="1" x14ac:dyDescent="0.35">
      <c r="A2296" s="4" t="s">
        <v>177</v>
      </c>
      <c r="B2296" s="4" t="s">
        <v>178</v>
      </c>
      <c r="C2296" s="4" t="s">
        <v>177</v>
      </c>
      <c r="D2296" s="4" t="s">
        <v>1155</v>
      </c>
      <c r="E2296" s="4" t="s">
        <v>1156</v>
      </c>
      <c r="F2296" s="4" t="s">
        <v>1155</v>
      </c>
    </row>
    <row r="2297" spans="1:6" ht="14.4" thickBot="1" x14ac:dyDescent="0.35">
      <c r="A2297" s="4" t="s">
        <v>177</v>
      </c>
      <c r="B2297" s="4" t="s">
        <v>178</v>
      </c>
      <c r="C2297" s="4" t="s">
        <v>177</v>
      </c>
      <c r="D2297" s="4" t="s">
        <v>5597</v>
      </c>
      <c r="E2297" s="4" t="s">
        <v>5598</v>
      </c>
      <c r="F2297" s="4" t="s">
        <v>5597</v>
      </c>
    </row>
    <row r="2298" spans="1:6" ht="14.4" thickBot="1" x14ac:dyDescent="0.35">
      <c r="A2298" s="4" t="s">
        <v>177</v>
      </c>
      <c r="B2298" s="4" t="s">
        <v>178</v>
      </c>
      <c r="C2298" s="4" t="s">
        <v>177</v>
      </c>
      <c r="D2298" s="4" t="s">
        <v>193</v>
      </c>
      <c r="E2298" s="4" t="s">
        <v>194</v>
      </c>
      <c r="F2298" s="4" t="s">
        <v>193</v>
      </c>
    </row>
    <row r="2299" spans="1:6" ht="14.4" thickBot="1" x14ac:dyDescent="0.35">
      <c r="A2299" s="4" t="s">
        <v>177</v>
      </c>
      <c r="B2299" s="4" t="s">
        <v>178</v>
      </c>
      <c r="C2299" s="4" t="s">
        <v>177</v>
      </c>
      <c r="D2299" s="4" t="s">
        <v>4211</v>
      </c>
      <c r="E2299" s="4" t="s">
        <v>4212</v>
      </c>
      <c r="F2299" s="4" t="s">
        <v>4211</v>
      </c>
    </row>
    <row r="2300" spans="1:6" ht="14.4" thickBot="1" x14ac:dyDescent="0.35">
      <c r="A2300" s="4" t="s">
        <v>177</v>
      </c>
      <c r="B2300" s="4" t="s">
        <v>178</v>
      </c>
      <c r="C2300" s="4" t="s">
        <v>177</v>
      </c>
      <c r="D2300" s="4" t="s">
        <v>191</v>
      </c>
      <c r="E2300" s="4" t="s">
        <v>192</v>
      </c>
      <c r="F2300" s="4" t="s">
        <v>191</v>
      </c>
    </row>
    <row r="2301" spans="1:6" ht="14.4" thickBot="1" x14ac:dyDescent="0.35">
      <c r="A2301" s="4" t="s">
        <v>177</v>
      </c>
      <c r="B2301" s="4" t="s">
        <v>178</v>
      </c>
      <c r="C2301" s="4" t="s">
        <v>177</v>
      </c>
      <c r="D2301" s="4" t="s">
        <v>1151</v>
      </c>
      <c r="E2301" s="4" t="s">
        <v>1152</v>
      </c>
      <c r="F2301" s="4" t="s">
        <v>1151</v>
      </c>
    </row>
    <row r="2302" spans="1:6" ht="14.4" thickBot="1" x14ac:dyDescent="0.35">
      <c r="A2302" s="4" t="s">
        <v>177</v>
      </c>
      <c r="B2302" s="4" t="s">
        <v>178</v>
      </c>
      <c r="C2302" s="4" t="s">
        <v>177</v>
      </c>
      <c r="D2302" s="4" t="s">
        <v>188</v>
      </c>
      <c r="E2302" s="4" t="s">
        <v>189</v>
      </c>
      <c r="F2302" s="4" t="s">
        <v>188</v>
      </c>
    </row>
    <row r="2303" spans="1:6" ht="14.4" thickBot="1" x14ac:dyDescent="0.35">
      <c r="A2303" s="4" t="s">
        <v>177</v>
      </c>
      <c r="B2303" s="4" t="s">
        <v>178</v>
      </c>
      <c r="C2303" s="4" t="s">
        <v>177</v>
      </c>
      <c r="D2303" s="4" t="s">
        <v>4223</v>
      </c>
      <c r="E2303" s="4" t="s">
        <v>4224</v>
      </c>
      <c r="F2303" s="4" t="s">
        <v>4223</v>
      </c>
    </row>
    <row r="2304" spans="1:6" ht="14.4" thickBot="1" x14ac:dyDescent="0.35">
      <c r="A2304" s="4" t="s">
        <v>177</v>
      </c>
      <c r="B2304" s="4" t="s">
        <v>178</v>
      </c>
      <c r="C2304" s="4" t="s">
        <v>177</v>
      </c>
      <c r="D2304" s="4" t="s">
        <v>201</v>
      </c>
      <c r="E2304" s="4" t="s">
        <v>202</v>
      </c>
      <c r="F2304" s="4" t="s">
        <v>201</v>
      </c>
    </row>
    <row r="2305" spans="1:6" ht="14.4" thickBot="1" x14ac:dyDescent="0.35">
      <c r="A2305" s="4" t="s">
        <v>177</v>
      </c>
      <c r="B2305" s="4" t="s">
        <v>178</v>
      </c>
      <c r="C2305" s="4" t="s">
        <v>177</v>
      </c>
      <c r="D2305" s="4" t="s">
        <v>4876</v>
      </c>
      <c r="E2305" s="4" t="s">
        <v>4877</v>
      </c>
      <c r="F2305" s="4" t="s">
        <v>4876</v>
      </c>
    </row>
    <row r="2306" spans="1:6" ht="14.4" thickBot="1" x14ac:dyDescent="0.35">
      <c r="A2306" s="4" t="s">
        <v>177</v>
      </c>
      <c r="B2306" s="4" t="s">
        <v>178</v>
      </c>
      <c r="C2306" s="4" t="s">
        <v>177</v>
      </c>
      <c r="D2306" s="4" t="s">
        <v>1161</v>
      </c>
      <c r="E2306" s="4" t="s">
        <v>1162</v>
      </c>
      <c r="F2306" s="4" t="s">
        <v>1161</v>
      </c>
    </row>
    <row r="2307" spans="1:6" ht="14.4" thickBot="1" x14ac:dyDescent="0.35">
      <c r="A2307" s="4" t="s">
        <v>177</v>
      </c>
      <c r="B2307" s="4" t="s">
        <v>178</v>
      </c>
      <c r="C2307" s="4" t="s">
        <v>177</v>
      </c>
      <c r="D2307" s="4" t="s">
        <v>2631</v>
      </c>
      <c r="E2307" s="4" t="s">
        <v>2632</v>
      </c>
      <c r="F2307" s="4" t="s">
        <v>2631</v>
      </c>
    </row>
    <row r="2308" spans="1:6" ht="14.4" thickBot="1" x14ac:dyDescent="0.35">
      <c r="A2308" s="4" t="s">
        <v>177</v>
      </c>
      <c r="B2308" s="4" t="s">
        <v>178</v>
      </c>
      <c r="C2308" s="4" t="s">
        <v>177</v>
      </c>
      <c r="D2308" s="4" t="s">
        <v>1984</v>
      </c>
      <c r="E2308" s="4" t="s">
        <v>1985</v>
      </c>
      <c r="F2308" s="4" t="s">
        <v>1984</v>
      </c>
    </row>
    <row r="2309" spans="1:6" ht="14.4" thickBot="1" x14ac:dyDescent="0.35">
      <c r="A2309" s="4" t="s">
        <v>177</v>
      </c>
      <c r="B2309" s="4" t="s">
        <v>178</v>
      </c>
      <c r="C2309" s="4" t="s">
        <v>177</v>
      </c>
      <c r="D2309" s="4" t="s">
        <v>1143</v>
      </c>
      <c r="E2309" s="4" t="s">
        <v>1144</v>
      </c>
      <c r="F2309" s="4" t="s">
        <v>1143</v>
      </c>
    </row>
    <row r="2310" spans="1:6" ht="14.4" thickBot="1" x14ac:dyDescent="0.35">
      <c r="A2310" s="4" t="s">
        <v>177</v>
      </c>
      <c r="B2310" s="4" t="s">
        <v>178</v>
      </c>
      <c r="C2310" s="4" t="s">
        <v>177</v>
      </c>
      <c r="D2310" s="4" t="s">
        <v>184</v>
      </c>
      <c r="E2310" s="4" t="s">
        <v>185</v>
      </c>
      <c r="F2310" s="4" t="s">
        <v>184</v>
      </c>
    </row>
    <row r="2311" spans="1:6" ht="14.4" thickBot="1" x14ac:dyDescent="0.35">
      <c r="A2311" s="4" t="s">
        <v>177</v>
      </c>
      <c r="B2311" s="4" t="s">
        <v>178</v>
      </c>
      <c r="C2311" s="4" t="s">
        <v>177</v>
      </c>
      <c r="D2311" s="4" t="s">
        <v>1145</v>
      </c>
      <c r="E2311" s="4" t="s">
        <v>1146</v>
      </c>
      <c r="F2311" s="4" t="s">
        <v>1145</v>
      </c>
    </row>
    <row r="2312" spans="1:6" ht="14.4" thickBot="1" x14ac:dyDescent="0.35">
      <c r="A2312" s="4" t="s">
        <v>177</v>
      </c>
      <c r="B2312" s="4" t="s">
        <v>178</v>
      </c>
      <c r="C2312" s="4" t="s">
        <v>177</v>
      </c>
      <c r="D2312" s="4" t="s">
        <v>4207</v>
      </c>
      <c r="E2312" s="4" t="s">
        <v>4208</v>
      </c>
      <c r="F2312" s="4" t="s">
        <v>4207</v>
      </c>
    </row>
    <row r="2313" spans="1:6" ht="14.4" thickBot="1" x14ac:dyDescent="0.35">
      <c r="A2313" s="4" t="s">
        <v>177</v>
      </c>
      <c r="B2313" s="4" t="s">
        <v>178</v>
      </c>
      <c r="C2313" s="4" t="s">
        <v>177</v>
      </c>
      <c r="D2313" s="4" t="s">
        <v>2620</v>
      </c>
      <c r="E2313" s="4" t="s">
        <v>2621</v>
      </c>
      <c r="F2313" s="4" t="s">
        <v>2620</v>
      </c>
    </row>
    <row r="2314" spans="1:6" ht="14.4" thickBot="1" x14ac:dyDescent="0.35">
      <c r="A2314" s="4" t="s">
        <v>177</v>
      </c>
      <c r="B2314" s="4" t="s">
        <v>178</v>
      </c>
      <c r="C2314" s="4" t="s">
        <v>177</v>
      </c>
      <c r="D2314" s="4" t="s">
        <v>3415</v>
      </c>
      <c r="E2314" s="4" t="s">
        <v>3416</v>
      </c>
      <c r="F2314" s="4" t="s">
        <v>3415</v>
      </c>
    </row>
    <row r="2315" spans="1:6" ht="14.4" thickBot="1" x14ac:dyDescent="0.35">
      <c r="A2315" s="4" t="s">
        <v>177</v>
      </c>
      <c r="B2315" s="4" t="s">
        <v>178</v>
      </c>
      <c r="C2315" s="4" t="s">
        <v>177</v>
      </c>
      <c r="D2315" s="4" t="s">
        <v>2624</v>
      </c>
      <c r="E2315" s="4" t="s">
        <v>2625</v>
      </c>
      <c r="F2315" s="4" t="s">
        <v>2624</v>
      </c>
    </row>
    <row r="2316" spans="1:6" ht="14.4" thickBot="1" x14ac:dyDescent="0.35">
      <c r="A2316" s="4" t="s">
        <v>177</v>
      </c>
      <c r="B2316" s="4" t="s">
        <v>178</v>
      </c>
      <c r="C2316" s="4" t="s">
        <v>177</v>
      </c>
      <c r="D2316" s="4" t="s">
        <v>4893</v>
      </c>
      <c r="E2316" s="4" t="s">
        <v>4894</v>
      </c>
      <c r="F2316" s="4" t="s">
        <v>4893</v>
      </c>
    </row>
    <row r="2317" spans="1:6" ht="14.4" thickBot="1" x14ac:dyDescent="0.35">
      <c r="A2317" s="4" t="s">
        <v>177</v>
      </c>
      <c r="B2317" s="4" t="s">
        <v>178</v>
      </c>
      <c r="C2317" s="4" t="s">
        <v>177</v>
      </c>
      <c r="D2317" s="4" t="s">
        <v>1139</v>
      </c>
      <c r="E2317" s="4" t="s">
        <v>1140</v>
      </c>
      <c r="F2317" s="4" t="s">
        <v>1139</v>
      </c>
    </row>
    <row r="2318" spans="1:6" ht="14.4" thickBot="1" x14ac:dyDescent="0.35">
      <c r="A2318" s="4" t="s">
        <v>177</v>
      </c>
      <c r="B2318" s="4" t="s">
        <v>178</v>
      </c>
      <c r="C2318" s="4" t="s">
        <v>177</v>
      </c>
      <c r="D2318" s="4" t="s">
        <v>199</v>
      </c>
      <c r="E2318" s="4" t="s">
        <v>200</v>
      </c>
      <c r="F2318" s="4" t="s">
        <v>199</v>
      </c>
    </row>
    <row r="2319" spans="1:6" ht="14.4" thickBot="1" x14ac:dyDescent="0.35">
      <c r="A2319" s="4" t="s">
        <v>177</v>
      </c>
      <c r="B2319" s="4" t="s">
        <v>178</v>
      </c>
      <c r="C2319" s="4" t="s">
        <v>177</v>
      </c>
      <c r="D2319" s="4" t="s">
        <v>5599</v>
      </c>
      <c r="E2319" s="4" t="s">
        <v>5600</v>
      </c>
      <c r="F2319" s="4" t="s">
        <v>5599</v>
      </c>
    </row>
    <row r="2320" spans="1:6" ht="14.4" thickBot="1" x14ac:dyDescent="0.35">
      <c r="A2320" s="4" t="s">
        <v>177</v>
      </c>
      <c r="B2320" s="4" t="s">
        <v>178</v>
      </c>
      <c r="C2320" s="4" t="s">
        <v>177</v>
      </c>
      <c r="D2320" s="4" t="s">
        <v>5605</v>
      </c>
      <c r="E2320" s="4" t="s">
        <v>5606</v>
      </c>
      <c r="F2320" s="4" t="s">
        <v>5605</v>
      </c>
    </row>
    <row r="2321" spans="1:6" ht="14.4" thickBot="1" x14ac:dyDescent="0.35">
      <c r="A2321" s="4" t="s">
        <v>177</v>
      </c>
      <c r="B2321" s="4" t="s">
        <v>178</v>
      </c>
      <c r="C2321" s="4" t="s">
        <v>177</v>
      </c>
      <c r="D2321" s="4" t="s">
        <v>1141</v>
      </c>
      <c r="E2321" s="4" t="s">
        <v>1142</v>
      </c>
      <c r="F2321" s="4" t="s">
        <v>1141</v>
      </c>
    </row>
    <row r="2322" spans="1:6" ht="14.4" thickBot="1" x14ac:dyDescent="0.35">
      <c r="A2322" s="4" t="s">
        <v>177</v>
      </c>
      <c r="B2322" s="4" t="s">
        <v>178</v>
      </c>
      <c r="C2322" s="4" t="s">
        <v>177</v>
      </c>
      <c r="D2322" s="4" t="s">
        <v>2618</v>
      </c>
      <c r="E2322" s="4" t="s">
        <v>2619</v>
      </c>
      <c r="F2322" s="4" t="s">
        <v>2618</v>
      </c>
    </row>
    <row r="2323" spans="1:6" ht="14.4" thickBot="1" x14ac:dyDescent="0.35">
      <c r="A2323" s="4" t="s">
        <v>177</v>
      </c>
      <c r="B2323" s="4" t="s">
        <v>178</v>
      </c>
      <c r="C2323" s="4" t="s">
        <v>177</v>
      </c>
      <c r="D2323" s="4" t="s">
        <v>4221</v>
      </c>
      <c r="E2323" s="4" t="s">
        <v>4222</v>
      </c>
      <c r="F2323" s="4" t="s">
        <v>4221</v>
      </c>
    </row>
    <row r="2324" spans="1:6" ht="14.4" thickBot="1" x14ac:dyDescent="0.35">
      <c r="A2324" s="4" t="s">
        <v>177</v>
      </c>
      <c r="B2324" s="4" t="s">
        <v>178</v>
      </c>
      <c r="C2324" s="4" t="s">
        <v>177</v>
      </c>
      <c r="D2324" s="4" t="s">
        <v>5603</v>
      </c>
      <c r="E2324" s="4" t="s">
        <v>5604</v>
      </c>
      <c r="F2324" s="4" t="s">
        <v>5603</v>
      </c>
    </row>
    <row r="2325" spans="1:6" ht="14.4" thickBot="1" x14ac:dyDescent="0.35">
      <c r="A2325" s="4" t="s">
        <v>177</v>
      </c>
      <c r="B2325" s="4" t="s">
        <v>178</v>
      </c>
      <c r="C2325" s="4" t="s">
        <v>177</v>
      </c>
      <c r="D2325" s="4" t="s">
        <v>1159</v>
      </c>
      <c r="E2325" s="4" t="s">
        <v>1160</v>
      </c>
      <c r="F2325" s="4" t="s">
        <v>1159</v>
      </c>
    </row>
    <row r="2326" spans="1:6" ht="14.4" thickBot="1" x14ac:dyDescent="0.35">
      <c r="A2326" s="4" t="s">
        <v>177</v>
      </c>
      <c r="B2326" s="4" t="s">
        <v>178</v>
      </c>
      <c r="C2326" s="4" t="s">
        <v>177</v>
      </c>
      <c r="D2326" s="4" t="s">
        <v>2629</v>
      </c>
      <c r="E2326" s="4" t="s">
        <v>2630</v>
      </c>
      <c r="F2326" s="4" t="s">
        <v>2629</v>
      </c>
    </row>
    <row r="2327" spans="1:6" ht="14.4" thickBot="1" x14ac:dyDescent="0.35">
      <c r="A2327" s="4" t="s">
        <v>177</v>
      </c>
      <c r="B2327" s="4" t="s">
        <v>178</v>
      </c>
      <c r="C2327" s="4" t="s">
        <v>177</v>
      </c>
      <c r="D2327" s="4" t="s">
        <v>5601</v>
      </c>
      <c r="E2327" s="4" t="s">
        <v>5602</v>
      </c>
      <c r="F2327" s="4" t="s">
        <v>5601</v>
      </c>
    </row>
    <row r="2328" spans="1:6" ht="14.4" thickBot="1" x14ac:dyDescent="0.35">
      <c r="A2328" s="4" t="s">
        <v>177</v>
      </c>
      <c r="B2328" s="4" t="s">
        <v>178</v>
      </c>
      <c r="C2328" s="4" t="s">
        <v>177</v>
      </c>
      <c r="D2328" s="4" t="s">
        <v>1157</v>
      </c>
      <c r="E2328" s="4" t="s">
        <v>1158</v>
      </c>
      <c r="F2328" s="4" t="s">
        <v>1157</v>
      </c>
    </row>
    <row r="2329" spans="1:6" ht="14.4" thickBot="1" x14ac:dyDescent="0.35">
      <c r="A2329" s="4" t="s">
        <v>177</v>
      </c>
      <c r="B2329" s="4" t="s">
        <v>178</v>
      </c>
      <c r="C2329" s="4" t="s">
        <v>177</v>
      </c>
      <c r="D2329" s="4" t="s">
        <v>4885</v>
      </c>
      <c r="E2329" s="4" t="s">
        <v>4886</v>
      </c>
      <c r="F2329" s="4" t="s">
        <v>4885</v>
      </c>
    </row>
    <row r="2330" spans="1:6" ht="14.4" thickBot="1" x14ac:dyDescent="0.35">
      <c r="A2330" s="4" t="s">
        <v>177</v>
      </c>
      <c r="B2330" s="4" t="s">
        <v>178</v>
      </c>
      <c r="C2330" s="4" t="s">
        <v>177</v>
      </c>
      <c r="D2330" s="4" t="s">
        <v>4883</v>
      </c>
      <c r="E2330" s="4" t="s">
        <v>4884</v>
      </c>
      <c r="F2330" s="4" t="s">
        <v>4883</v>
      </c>
    </row>
    <row r="2331" spans="1:6" ht="14.4" thickBot="1" x14ac:dyDescent="0.35">
      <c r="A2331" s="4" t="s">
        <v>177</v>
      </c>
      <c r="B2331" s="4" t="s">
        <v>178</v>
      </c>
      <c r="C2331" s="4" t="s">
        <v>177</v>
      </c>
      <c r="D2331" s="4" t="s">
        <v>4209</v>
      </c>
      <c r="E2331" s="4" t="s">
        <v>4210</v>
      </c>
      <c r="F2331" s="4" t="s">
        <v>4209</v>
      </c>
    </row>
    <row r="2332" spans="1:6" ht="14.4" thickBot="1" x14ac:dyDescent="0.35">
      <c r="A2332" s="4" t="s">
        <v>177</v>
      </c>
      <c r="B2332" s="4" t="s">
        <v>178</v>
      </c>
      <c r="C2332" s="4" t="s">
        <v>177</v>
      </c>
      <c r="D2332" s="4" t="s">
        <v>2612</v>
      </c>
      <c r="E2332" s="4" t="s">
        <v>2613</v>
      </c>
      <c r="F2332" s="4" t="s">
        <v>2612</v>
      </c>
    </row>
    <row r="2333" spans="1:6" ht="14.4" thickBot="1" x14ac:dyDescent="0.35">
      <c r="A2333" s="4" t="s">
        <v>177</v>
      </c>
      <c r="B2333" s="4" t="s">
        <v>178</v>
      </c>
      <c r="C2333" s="4" t="s">
        <v>177</v>
      </c>
      <c r="D2333" s="4" t="s">
        <v>186</v>
      </c>
      <c r="E2333" s="4" t="s">
        <v>187</v>
      </c>
      <c r="F2333" s="4" t="s">
        <v>186</v>
      </c>
    </row>
    <row r="2334" spans="1:6" ht="14.4" thickBot="1" x14ac:dyDescent="0.35">
      <c r="A2334" s="4" t="s">
        <v>177</v>
      </c>
      <c r="B2334" s="4" t="s">
        <v>178</v>
      </c>
      <c r="C2334" s="4" t="s">
        <v>177</v>
      </c>
      <c r="D2334" s="4" t="s">
        <v>1972</v>
      </c>
      <c r="E2334" s="4" t="s">
        <v>1973</v>
      </c>
      <c r="F2334" s="4" t="s">
        <v>1972</v>
      </c>
    </row>
    <row r="2335" spans="1:6" ht="14.4" thickBot="1" x14ac:dyDescent="0.35">
      <c r="A2335" s="4" t="s">
        <v>177</v>
      </c>
      <c r="B2335" s="4" t="s">
        <v>178</v>
      </c>
      <c r="C2335" s="4" t="s">
        <v>177</v>
      </c>
      <c r="D2335" s="4" t="s">
        <v>4205</v>
      </c>
      <c r="E2335" s="4" t="s">
        <v>4206</v>
      </c>
      <c r="F2335" s="4" t="s">
        <v>4205</v>
      </c>
    </row>
    <row r="2336" spans="1:6" ht="14.4" thickBot="1" x14ac:dyDescent="0.35">
      <c r="A2336" s="4" t="s">
        <v>177</v>
      </c>
      <c r="B2336" s="4" t="s">
        <v>178</v>
      </c>
      <c r="C2336" s="4" t="s">
        <v>177</v>
      </c>
      <c r="D2336" s="4" t="s">
        <v>1970</v>
      </c>
      <c r="E2336" s="4" t="s">
        <v>1971</v>
      </c>
      <c r="F2336" s="4" t="s">
        <v>1970</v>
      </c>
    </row>
    <row r="2337" spans="1:6" ht="14.4" thickBot="1" x14ac:dyDescent="0.35">
      <c r="A2337" s="4" t="s">
        <v>177</v>
      </c>
      <c r="B2337" s="4" t="s">
        <v>178</v>
      </c>
      <c r="C2337" s="4" t="s">
        <v>177</v>
      </c>
      <c r="D2337" s="4" t="s">
        <v>2614</v>
      </c>
      <c r="E2337" s="4" t="s">
        <v>2615</v>
      </c>
      <c r="F2337" s="4" t="s">
        <v>2614</v>
      </c>
    </row>
    <row r="2338" spans="1:6" ht="14.4" thickBot="1" x14ac:dyDescent="0.35">
      <c r="A2338" s="4" t="s">
        <v>177</v>
      </c>
      <c r="B2338" s="4" t="s">
        <v>178</v>
      </c>
      <c r="C2338" s="4" t="s">
        <v>177</v>
      </c>
      <c r="D2338" s="4" t="s">
        <v>4203</v>
      </c>
      <c r="E2338" s="4" t="s">
        <v>4204</v>
      </c>
      <c r="F2338" s="4" t="s">
        <v>4203</v>
      </c>
    </row>
    <row r="2339" spans="1:6" ht="14.4" thickBot="1" x14ac:dyDescent="0.35">
      <c r="A2339" s="4" t="s">
        <v>177</v>
      </c>
      <c r="B2339" s="4" t="s">
        <v>178</v>
      </c>
      <c r="C2339" s="4" t="s">
        <v>177</v>
      </c>
      <c r="D2339" s="4" t="s">
        <v>3413</v>
      </c>
      <c r="E2339" s="4" t="s">
        <v>3414</v>
      </c>
      <c r="F2339" s="4" t="s">
        <v>3413</v>
      </c>
    </row>
    <row r="2340" spans="1:6" ht="14.4" thickBot="1" x14ac:dyDescent="0.35">
      <c r="A2340" s="4" t="s">
        <v>177</v>
      </c>
      <c r="B2340" s="4" t="s">
        <v>178</v>
      </c>
      <c r="C2340" s="4" t="s">
        <v>177</v>
      </c>
      <c r="D2340" s="4" t="s">
        <v>2616</v>
      </c>
      <c r="E2340" s="4" t="s">
        <v>2617</v>
      </c>
      <c r="F2340" s="4" t="s">
        <v>2616</v>
      </c>
    </row>
    <row r="2341" spans="1:6" ht="14.4" thickBot="1" x14ac:dyDescent="0.35">
      <c r="A2341" s="4" t="s">
        <v>177</v>
      </c>
      <c r="B2341" s="4" t="s">
        <v>178</v>
      </c>
      <c r="C2341" s="4" t="s">
        <v>177</v>
      </c>
      <c r="D2341" s="4" t="s">
        <v>1153</v>
      </c>
      <c r="E2341" s="4" t="s">
        <v>1154</v>
      </c>
      <c r="F2341" s="4" t="s">
        <v>1153</v>
      </c>
    </row>
    <row r="2342" spans="1:6" ht="14.4" thickBot="1" x14ac:dyDescent="0.35">
      <c r="A2342" s="4" t="s">
        <v>177</v>
      </c>
      <c r="B2342" s="4" t="s">
        <v>178</v>
      </c>
      <c r="C2342" s="4" t="s">
        <v>177</v>
      </c>
      <c r="D2342" s="4" t="s">
        <v>1980</v>
      </c>
      <c r="E2342" s="4" t="s">
        <v>1981</v>
      </c>
      <c r="F2342" s="4" t="s">
        <v>1980</v>
      </c>
    </row>
    <row r="2343" spans="1:6" ht="14.4" thickBot="1" x14ac:dyDescent="0.35">
      <c r="A2343" s="4" t="s">
        <v>177</v>
      </c>
      <c r="B2343" s="4" t="s">
        <v>178</v>
      </c>
      <c r="C2343" s="4" t="s">
        <v>177</v>
      </c>
      <c r="D2343" s="4" t="s">
        <v>195</v>
      </c>
      <c r="E2343" s="4" t="s">
        <v>196</v>
      </c>
      <c r="F2343" s="4" t="s">
        <v>195</v>
      </c>
    </row>
    <row r="2344" spans="1:6" ht="14.4" thickBot="1" x14ac:dyDescent="0.35">
      <c r="A2344" s="4" t="s">
        <v>177</v>
      </c>
      <c r="B2344" s="4" t="s">
        <v>178</v>
      </c>
      <c r="C2344" s="4" t="s">
        <v>177</v>
      </c>
      <c r="D2344" s="4" t="s">
        <v>4896</v>
      </c>
      <c r="E2344" s="4" t="s">
        <v>2905</v>
      </c>
      <c r="F2344" s="4" t="s">
        <v>4896</v>
      </c>
    </row>
    <row r="2345" spans="1:6" ht="14.4" thickBot="1" x14ac:dyDescent="0.35">
      <c r="A2345" s="4" t="s">
        <v>177</v>
      </c>
      <c r="B2345" s="4" t="s">
        <v>178</v>
      </c>
      <c r="C2345" s="4" t="s">
        <v>177</v>
      </c>
      <c r="D2345" s="4" t="s">
        <v>4887</v>
      </c>
      <c r="E2345" s="4" t="s">
        <v>4888</v>
      </c>
      <c r="F2345" s="4" t="s">
        <v>4887</v>
      </c>
    </row>
    <row r="2346" spans="1:6" ht="14.4" thickBot="1" x14ac:dyDescent="0.35">
      <c r="A2346" s="4" t="s">
        <v>177</v>
      </c>
      <c r="B2346" s="4" t="s">
        <v>178</v>
      </c>
      <c r="C2346" s="4" t="s">
        <v>177</v>
      </c>
      <c r="D2346" s="4" t="s">
        <v>4220</v>
      </c>
      <c r="E2346" s="4" t="s">
        <v>2293</v>
      </c>
      <c r="F2346" s="4" t="s">
        <v>4220</v>
      </c>
    </row>
    <row r="2347" spans="1:6" ht="14.4" thickBot="1" x14ac:dyDescent="0.35">
      <c r="A2347" s="4" t="s">
        <v>177</v>
      </c>
      <c r="B2347" s="4" t="s">
        <v>178</v>
      </c>
      <c r="C2347" s="4" t="s">
        <v>177</v>
      </c>
      <c r="D2347" s="4" t="s">
        <v>3417</v>
      </c>
      <c r="E2347" s="4" t="s">
        <v>3418</v>
      </c>
      <c r="F2347" s="4" t="s">
        <v>3417</v>
      </c>
    </row>
    <row r="2348" spans="1:6" ht="14.4" thickBot="1" x14ac:dyDescent="0.35">
      <c r="A2348" s="4" t="s">
        <v>177</v>
      </c>
      <c r="B2348" s="4" t="s">
        <v>178</v>
      </c>
      <c r="C2348" s="4" t="s">
        <v>177</v>
      </c>
      <c r="D2348" s="4" t="s">
        <v>197</v>
      </c>
      <c r="E2348" s="4" t="s">
        <v>198</v>
      </c>
      <c r="F2348" s="4" t="s">
        <v>197</v>
      </c>
    </row>
    <row r="2349" spans="1:6" ht="14.4" thickBot="1" x14ac:dyDescent="0.35">
      <c r="A2349" s="4" t="s">
        <v>177</v>
      </c>
      <c r="B2349" s="4" t="s">
        <v>178</v>
      </c>
      <c r="C2349" s="4" t="s">
        <v>177</v>
      </c>
      <c r="D2349" s="4" t="s">
        <v>1978</v>
      </c>
      <c r="E2349" s="4" t="s">
        <v>1979</v>
      </c>
      <c r="F2349" s="4" t="s">
        <v>1978</v>
      </c>
    </row>
    <row r="2350" spans="1:6" ht="14.4" thickBot="1" x14ac:dyDescent="0.35">
      <c r="A2350" s="4" t="s">
        <v>177</v>
      </c>
      <c r="B2350" s="4" t="s">
        <v>178</v>
      </c>
      <c r="C2350" s="4" t="s">
        <v>177</v>
      </c>
      <c r="D2350" s="4" t="s">
        <v>1976</v>
      </c>
      <c r="E2350" s="4" t="s">
        <v>1977</v>
      </c>
      <c r="F2350" s="4" t="s">
        <v>1976</v>
      </c>
    </row>
    <row r="2351" spans="1:6" ht="14.4" thickBot="1" x14ac:dyDescent="0.35">
      <c r="A2351" s="4" t="s">
        <v>177</v>
      </c>
      <c r="B2351" s="4" t="s">
        <v>178</v>
      </c>
      <c r="C2351" s="4" t="s">
        <v>177</v>
      </c>
      <c r="D2351" s="4" t="s">
        <v>4213</v>
      </c>
      <c r="E2351" s="4" t="s">
        <v>4214</v>
      </c>
      <c r="F2351" s="4" t="s">
        <v>4213</v>
      </c>
    </row>
    <row r="2352" spans="1:6" ht="14.4" thickBot="1" x14ac:dyDescent="0.35">
      <c r="A2352" s="4" t="s">
        <v>177</v>
      </c>
      <c r="B2352" s="4" t="s">
        <v>178</v>
      </c>
      <c r="C2352" s="4" t="s">
        <v>177</v>
      </c>
      <c r="D2352" s="4" t="s">
        <v>2622</v>
      </c>
      <c r="E2352" s="4" t="s">
        <v>2623</v>
      </c>
      <c r="F2352" s="4" t="s">
        <v>2622</v>
      </c>
    </row>
    <row r="2353" spans="1:6" ht="14.4" thickBot="1" x14ac:dyDescent="0.35">
      <c r="A2353" s="4" t="s">
        <v>177</v>
      </c>
      <c r="B2353" s="4" t="s">
        <v>178</v>
      </c>
      <c r="C2353" s="4" t="s">
        <v>177</v>
      </c>
      <c r="D2353" s="4" t="s">
        <v>4889</v>
      </c>
      <c r="E2353" s="4" t="s">
        <v>4890</v>
      </c>
      <c r="F2353" s="4" t="s">
        <v>4889</v>
      </c>
    </row>
    <row r="2354" spans="1:6" ht="14.4" thickBot="1" x14ac:dyDescent="0.35">
      <c r="A2354" s="4" t="s">
        <v>177</v>
      </c>
      <c r="B2354" s="4" t="s">
        <v>178</v>
      </c>
      <c r="C2354" s="4" t="s">
        <v>177</v>
      </c>
      <c r="D2354" s="4" t="s">
        <v>4218</v>
      </c>
      <c r="E2354" s="4" t="s">
        <v>4219</v>
      </c>
      <c r="F2354" s="4" t="s">
        <v>4218</v>
      </c>
    </row>
    <row r="2355" spans="1:6" ht="14.4" thickBot="1" x14ac:dyDescent="0.35">
      <c r="A2355" s="4" t="s">
        <v>177</v>
      </c>
      <c r="B2355" s="4" t="s">
        <v>178</v>
      </c>
      <c r="C2355" s="4" t="s">
        <v>177</v>
      </c>
      <c r="D2355" s="4" t="s">
        <v>1147</v>
      </c>
      <c r="E2355" s="4" t="s">
        <v>1148</v>
      </c>
      <c r="F2355" s="4" t="s">
        <v>1147</v>
      </c>
    </row>
    <row r="2356" spans="1:6" ht="14.4" thickBot="1" x14ac:dyDescent="0.35">
      <c r="A2356" s="4" t="s">
        <v>177</v>
      </c>
      <c r="B2356" s="4" t="s">
        <v>178</v>
      </c>
      <c r="C2356" s="4" t="s">
        <v>177</v>
      </c>
      <c r="D2356" s="4" t="s">
        <v>2628</v>
      </c>
      <c r="E2356" s="4" t="s">
        <v>1345</v>
      </c>
      <c r="F2356" s="4" t="s">
        <v>2628</v>
      </c>
    </row>
    <row r="2357" spans="1:6" ht="14.4" thickBot="1" x14ac:dyDescent="0.35">
      <c r="A2357" s="4" t="s">
        <v>177</v>
      </c>
      <c r="B2357" s="4" t="s">
        <v>178</v>
      </c>
      <c r="C2357" s="4" t="s">
        <v>177</v>
      </c>
      <c r="D2357" s="4" t="s">
        <v>4891</v>
      </c>
      <c r="E2357" s="4" t="s">
        <v>4892</v>
      </c>
      <c r="F2357" s="4" t="s">
        <v>4891</v>
      </c>
    </row>
    <row r="2358" spans="1:6" ht="14.4" thickBot="1" x14ac:dyDescent="0.35">
      <c r="A2358" s="4" t="s">
        <v>177</v>
      </c>
      <c r="B2358" s="4" t="s">
        <v>178</v>
      </c>
      <c r="C2358" s="4" t="s">
        <v>177</v>
      </c>
      <c r="D2358" s="4" t="s">
        <v>2626</v>
      </c>
      <c r="E2358" s="4" t="s">
        <v>2627</v>
      </c>
      <c r="F2358" s="4" t="s">
        <v>2626</v>
      </c>
    </row>
    <row r="2359" spans="1:6" ht="14.4" thickBot="1" x14ac:dyDescent="0.35">
      <c r="A2359" s="4" t="s">
        <v>177</v>
      </c>
      <c r="B2359" s="4" t="s">
        <v>178</v>
      </c>
      <c r="C2359" s="4" t="s">
        <v>177</v>
      </c>
      <c r="D2359" s="4" t="s">
        <v>179</v>
      </c>
      <c r="E2359" s="4" t="s">
        <v>180</v>
      </c>
      <c r="F2359" s="4" t="s">
        <v>179</v>
      </c>
    </row>
    <row r="2360" spans="1:6" ht="14.4" thickBot="1" x14ac:dyDescent="0.35">
      <c r="A2360" s="4" t="s">
        <v>2497</v>
      </c>
      <c r="B2360" s="4" t="s">
        <v>2498</v>
      </c>
      <c r="C2360" s="4" t="s">
        <v>2497</v>
      </c>
      <c r="D2360" s="4" t="s">
        <v>3987</v>
      </c>
      <c r="E2360" s="4" t="s">
        <v>3988</v>
      </c>
      <c r="F2360" s="4" t="s">
        <v>3987</v>
      </c>
    </row>
    <row r="2361" spans="1:6" ht="14.4" thickBot="1" x14ac:dyDescent="0.35">
      <c r="A2361" s="4" t="s">
        <v>2497</v>
      </c>
      <c r="B2361" s="4" t="s">
        <v>2498</v>
      </c>
      <c r="C2361" s="4" t="s">
        <v>2497</v>
      </c>
      <c r="D2361" s="4" t="s">
        <v>2499</v>
      </c>
      <c r="E2361" s="4" t="s">
        <v>2500</v>
      </c>
      <c r="F2361" s="4" t="s">
        <v>2499</v>
      </c>
    </row>
    <row r="2362" spans="1:6" ht="14.4" thickBot="1" x14ac:dyDescent="0.35">
      <c r="A2362" s="4" t="s">
        <v>204</v>
      </c>
      <c r="B2362" s="4" t="s">
        <v>205</v>
      </c>
      <c r="C2362" s="4" t="s">
        <v>204</v>
      </c>
      <c r="D2362" s="4" t="s">
        <v>2633</v>
      </c>
      <c r="E2362" s="4" t="s">
        <v>2634</v>
      </c>
      <c r="F2362" s="4" t="s">
        <v>2633</v>
      </c>
    </row>
    <row r="2363" spans="1:6" ht="14.4" thickBot="1" x14ac:dyDescent="0.35">
      <c r="A2363" s="4" t="s">
        <v>204</v>
      </c>
      <c r="B2363" s="4" t="s">
        <v>205</v>
      </c>
      <c r="C2363" s="4" t="s">
        <v>204</v>
      </c>
      <c r="D2363" s="4" t="s">
        <v>4898</v>
      </c>
      <c r="E2363" s="4" t="s">
        <v>4899</v>
      </c>
      <c r="F2363" s="4" t="s">
        <v>4898</v>
      </c>
    </row>
    <row r="2364" spans="1:6" ht="14.4" thickBot="1" x14ac:dyDescent="0.35">
      <c r="A2364" s="4" t="s">
        <v>204</v>
      </c>
      <c r="B2364" s="4" t="s">
        <v>205</v>
      </c>
      <c r="C2364" s="4" t="s">
        <v>204</v>
      </c>
      <c r="D2364" s="4" t="s">
        <v>2635</v>
      </c>
      <c r="E2364" s="4" t="s">
        <v>2636</v>
      </c>
      <c r="F2364" s="4" t="s">
        <v>2635</v>
      </c>
    </row>
    <row r="2365" spans="1:6" ht="14.4" thickBot="1" x14ac:dyDescent="0.35">
      <c r="A2365" s="4" t="s">
        <v>204</v>
      </c>
      <c r="B2365" s="4" t="s">
        <v>205</v>
      </c>
      <c r="C2365" s="4" t="s">
        <v>204</v>
      </c>
      <c r="D2365" s="4" t="s">
        <v>5613</v>
      </c>
      <c r="E2365" s="4" t="s">
        <v>5614</v>
      </c>
      <c r="F2365" s="4" t="s">
        <v>5613</v>
      </c>
    </row>
    <row r="2366" spans="1:6" ht="14.4" thickBot="1" x14ac:dyDescent="0.35">
      <c r="A2366" s="4" t="s">
        <v>204</v>
      </c>
      <c r="B2366" s="4" t="s">
        <v>205</v>
      </c>
      <c r="C2366" s="4" t="s">
        <v>204</v>
      </c>
      <c r="D2366" s="4" t="s">
        <v>1986</v>
      </c>
      <c r="E2366" s="4" t="s">
        <v>1105</v>
      </c>
      <c r="F2366" s="4" t="s">
        <v>1986</v>
      </c>
    </row>
    <row r="2367" spans="1:6" ht="14.4" thickBot="1" x14ac:dyDescent="0.35">
      <c r="A2367" s="4" t="s">
        <v>204</v>
      </c>
      <c r="B2367" s="4" t="s">
        <v>205</v>
      </c>
      <c r="C2367" s="4" t="s">
        <v>204</v>
      </c>
      <c r="D2367" s="4" t="s">
        <v>206</v>
      </c>
      <c r="E2367" s="4" t="s">
        <v>207</v>
      </c>
      <c r="F2367" s="4" t="s">
        <v>206</v>
      </c>
    </row>
    <row r="2368" spans="1:6" ht="14.4" thickBot="1" x14ac:dyDescent="0.35">
      <c r="A2368" s="4" t="s">
        <v>204</v>
      </c>
      <c r="B2368" s="4" t="s">
        <v>205</v>
      </c>
      <c r="C2368" s="4" t="s">
        <v>204</v>
      </c>
      <c r="D2368" s="4" t="s">
        <v>1164</v>
      </c>
      <c r="E2368" s="4" t="s">
        <v>1165</v>
      </c>
      <c r="F2368" s="4" t="s">
        <v>1164</v>
      </c>
    </row>
    <row r="2369" spans="1:6" ht="14.4" thickBot="1" x14ac:dyDescent="0.35">
      <c r="A2369" s="4" t="s">
        <v>204</v>
      </c>
      <c r="B2369" s="4" t="s">
        <v>205</v>
      </c>
      <c r="C2369" s="4" t="s">
        <v>204</v>
      </c>
      <c r="D2369" s="4" t="s">
        <v>5609</v>
      </c>
      <c r="E2369" s="4" t="s">
        <v>5610</v>
      </c>
      <c r="F2369" s="4" t="s">
        <v>5609</v>
      </c>
    </row>
    <row r="2370" spans="1:6" ht="14.4" thickBot="1" x14ac:dyDescent="0.35">
      <c r="A2370" s="4" t="s">
        <v>204</v>
      </c>
      <c r="B2370" s="4" t="s">
        <v>205</v>
      </c>
      <c r="C2370" s="4" t="s">
        <v>204</v>
      </c>
      <c r="D2370" s="4" t="s">
        <v>5611</v>
      </c>
      <c r="E2370" s="4" t="s">
        <v>5612</v>
      </c>
      <c r="F2370" s="4" t="s">
        <v>5611</v>
      </c>
    </row>
    <row r="2371" spans="1:6" ht="14.4" thickBot="1" x14ac:dyDescent="0.35">
      <c r="A2371" s="4" t="s">
        <v>204</v>
      </c>
      <c r="B2371" s="4" t="s">
        <v>205</v>
      </c>
      <c r="C2371" s="4" t="s">
        <v>204</v>
      </c>
      <c r="D2371" s="4" t="s">
        <v>3423</v>
      </c>
      <c r="E2371" s="4" t="s">
        <v>3424</v>
      </c>
      <c r="F2371" s="4" t="s">
        <v>3423</v>
      </c>
    </row>
    <row r="2372" spans="1:6" ht="14.4" thickBot="1" x14ac:dyDescent="0.35">
      <c r="A2372" s="4" t="s">
        <v>124</v>
      </c>
      <c r="B2372" s="4" t="s">
        <v>125</v>
      </c>
      <c r="C2372" s="4" t="s">
        <v>124</v>
      </c>
      <c r="D2372" s="4" t="s">
        <v>133</v>
      </c>
      <c r="E2372" s="4" t="s">
        <v>134</v>
      </c>
      <c r="F2372" s="4" t="s">
        <v>133</v>
      </c>
    </row>
    <row r="2373" spans="1:6" ht="14.4" thickBot="1" x14ac:dyDescent="0.35">
      <c r="A2373" s="4" t="s">
        <v>124</v>
      </c>
      <c r="B2373" s="4" t="s">
        <v>125</v>
      </c>
      <c r="C2373" s="4" t="s">
        <v>124</v>
      </c>
      <c r="D2373" s="4" t="s">
        <v>131</v>
      </c>
      <c r="E2373" s="4" t="s">
        <v>132</v>
      </c>
      <c r="F2373" s="4" t="s">
        <v>131</v>
      </c>
    </row>
    <row r="2374" spans="1:6" ht="14.4" thickBot="1" x14ac:dyDescent="0.35">
      <c r="A2374" s="4" t="s">
        <v>124</v>
      </c>
      <c r="B2374" s="4" t="s">
        <v>125</v>
      </c>
      <c r="C2374" s="4" t="s">
        <v>124</v>
      </c>
      <c r="D2374" s="4" t="s">
        <v>1937</v>
      </c>
      <c r="E2374" s="4" t="s">
        <v>1938</v>
      </c>
      <c r="F2374" s="4" t="s">
        <v>1937</v>
      </c>
    </row>
    <row r="2375" spans="1:6" ht="14.4" thickBot="1" x14ac:dyDescent="0.35">
      <c r="A2375" s="4" t="s">
        <v>124</v>
      </c>
      <c r="B2375" s="4" t="s">
        <v>125</v>
      </c>
      <c r="C2375" s="4" t="s">
        <v>124</v>
      </c>
      <c r="D2375" s="4" t="s">
        <v>4170</v>
      </c>
      <c r="E2375" s="4" t="s">
        <v>4171</v>
      </c>
      <c r="F2375" s="4" t="s">
        <v>4170</v>
      </c>
    </row>
    <row r="2376" spans="1:6" ht="14.4" thickBot="1" x14ac:dyDescent="0.35">
      <c r="A2376" s="4" t="s">
        <v>124</v>
      </c>
      <c r="B2376" s="4" t="s">
        <v>125</v>
      </c>
      <c r="C2376" s="4" t="s">
        <v>124</v>
      </c>
      <c r="D2376" s="4" t="s">
        <v>4172</v>
      </c>
      <c r="E2376" s="4" t="s">
        <v>4173</v>
      </c>
      <c r="F2376" s="4" t="s">
        <v>4172</v>
      </c>
    </row>
    <row r="2377" spans="1:6" ht="14.4" thickBot="1" x14ac:dyDescent="0.35">
      <c r="A2377" s="4" t="s">
        <v>124</v>
      </c>
      <c r="B2377" s="4" t="s">
        <v>125</v>
      </c>
      <c r="C2377" s="4" t="s">
        <v>124</v>
      </c>
      <c r="D2377" s="4" t="s">
        <v>5577</v>
      </c>
      <c r="E2377" s="4" t="s">
        <v>5578</v>
      </c>
      <c r="F2377" s="4" t="s">
        <v>5577</v>
      </c>
    </row>
    <row r="2378" spans="1:6" ht="14.4" thickBot="1" x14ac:dyDescent="0.35">
      <c r="A2378" s="4" t="s">
        <v>124</v>
      </c>
      <c r="B2378" s="4" t="s">
        <v>125</v>
      </c>
      <c r="C2378" s="4" t="s">
        <v>124</v>
      </c>
      <c r="D2378" s="4" t="s">
        <v>128</v>
      </c>
      <c r="E2378" s="4" t="s">
        <v>129</v>
      </c>
      <c r="F2378" s="4" t="s">
        <v>128</v>
      </c>
    </row>
    <row r="2379" spans="1:6" ht="14.4" thickBot="1" x14ac:dyDescent="0.35">
      <c r="A2379" s="4" t="s">
        <v>124</v>
      </c>
      <c r="B2379" s="4" t="s">
        <v>125</v>
      </c>
      <c r="C2379" s="4" t="s">
        <v>124</v>
      </c>
      <c r="D2379" s="4" t="s">
        <v>5575</v>
      </c>
      <c r="E2379" s="4" t="s">
        <v>5576</v>
      </c>
      <c r="F2379" s="4" t="s">
        <v>5575</v>
      </c>
    </row>
    <row r="2380" spans="1:6" ht="14.4" thickBot="1" x14ac:dyDescent="0.35">
      <c r="A2380" s="4" t="s">
        <v>124</v>
      </c>
      <c r="B2380" s="4" t="s">
        <v>125</v>
      </c>
      <c r="C2380" s="4" t="s">
        <v>124</v>
      </c>
      <c r="D2380" s="4" t="s">
        <v>2586</v>
      </c>
      <c r="E2380" s="4" t="s">
        <v>2587</v>
      </c>
      <c r="F2380" s="4" t="s">
        <v>2586</v>
      </c>
    </row>
    <row r="2381" spans="1:6" ht="14.4" thickBot="1" x14ac:dyDescent="0.35">
      <c r="A2381" s="4" t="s">
        <v>124</v>
      </c>
      <c r="B2381" s="4" t="s">
        <v>125</v>
      </c>
      <c r="C2381" s="4" t="s">
        <v>124</v>
      </c>
      <c r="D2381" s="4" t="s">
        <v>1939</v>
      </c>
      <c r="E2381" s="4" t="s">
        <v>1940</v>
      </c>
      <c r="F2381" s="4" t="s">
        <v>1939</v>
      </c>
    </row>
    <row r="2382" spans="1:6" ht="14.4" thickBot="1" x14ac:dyDescent="0.35">
      <c r="A2382" s="4" t="s">
        <v>124</v>
      </c>
      <c r="B2382" s="4" t="s">
        <v>125</v>
      </c>
      <c r="C2382" s="4" t="s">
        <v>124</v>
      </c>
      <c r="D2382" s="4" t="s">
        <v>126</v>
      </c>
      <c r="E2382" s="4" t="s">
        <v>127</v>
      </c>
      <c r="F2382" s="4" t="s">
        <v>126</v>
      </c>
    </row>
    <row r="2383" spans="1:6" ht="14.4" thickBot="1" x14ac:dyDescent="0.35">
      <c r="A2383" s="4" t="s">
        <v>124</v>
      </c>
      <c r="B2383" s="4" t="s">
        <v>125</v>
      </c>
      <c r="C2383" s="4" t="s">
        <v>124</v>
      </c>
      <c r="D2383" s="4" t="s">
        <v>3378</v>
      </c>
      <c r="E2383" s="4" t="s">
        <v>3379</v>
      </c>
      <c r="F2383" s="4" t="s">
        <v>3378</v>
      </c>
    </row>
    <row r="2384" spans="1:6" ht="14.4" thickBot="1" x14ac:dyDescent="0.35">
      <c r="A2384" s="4" t="s">
        <v>124</v>
      </c>
      <c r="B2384" s="4" t="s">
        <v>125</v>
      </c>
      <c r="C2384" s="4" t="s">
        <v>124</v>
      </c>
      <c r="D2384" s="4" t="s">
        <v>4176</v>
      </c>
      <c r="E2384" s="4" t="s">
        <v>4177</v>
      </c>
      <c r="F2384" s="4" t="s">
        <v>4176</v>
      </c>
    </row>
    <row r="2385" spans="1:6" ht="14.4" thickBot="1" x14ac:dyDescent="0.35">
      <c r="A2385" s="4" t="s">
        <v>124</v>
      </c>
      <c r="B2385" s="4" t="s">
        <v>125</v>
      </c>
      <c r="C2385" s="4" t="s">
        <v>124</v>
      </c>
      <c r="D2385" s="4" t="s">
        <v>1092</v>
      </c>
      <c r="E2385" s="4" t="s">
        <v>1093</v>
      </c>
      <c r="F2385" s="4" t="s">
        <v>1092</v>
      </c>
    </row>
    <row r="2386" spans="1:6" ht="14.4" thickBot="1" x14ac:dyDescent="0.35">
      <c r="A2386" s="4" t="s">
        <v>124</v>
      </c>
      <c r="B2386" s="4" t="s">
        <v>125</v>
      </c>
      <c r="C2386" s="4" t="s">
        <v>124</v>
      </c>
      <c r="D2386" s="4" t="s">
        <v>1941</v>
      </c>
      <c r="E2386" s="4" t="s">
        <v>1942</v>
      </c>
      <c r="F2386" s="4" t="s">
        <v>1941</v>
      </c>
    </row>
    <row r="2387" spans="1:6" ht="14.4" thickBot="1" x14ac:dyDescent="0.35">
      <c r="A2387" s="4" t="s">
        <v>124</v>
      </c>
      <c r="B2387" s="4" t="s">
        <v>125</v>
      </c>
      <c r="C2387" s="4" t="s">
        <v>124</v>
      </c>
      <c r="D2387" s="4" t="s">
        <v>2588</v>
      </c>
      <c r="E2387" s="4" t="s">
        <v>762</v>
      </c>
      <c r="F2387" s="4" t="s">
        <v>2588</v>
      </c>
    </row>
    <row r="2388" spans="1:6" ht="14.4" thickBot="1" x14ac:dyDescent="0.35">
      <c r="A2388" s="4" t="s">
        <v>124</v>
      </c>
      <c r="B2388" s="4" t="s">
        <v>125</v>
      </c>
      <c r="C2388" s="4" t="s">
        <v>124</v>
      </c>
      <c r="D2388" s="4" t="s">
        <v>3380</v>
      </c>
      <c r="E2388" s="4" t="s">
        <v>3381</v>
      </c>
      <c r="F2388" s="4" t="s">
        <v>3380</v>
      </c>
    </row>
    <row r="2389" spans="1:6" ht="14.4" thickBot="1" x14ac:dyDescent="0.35">
      <c r="A2389" s="4" t="s">
        <v>124</v>
      </c>
      <c r="B2389" s="4" t="s">
        <v>125</v>
      </c>
      <c r="C2389" s="4" t="s">
        <v>124</v>
      </c>
      <c r="D2389" s="4" t="s">
        <v>4174</v>
      </c>
      <c r="E2389" s="4" t="s">
        <v>4175</v>
      </c>
      <c r="F2389" s="4" t="s">
        <v>4174</v>
      </c>
    </row>
    <row r="2390" spans="1:6" ht="14.4" thickBot="1" x14ac:dyDescent="0.35">
      <c r="A2390" s="4" t="s">
        <v>124</v>
      </c>
      <c r="B2390" s="4" t="s">
        <v>125</v>
      </c>
      <c r="C2390" s="4" t="s">
        <v>124</v>
      </c>
      <c r="D2390" s="4" t="s">
        <v>4180</v>
      </c>
      <c r="E2390" s="4" t="s">
        <v>4181</v>
      </c>
      <c r="F2390" s="4" t="s">
        <v>4180</v>
      </c>
    </row>
    <row r="2391" spans="1:6" ht="14.4" thickBot="1" x14ac:dyDescent="0.35">
      <c r="A2391" s="4" t="s">
        <v>124</v>
      </c>
      <c r="B2391" s="4" t="s">
        <v>125</v>
      </c>
      <c r="C2391" s="4" t="s">
        <v>124</v>
      </c>
      <c r="D2391" s="4" t="s">
        <v>4178</v>
      </c>
      <c r="E2391" s="4" t="s">
        <v>4179</v>
      </c>
      <c r="F2391" s="4" t="s">
        <v>4178</v>
      </c>
    </row>
    <row r="2392" spans="1:6" ht="14.4" thickBot="1" x14ac:dyDescent="0.35">
      <c r="A2392" s="4" t="s">
        <v>124</v>
      </c>
      <c r="B2392" s="4" t="s">
        <v>125</v>
      </c>
      <c r="C2392" s="4" t="s">
        <v>124</v>
      </c>
      <c r="D2392" s="4" t="s">
        <v>3376</v>
      </c>
      <c r="E2392" s="4" t="s">
        <v>3377</v>
      </c>
      <c r="F2392" s="4" t="s">
        <v>3376</v>
      </c>
    </row>
    <row r="2393" spans="1:6" ht="14.4" thickBot="1" x14ac:dyDescent="0.35">
      <c r="A2393" s="4" t="s">
        <v>136</v>
      </c>
      <c r="B2393" s="4" t="s">
        <v>137</v>
      </c>
      <c r="C2393" s="4" t="s">
        <v>136</v>
      </c>
      <c r="D2393" s="4" t="s">
        <v>138</v>
      </c>
      <c r="E2393" s="4" t="s">
        <v>139</v>
      </c>
      <c r="F2393" s="4" t="s">
        <v>138</v>
      </c>
    </row>
    <row r="2394" spans="1:6" ht="14.4" thickBot="1" x14ac:dyDescent="0.35">
      <c r="A2394" s="4" t="s">
        <v>136</v>
      </c>
      <c r="B2394" s="4" t="s">
        <v>137</v>
      </c>
      <c r="C2394" s="4" t="s">
        <v>136</v>
      </c>
      <c r="D2394" s="4" t="s">
        <v>1094</v>
      </c>
      <c r="E2394" s="4" t="s">
        <v>1095</v>
      </c>
      <c r="F2394" s="4" t="s">
        <v>1094</v>
      </c>
    </row>
    <row r="2395" spans="1:6" ht="14.4" thickBot="1" x14ac:dyDescent="0.35">
      <c r="A2395" s="4" t="s">
        <v>136</v>
      </c>
      <c r="B2395" s="4" t="s">
        <v>137</v>
      </c>
      <c r="C2395" s="4" t="s">
        <v>136</v>
      </c>
      <c r="D2395" s="4" t="s">
        <v>1943</v>
      </c>
      <c r="E2395" s="4" t="s">
        <v>1944</v>
      </c>
      <c r="F2395" s="4" t="s">
        <v>1943</v>
      </c>
    </row>
    <row r="2396" spans="1:6" ht="14.4" thickBot="1" x14ac:dyDescent="0.35">
      <c r="A2396" s="4" t="s">
        <v>140</v>
      </c>
      <c r="B2396" s="4" t="s">
        <v>141</v>
      </c>
      <c r="C2396" s="4" t="s">
        <v>140</v>
      </c>
      <c r="D2396" s="4" t="s">
        <v>1096</v>
      </c>
      <c r="E2396" s="4" t="s">
        <v>1097</v>
      </c>
      <c r="F2396" s="4" t="s">
        <v>1096</v>
      </c>
    </row>
    <row r="2397" spans="1:6" ht="14.4" thickBot="1" x14ac:dyDescent="0.35">
      <c r="A2397" s="4" t="s">
        <v>140</v>
      </c>
      <c r="B2397" s="4" t="s">
        <v>141</v>
      </c>
      <c r="C2397" s="4" t="s">
        <v>140</v>
      </c>
      <c r="D2397" s="4" t="s">
        <v>142</v>
      </c>
      <c r="E2397" s="4" t="s">
        <v>143</v>
      </c>
      <c r="F2397" s="4" t="s">
        <v>142</v>
      </c>
    </row>
    <row r="2398" spans="1:6" ht="14.4" thickBot="1" x14ac:dyDescent="0.35">
      <c r="A2398" s="4" t="s">
        <v>140</v>
      </c>
      <c r="B2398" s="4" t="s">
        <v>141</v>
      </c>
      <c r="C2398" s="4" t="s">
        <v>140</v>
      </c>
      <c r="D2398" s="4" t="s">
        <v>2589</v>
      </c>
      <c r="E2398" s="4" t="s">
        <v>2590</v>
      </c>
      <c r="F2398" s="4" t="s">
        <v>2589</v>
      </c>
    </row>
    <row r="2399" spans="1:6" ht="14.4" thickBot="1" x14ac:dyDescent="0.35">
      <c r="A2399" s="4" t="s">
        <v>140</v>
      </c>
      <c r="B2399" s="4" t="s">
        <v>141</v>
      </c>
      <c r="C2399" s="4" t="s">
        <v>140</v>
      </c>
      <c r="D2399" s="4" t="s">
        <v>4182</v>
      </c>
      <c r="E2399" s="4" t="s">
        <v>4183</v>
      </c>
      <c r="F2399" s="4" t="s">
        <v>4182</v>
      </c>
    </row>
    <row r="2400" spans="1:6" ht="14.4" thickBot="1" x14ac:dyDescent="0.35">
      <c r="A2400" s="4" t="s">
        <v>140</v>
      </c>
      <c r="B2400" s="4" t="s">
        <v>141</v>
      </c>
      <c r="C2400" s="4" t="s">
        <v>140</v>
      </c>
      <c r="D2400" s="4" t="s">
        <v>3382</v>
      </c>
      <c r="E2400" s="4" t="s">
        <v>3383</v>
      </c>
      <c r="F2400" s="4" t="s">
        <v>3382</v>
      </c>
    </row>
    <row r="2401" spans="1:6" ht="14.4" thickBot="1" x14ac:dyDescent="0.35">
      <c r="A2401" s="4" t="s">
        <v>140</v>
      </c>
      <c r="B2401" s="4" t="s">
        <v>141</v>
      </c>
      <c r="C2401" s="4" t="s">
        <v>140</v>
      </c>
      <c r="D2401" s="4" t="s">
        <v>3384</v>
      </c>
      <c r="E2401" s="4" t="s">
        <v>3385</v>
      </c>
      <c r="F2401" s="4" t="s">
        <v>3384</v>
      </c>
    </row>
    <row r="2402" spans="1:6" ht="14.4" thickBot="1" x14ac:dyDescent="0.35">
      <c r="A2402" s="4" t="s">
        <v>140</v>
      </c>
      <c r="B2402" s="4" t="s">
        <v>141</v>
      </c>
      <c r="C2402" s="4" t="s">
        <v>140</v>
      </c>
      <c r="D2402" s="4" t="s">
        <v>4862</v>
      </c>
      <c r="E2402" s="4" t="s">
        <v>4863</v>
      </c>
      <c r="F2402" s="4" t="s">
        <v>4862</v>
      </c>
    </row>
    <row r="2403" spans="1:6" ht="14.4" thickBot="1" x14ac:dyDescent="0.35">
      <c r="A2403" s="4" t="s">
        <v>145</v>
      </c>
      <c r="B2403" s="4" t="s">
        <v>146</v>
      </c>
      <c r="C2403" s="4" t="s">
        <v>145</v>
      </c>
      <c r="D2403" s="4" t="s">
        <v>4184</v>
      </c>
      <c r="E2403" s="4" t="s">
        <v>4185</v>
      </c>
      <c r="F2403" s="4" t="s">
        <v>4184</v>
      </c>
    </row>
    <row r="2404" spans="1:6" ht="14.4" thickBot="1" x14ac:dyDescent="0.35">
      <c r="A2404" s="4" t="s">
        <v>145</v>
      </c>
      <c r="B2404" s="4" t="s">
        <v>146</v>
      </c>
      <c r="C2404" s="4" t="s">
        <v>145</v>
      </c>
      <c r="D2404" s="4" t="s">
        <v>5579</v>
      </c>
      <c r="E2404" s="4" t="s">
        <v>5580</v>
      </c>
      <c r="F2404" s="4" t="s">
        <v>5579</v>
      </c>
    </row>
    <row r="2405" spans="1:6" ht="14.4" thickBot="1" x14ac:dyDescent="0.35">
      <c r="A2405" s="4" t="s">
        <v>145</v>
      </c>
      <c r="B2405" s="4" t="s">
        <v>146</v>
      </c>
      <c r="C2405" s="4" t="s">
        <v>145</v>
      </c>
      <c r="D2405" s="4" t="s">
        <v>1104</v>
      </c>
      <c r="E2405" s="4" t="s">
        <v>1105</v>
      </c>
      <c r="F2405" s="4" t="s">
        <v>1104</v>
      </c>
    </row>
    <row r="2406" spans="1:6" ht="14.4" thickBot="1" x14ac:dyDescent="0.35">
      <c r="A2406" s="4" t="s">
        <v>145</v>
      </c>
      <c r="B2406" s="4" t="s">
        <v>146</v>
      </c>
      <c r="C2406" s="4" t="s">
        <v>145</v>
      </c>
      <c r="D2406" s="4" t="s">
        <v>3386</v>
      </c>
      <c r="E2406" s="4" t="s">
        <v>228</v>
      </c>
      <c r="F2406" s="4" t="s">
        <v>3386</v>
      </c>
    </row>
    <row r="2407" spans="1:6" ht="14.4" thickBot="1" x14ac:dyDescent="0.35">
      <c r="A2407" s="4" t="s">
        <v>145</v>
      </c>
      <c r="B2407" s="4" t="s">
        <v>146</v>
      </c>
      <c r="C2407" s="4" t="s">
        <v>145</v>
      </c>
      <c r="D2407" s="4" t="s">
        <v>4864</v>
      </c>
      <c r="E2407" s="4" t="s">
        <v>4865</v>
      </c>
      <c r="F2407" s="4" t="s">
        <v>4864</v>
      </c>
    </row>
    <row r="2408" spans="1:6" ht="14.4" thickBot="1" x14ac:dyDescent="0.35">
      <c r="A2408" s="4" t="s">
        <v>145</v>
      </c>
      <c r="B2408" s="4" t="s">
        <v>146</v>
      </c>
      <c r="C2408" s="4" t="s">
        <v>145</v>
      </c>
      <c r="D2408" s="4" t="s">
        <v>1950</v>
      </c>
      <c r="E2408" s="4" t="s">
        <v>1951</v>
      </c>
      <c r="F2408" s="4" t="s">
        <v>1950</v>
      </c>
    </row>
    <row r="2409" spans="1:6" ht="14.4" thickBot="1" x14ac:dyDescent="0.35">
      <c r="A2409" s="4" t="s">
        <v>145</v>
      </c>
      <c r="B2409" s="4" t="s">
        <v>146</v>
      </c>
      <c r="C2409" s="4" t="s">
        <v>145</v>
      </c>
      <c r="D2409" s="4" t="s">
        <v>1100</v>
      </c>
      <c r="E2409" s="4" t="s">
        <v>1101</v>
      </c>
      <c r="F2409" s="4" t="s">
        <v>1100</v>
      </c>
    </row>
    <row r="2410" spans="1:6" ht="14.4" thickBot="1" x14ac:dyDescent="0.35">
      <c r="A2410" s="4" t="s">
        <v>145</v>
      </c>
      <c r="B2410" s="4" t="s">
        <v>146</v>
      </c>
      <c r="C2410" s="4" t="s">
        <v>145</v>
      </c>
      <c r="D2410" s="4" t="s">
        <v>1945</v>
      </c>
      <c r="E2410" s="4" t="s">
        <v>1946</v>
      </c>
      <c r="F2410" s="4" t="s">
        <v>1945</v>
      </c>
    </row>
    <row r="2411" spans="1:6" ht="14.4" thickBot="1" x14ac:dyDescent="0.35">
      <c r="A2411" s="4" t="s">
        <v>145</v>
      </c>
      <c r="B2411" s="4" t="s">
        <v>146</v>
      </c>
      <c r="C2411" s="4" t="s">
        <v>145</v>
      </c>
      <c r="D2411" s="4" t="s">
        <v>2591</v>
      </c>
      <c r="E2411" s="4" t="s">
        <v>2592</v>
      </c>
      <c r="F2411" s="4" t="s">
        <v>2591</v>
      </c>
    </row>
    <row r="2412" spans="1:6" ht="14.4" thickBot="1" x14ac:dyDescent="0.35">
      <c r="A2412" s="4" t="s">
        <v>145</v>
      </c>
      <c r="B2412" s="4" t="s">
        <v>146</v>
      </c>
      <c r="C2412" s="4" t="s">
        <v>145</v>
      </c>
      <c r="D2412" s="4" t="s">
        <v>1102</v>
      </c>
      <c r="E2412" s="4" t="s">
        <v>1103</v>
      </c>
      <c r="F2412" s="4" t="s">
        <v>1102</v>
      </c>
    </row>
    <row r="2413" spans="1:6" ht="14.4" thickBot="1" x14ac:dyDescent="0.35">
      <c r="A2413" s="4" t="s">
        <v>145</v>
      </c>
      <c r="B2413" s="4" t="s">
        <v>146</v>
      </c>
      <c r="C2413" s="4" t="s">
        <v>145</v>
      </c>
      <c r="D2413" s="4" t="s">
        <v>3392</v>
      </c>
      <c r="E2413" s="4" t="s">
        <v>3393</v>
      </c>
      <c r="F2413" s="4" t="s">
        <v>3392</v>
      </c>
    </row>
    <row r="2414" spans="1:6" ht="14.4" thickBot="1" x14ac:dyDescent="0.35">
      <c r="A2414" s="4" t="s">
        <v>145</v>
      </c>
      <c r="B2414" s="4" t="s">
        <v>146</v>
      </c>
      <c r="C2414" s="4" t="s">
        <v>145</v>
      </c>
      <c r="D2414" s="4" t="s">
        <v>2593</v>
      </c>
      <c r="E2414" s="4" t="s">
        <v>2594</v>
      </c>
      <c r="F2414" s="4" t="s">
        <v>2593</v>
      </c>
    </row>
    <row r="2415" spans="1:6" ht="14.4" thickBot="1" x14ac:dyDescent="0.35">
      <c r="A2415" s="4" t="s">
        <v>145</v>
      </c>
      <c r="B2415" s="4" t="s">
        <v>146</v>
      </c>
      <c r="C2415" s="4" t="s">
        <v>145</v>
      </c>
      <c r="D2415" s="4" t="s">
        <v>3390</v>
      </c>
      <c r="E2415" s="4" t="s">
        <v>3391</v>
      </c>
      <c r="F2415" s="4" t="s">
        <v>3390</v>
      </c>
    </row>
    <row r="2416" spans="1:6" ht="14.4" thickBot="1" x14ac:dyDescent="0.35">
      <c r="A2416" s="4" t="s">
        <v>145</v>
      </c>
      <c r="B2416" s="4" t="s">
        <v>146</v>
      </c>
      <c r="C2416" s="4" t="s">
        <v>145</v>
      </c>
      <c r="D2416" s="4" t="s">
        <v>147</v>
      </c>
      <c r="E2416" s="4" t="s">
        <v>148</v>
      </c>
      <c r="F2416" s="4" t="s">
        <v>147</v>
      </c>
    </row>
    <row r="2417" spans="1:6" ht="14.4" thickBot="1" x14ac:dyDescent="0.35">
      <c r="A2417" s="4" t="s">
        <v>145</v>
      </c>
      <c r="B2417" s="4" t="s">
        <v>146</v>
      </c>
      <c r="C2417" s="4" t="s">
        <v>145</v>
      </c>
      <c r="D2417" s="4" t="s">
        <v>3389</v>
      </c>
      <c r="E2417" s="4" t="s">
        <v>1105</v>
      </c>
      <c r="F2417" s="4" t="s">
        <v>3389</v>
      </c>
    </row>
    <row r="2418" spans="1:6" ht="14.4" thickBot="1" x14ac:dyDescent="0.35">
      <c r="A2418" s="4" t="s">
        <v>145</v>
      </c>
      <c r="B2418" s="4" t="s">
        <v>146</v>
      </c>
      <c r="C2418" s="4" t="s">
        <v>145</v>
      </c>
      <c r="D2418" s="4" t="s">
        <v>1949</v>
      </c>
      <c r="E2418" s="4" t="s">
        <v>1154</v>
      </c>
      <c r="F2418" s="4" t="s">
        <v>1949</v>
      </c>
    </row>
    <row r="2419" spans="1:6" ht="14.4" thickBot="1" x14ac:dyDescent="0.35">
      <c r="A2419" s="4" t="s">
        <v>145</v>
      </c>
      <c r="B2419" s="4" t="s">
        <v>146</v>
      </c>
      <c r="C2419" s="4" t="s">
        <v>145</v>
      </c>
      <c r="D2419" s="4" t="s">
        <v>1098</v>
      </c>
      <c r="E2419" s="4" t="s">
        <v>1099</v>
      </c>
      <c r="F2419" s="4" t="s">
        <v>1098</v>
      </c>
    </row>
    <row r="2420" spans="1:6" ht="14.4" thickBot="1" x14ac:dyDescent="0.35">
      <c r="A2420" s="4" t="s">
        <v>145</v>
      </c>
      <c r="B2420" s="4" t="s">
        <v>146</v>
      </c>
      <c r="C2420" s="4" t="s">
        <v>145</v>
      </c>
      <c r="D2420" s="4" t="s">
        <v>3387</v>
      </c>
      <c r="E2420" s="4" t="s">
        <v>3388</v>
      </c>
      <c r="F2420" s="4" t="s">
        <v>3387</v>
      </c>
    </row>
    <row r="2421" spans="1:6" ht="14.4" thickBot="1" x14ac:dyDescent="0.35">
      <c r="A2421" s="4" t="s">
        <v>145</v>
      </c>
      <c r="B2421" s="4" t="s">
        <v>146</v>
      </c>
      <c r="C2421" s="4" t="s">
        <v>145</v>
      </c>
      <c r="D2421" s="4" t="s">
        <v>1947</v>
      </c>
      <c r="E2421" s="4" t="s">
        <v>1948</v>
      </c>
      <c r="F2421" s="4" t="s">
        <v>1947</v>
      </c>
    </row>
    <row r="2422" spans="1:6" ht="14.4" thickBot="1" x14ac:dyDescent="0.35">
      <c r="A2422" s="4" t="s">
        <v>149</v>
      </c>
      <c r="B2422" s="4" t="s">
        <v>150</v>
      </c>
      <c r="C2422" s="4" t="s">
        <v>149</v>
      </c>
      <c r="D2422" s="4" t="s">
        <v>151</v>
      </c>
      <c r="E2422" s="4" t="s">
        <v>152</v>
      </c>
      <c r="F2422" s="4" t="s">
        <v>151</v>
      </c>
    </row>
    <row r="2423" spans="1:6" ht="14.4" thickBot="1" x14ac:dyDescent="0.35">
      <c r="A2423" s="4" t="s">
        <v>149</v>
      </c>
      <c r="B2423" s="4" t="s">
        <v>150</v>
      </c>
      <c r="C2423" s="4" t="s">
        <v>149</v>
      </c>
      <c r="D2423" s="4" t="s">
        <v>1952</v>
      </c>
      <c r="E2423" s="4" t="s">
        <v>1953</v>
      </c>
      <c r="F2423" s="4" t="s">
        <v>1952</v>
      </c>
    </row>
    <row r="2424" spans="1:6" ht="14.4" thickBot="1" x14ac:dyDescent="0.35">
      <c r="A2424" s="4" t="s">
        <v>149</v>
      </c>
      <c r="B2424" s="4" t="s">
        <v>150</v>
      </c>
      <c r="C2424" s="4" t="s">
        <v>149</v>
      </c>
      <c r="D2424" s="4" t="s">
        <v>4186</v>
      </c>
      <c r="E2424" s="4" t="s">
        <v>4187</v>
      </c>
      <c r="F2424" s="4" t="s">
        <v>4186</v>
      </c>
    </row>
    <row r="2425" spans="1:6" ht="14.4" thickBot="1" x14ac:dyDescent="0.35">
      <c r="A2425" s="4" t="s">
        <v>149</v>
      </c>
      <c r="B2425" s="4" t="s">
        <v>150</v>
      </c>
      <c r="C2425" s="4" t="s">
        <v>149</v>
      </c>
      <c r="D2425" s="4" t="s">
        <v>3394</v>
      </c>
      <c r="E2425" s="4" t="s">
        <v>3395</v>
      </c>
      <c r="F2425" s="4" t="s">
        <v>3394</v>
      </c>
    </row>
    <row r="2426" spans="1:6" ht="14.4" thickBot="1" x14ac:dyDescent="0.35">
      <c r="A2426" s="4" t="s">
        <v>1106</v>
      </c>
      <c r="B2426" s="4" t="s">
        <v>1107</v>
      </c>
      <c r="C2426" s="4" t="s">
        <v>1106</v>
      </c>
      <c r="D2426" s="4" t="s">
        <v>1108</v>
      </c>
      <c r="E2426" s="4" t="s">
        <v>1109</v>
      </c>
      <c r="F2426" s="4" t="s">
        <v>1108</v>
      </c>
    </row>
    <row r="2427" spans="1:6" ht="14.4" thickBot="1" x14ac:dyDescent="0.35">
      <c r="A2427" s="4" t="s">
        <v>1106</v>
      </c>
      <c r="B2427" s="4" t="s">
        <v>1107</v>
      </c>
      <c r="C2427" s="4" t="s">
        <v>1106</v>
      </c>
      <c r="D2427" s="4" t="s">
        <v>5581</v>
      </c>
      <c r="E2427" s="4" t="s">
        <v>5582</v>
      </c>
      <c r="F2427" s="4" t="s">
        <v>5581</v>
      </c>
    </row>
    <row r="2428" spans="1:6" ht="14.4" thickBot="1" x14ac:dyDescent="0.35">
      <c r="A2428" s="4" t="s">
        <v>1106</v>
      </c>
      <c r="B2428" s="4" t="s">
        <v>1107</v>
      </c>
      <c r="C2428" s="4" t="s">
        <v>1106</v>
      </c>
      <c r="D2428" s="4" t="s">
        <v>4188</v>
      </c>
      <c r="E2428" s="4" t="s">
        <v>4189</v>
      </c>
      <c r="F2428" s="4" t="s">
        <v>4188</v>
      </c>
    </row>
    <row r="2429" spans="1:6" ht="14.4" thickBot="1" x14ac:dyDescent="0.35">
      <c r="A2429" s="4" t="s">
        <v>1106</v>
      </c>
      <c r="B2429" s="4" t="s">
        <v>1107</v>
      </c>
      <c r="C2429" s="4" t="s">
        <v>1106</v>
      </c>
      <c r="D2429" s="4" t="s">
        <v>3396</v>
      </c>
      <c r="E2429" s="4" t="s">
        <v>3397</v>
      </c>
      <c r="F2429" s="4" t="s">
        <v>3396</v>
      </c>
    </row>
    <row r="2430" spans="1:6" ht="14.4" thickBot="1" x14ac:dyDescent="0.35">
      <c r="A2430" s="4" t="s">
        <v>154</v>
      </c>
      <c r="B2430" s="4" t="s">
        <v>155</v>
      </c>
      <c r="C2430" s="4" t="s">
        <v>154</v>
      </c>
      <c r="D2430" s="4" t="s">
        <v>5583</v>
      </c>
      <c r="E2430" s="4" t="s">
        <v>5584</v>
      </c>
      <c r="F2430" s="4" t="s">
        <v>5583</v>
      </c>
    </row>
    <row r="2431" spans="1:6" ht="14.4" thickBot="1" x14ac:dyDescent="0.35">
      <c r="A2431" s="4" t="s">
        <v>154</v>
      </c>
      <c r="B2431" s="4" t="s">
        <v>155</v>
      </c>
      <c r="C2431" s="4" t="s">
        <v>154</v>
      </c>
      <c r="D2431" s="4" t="s">
        <v>1127</v>
      </c>
      <c r="E2431" s="4" t="s">
        <v>1313</v>
      </c>
      <c r="F2431" s="4" t="s">
        <v>1127</v>
      </c>
    </row>
    <row r="2432" spans="1:6" ht="14.4" thickBot="1" x14ac:dyDescent="0.35">
      <c r="A2432" s="4" t="s">
        <v>154</v>
      </c>
      <c r="B2432" s="4" t="s">
        <v>155</v>
      </c>
      <c r="C2432" s="4" t="s">
        <v>154</v>
      </c>
      <c r="D2432" s="4" t="s">
        <v>2595</v>
      </c>
      <c r="E2432" s="4" t="s">
        <v>2596</v>
      </c>
      <c r="F2432" s="4" t="s">
        <v>2595</v>
      </c>
    </row>
    <row r="2433" spans="1:6" ht="14.4" thickBot="1" x14ac:dyDescent="0.35">
      <c r="A2433" s="4" t="s">
        <v>154</v>
      </c>
      <c r="B2433" s="4" t="s">
        <v>155</v>
      </c>
      <c r="C2433" s="4" t="s">
        <v>154</v>
      </c>
      <c r="D2433" s="4" t="s">
        <v>1956</v>
      </c>
      <c r="E2433" s="4" t="s">
        <v>1957</v>
      </c>
      <c r="F2433" s="4" t="s">
        <v>1956</v>
      </c>
    </row>
    <row r="2434" spans="1:6" ht="14.4" thickBot="1" x14ac:dyDescent="0.35">
      <c r="A2434" s="4" t="s">
        <v>154</v>
      </c>
      <c r="B2434" s="4" t="s">
        <v>155</v>
      </c>
      <c r="C2434" s="4" t="s">
        <v>154</v>
      </c>
      <c r="D2434" s="4" t="s">
        <v>3398</v>
      </c>
      <c r="E2434" s="4" t="s">
        <v>3399</v>
      </c>
      <c r="F2434" s="4" t="s">
        <v>3398</v>
      </c>
    </row>
    <row r="2435" spans="1:6" ht="14.4" thickBot="1" x14ac:dyDescent="0.35">
      <c r="A2435" s="4" t="s">
        <v>154</v>
      </c>
      <c r="B2435" s="4" t="s">
        <v>155</v>
      </c>
      <c r="C2435" s="4" t="s">
        <v>154</v>
      </c>
      <c r="D2435" s="4" t="s">
        <v>4191</v>
      </c>
      <c r="E2435" s="4" t="s">
        <v>4192</v>
      </c>
      <c r="F2435" s="4" t="s">
        <v>4191</v>
      </c>
    </row>
    <row r="2436" spans="1:6" ht="14.4" thickBot="1" x14ac:dyDescent="0.35">
      <c r="A2436" s="4" t="s">
        <v>154</v>
      </c>
      <c r="B2436" s="4" t="s">
        <v>155</v>
      </c>
      <c r="C2436" s="4" t="s">
        <v>154</v>
      </c>
      <c r="D2436" s="4" t="s">
        <v>156</v>
      </c>
      <c r="E2436" s="4" t="s">
        <v>157</v>
      </c>
      <c r="F2436" s="4" t="s">
        <v>156</v>
      </c>
    </row>
    <row r="2437" spans="1:6" ht="14.4" thickBot="1" x14ac:dyDescent="0.35">
      <c r="A2437" s="4" t="s">
        <v>154</v>
      </c>
      <c r="B2437" s="4" t="s">
        <v>155</v>
      </c>
      <c r="C2437" s="4" t="s">
        <v>154</v>
      </c>
      <c r="D2437" s="4" t="s">
        <v>4868</v>
      </c>
      <c r="E2437" s="4" t="s">
        <v>4869</v>
      </c>
      <c r="F2437" s="4" t="s">
        <v>4868</v>
      </c>
    </row>
    <row r="2438" spans="1:6" ht="14.4" thickBot="1" x14ac:dyDescent="0.35">
      <c r="A2438" s="4" t="s">
        <v>154</v>
      </c>
      <c r="B2438" s="4" t="s">
        <v>155</v>
      </c>
      <c r="C2438" s="4" t="s">
        <v>154</v>
      </c>
      <c r="D2438" s="4" t="s">
        <v>4190</v>
      </c>
      <c r="E2438" s="4" t="s">
        <v>2945</v>
      </c>
      <c r="F2438" s="4" t="s">
        <v>4190</v>
      </c>
    </row>
    <row r="2439" spans="1:6" ht="14.4" thickBot="1" x14ac:dyDescent="0.35">
      <c r="A2439" s="4" t="s">
        <v>154</v>
      </c>
      <c r="B2439" s="4" t="s">
        <v>155</v>
      </c>
      <c r="C2439" s="4" t="s">
        <v>154</v>
      </c>
      <c r="D2439" s="4" t="s">
        <v>1110</v>
      </c>
      <c r="E2439" s="4" t="s">
        <v>1111</v>
      </c>
      <c r="F2439" s="4" t="s">
        <v>1110</v>
      </c>
    </row>
    <row r="2440" spans="1:6" ht="14.4" thickBot="1" x14ac:dyDescent="0.35">
      <c r="A2440" s="4" t="s">
        <v>154</v>
      </c>
      <c r="B2440" s="4" t="s">
        <v>155</v>
      </c>
      <c r="C2440" s="4" t="s">
        <v>154</v>
      </c>
      <c r="D2440" s="4" t="s">
        <v>5585</v>
      </c>
      <c r="E2440" s="4" t="s">
        <v>5586</v>
      </c>
      <c r="F2440" s="4" t="s">
        <v>5585</v>
      </c>
    </row>
    <row r="2441" spans="1:6" ht="14.4" thickBot="1" x14ac:dyDescent="0.35">
      <c r="A2441" s="4" t="s">
        <v>154</v>
      </c>
      <c r="B2441" s="4" t="s">
        <v>155</v>
      </c>
      <c r="C2441" s="4" t="s">
        <v>154</v>
      </c>
      <c r="D2441" s="4" t="s">
        <v>1954</v>
      </c>
      <c r="E2441" s="4" t="s">
        <v>1955</v>
      </c>
      <c r="F2441" s="4" t="s">
        <v>1954</v>
      </c>
    </row>
    <row r="2442" spans="1:6" ht="14.4" thickBot="1" x14ac:dyDescent="0.35">
      <c r="A2442" s="4" t="s">
        <v>154</v>
      </c>
      <c r="B2442" s="4" t="s">
        <v>155</v>
      </c>
      <c r="C2442" s="4" t="s">
        <v>154</v>
      </c>
      <c r="D2442" s="4" t="s">
        <v>4866</v>
      </c>
      <c r="E2442" s="4" t="s">
        <v>4867</v>
      </c>
      <c r="F2442" s="4" t="s">
        <v>4866</v>
      </c>
    </row>
    <row r="2443" spans="1:6" ht="14.4" thickBot="1" x14ac:dyDescent="0.35">
      <c r="A2443" s="4" t="s">
        <v>4193</v>
      </c>
      <c r="B2443" s="4" t="s">
        <v>4194</v>
      </c>
      <c r="C2443" s="4" t="s">
        <v>4193</v>
      </c>
      <c r="D2443" s="4" t="s">
        <v>4195</v>
      </c>
      <c r="E2443" s="4" t="s">
        <v>4196</v>
      </c>
      <c r="F2443" s="4" t="s">
        <v>4195</v>
      </c>
    </row>
    <row r="2444" spans="1:6" ht="14.4" thickBot="1" x14ac:dyDescent="0.35">
      <c r="A2444" s="4" t="s">
        <v>4193</v>
      </c>
      <c r="B2444" s="4" t="s">
        <v>4194</v>
      </c>
      <c r="C2444" s="4" t="s">
        <v>4193</v>
      </c>
      <c r="D2444" s="4" t="s">
        <v>4870</v>
      </c>
      <c r="E2444" s="4" t="s">
        <v>4871</v>
      </c>
      <c r="F2444" s="4" t="s">
        <v>4870</v>
      </c>
    </row>
    <row r="2445" spans="1:6" ht="14.4" thickBot="1" x14ac:dyDescent="0.35">
      <c r="A2445" s="4" t="s">
        <v>1714</v>
      </c>
      <c r="B2445" s="4" t="s">
        <v>1715</v>
      </c>
      <c r="C2445" s="4" t="s">
        <v>1714</v>
      </c>
      <c r="D2445" s="4" t="s">
        <v>4677</v>
      </c>
      <c r="E2445" s="4" t="s">
        <v>4678</v>
      </c>
      <c r="F2445" s="4" t="s">
        <v>4677</v>
      </c>
    </row>
    <row r="2446" spans="1:6" ht="14.4" thickBot="1" x14ac:dyDescent="0.35">
      <c r="A2446" s="4" t="s">
        <v>1714</v>
      </c>
      <c r="B2446" s="4" t="s">
        <v>1715</v>
      </c>
      <c r="C2446" s="4" t="s">
        <v>1714</v>
      </c>
      <c r="D2446" s="4" t="s">
        <v>5376</v>
      </c>
      <c r="E2446" s="4" t="s">
        <v>5377</v>
      </c>
      <c r="F2446" s="4" t="s">
        <v>5376</v>
      </c>
    </row>
    <row r="2447" spans="1:6" ht="14.4" thickBot="1" x14ac:dyDescent="0.35">
      <c r="A2447" s="4" t="s">
        <v>1714</v>
      </c>
      <c r="B2447" s="4" t="s">
        <v>1715</v>
      </c>
      <c r="C2447" s="4" t="s">
        <v>1714</v>
      </c>
      <c r="D2447" s="4" t="s">
        <v>1716</v>
      </c>
      <c r="E2447" s="4" t="s">
        <v>1717</v>
      </c>
      <c r="F2447" s="4" t="s">
        <v>1716</v>
      </c>
    </row>
    <row r="2448" spans="1:6" ht="14.4" thickBot="1" x14ac:dyDescent="0.35">
      <c r="A2448" s="4" t="s">
        <v>159</v>
      </c>
      <c r="B2448" s="4" t="s">
        <v>160</v>
      </c>
      <c r="C2448" s="4" t="s">
        <v>159</v>
      </c>
      <c r="D2448" s="4" t="s">
        <v>163</v>
      </c>
      <c r="E2448" s="4" t="s">
        <v>164</v>
      </c>
      <c r="F2448" s="4" t="s">
        <v>163</v>
      </c>
    </row>
    <row r="2449" spans="1:6" ht="14.4" thickBot="1" x14ac:dyDescent="0.35">
      <c r="A2449" s="4" t="s">
        <v>159</v>
      </c>
      <c r="B2449" s="4" t="s">
        <v>160</v>
      </c>
      <c r="C2449" s="4" t="s">
        <v>159</v>
      </c>
      <c r="D2449" s="4" t="s">
        <v>3402</v>
      </c>
      <c r="E2449" s="4" t="s">
        <v>3403</v>
      </c>
      <c r="F2449" s="4" t="s">
        <v>3402</v>
      </c>
    </row>
    <row r="2450" spans="1:6" ht="14.4" thickBot="1" x14ac:dyDescent="0.35">
      <c r="A2450" s="4" t="s">
        <v>159</v>
      </c>
      <c r="B2450" s="4" t="s">
        <v>160</v>
      </c>
      <c r="C2450" s="4" t="s">
        <v>159</v>
      </c>
      <c r="D2450" s="4" t="s">
        <v>161</v>
      </c>
      <c r="E2450" s="4" t="s">
        <v>162</v>
      </c>
      <c r="F2450" s="4" t="s">
        <v>161</v>
      </c>
    </row>
    <row r="2451" spans="1:6" ht="14.4" thickBot="1" x14ac:dyDescent="0.35">
      <c r="A2451" s="4" t="s">
        <v>159</v>
      </c>
      <c r="B2451" s="4" t="s">
        <v>160</v>
      </c>
      <c r="C2451" s="4" t="s">
        <v>159</v>
      </c>
      <c r="D2451" s="4" t="s">
        <v>4197</v>
      </c>
      <c r="E2451" s="4" t="s">
        <v>4198</v>
      </c>
      <c r="F2451" s="4" t="s">
        <v>4197</v>
      </c>
    </row>
    <row r="2452" spans="1:6" ht="14.4" thickBot="1" x14ac:dyDescent="0.35">
      <c r="A2452" s="4" t="s">
        <v>159</v>
      </c>
      <c r="B2452" s="4" t="s">
        <v>160</v>
      </c>
      <c r="C2452" s="4" t="s">
        <v>159</v>
      </c>
      <c r="D2452" s="4" t="s">
        <v>3400</v>
      </c>
      <c r="E2452" s="4" t="s">
        <v>3401</v>
      </c>
      <c r="F2452" s="4" t="s">
        <v>3400</v>
      </c>
    </row>
    <row r="2453" spans="1:6" ht="14.4" thickBot="1" x14ac:dyDescent="0.35">
      <c r="A2453" s="4" t="s">
        <v>159</v>
      </c>
      <c r="B2453" s="4" t="s">
        <v>160</v>
      </c>
      <c r="C2453" s="4" t="s">
        <v>159</v>
      </c>
      <c r="D2453" s="4" t="s">
        <v>1112</v>
      </c>
      <c r="E2453" s="4" t="s">
        <v>1113</v>
      </c>
      <c r="F2453" s="4" t="s">
        <v>1112</v>
      </c>
    </row>
    <row r="2454" spans="1:6" ht="14.4" thickBot="1" x14ac:dyDescent="0.35">
      <c r="A2454" s="4" t="s">
        <v>730</v>
      </c>
      <c r="B2454" s="4" t="s">
        <v>1114</v>
      </c>
      <c r="C2454" s="4" t="s">
        <v>730</v>
      </c>
      <c r="D2454" s="4" t="s">
        <v>1960</v>
      </c>
      <c r="E2454" s="4" t="s">
        <v>1961</v>
      </c>
      <c r="F2454" s="4" t="s">
        <v>1960</v>
      </c>
    </row>
    <row r="2455" spans="1:6" ht="14.4" thickBot="1" x14ac:dyDescent="0.35">
      <c r="A2455" s="4" t="s">
        <v>730</v>
      </c>
      <c r="B2455" s="4" t="s">
        <v>1114</v>
      </c>
      <c r="C2455" s="4" t="s">
        <v>730</v>
      </c>
      <c r="D2455" s="4" t="s">
        <v>1115</v>
      </c>
      <c r="E2455" s="4" t="s">
        <v>1116</v>
      </c>
      <c r="F2455" s="4" t="s">
        <v>1115</v>
      </c>
    </row>
    <row r="2456" spans="1:6" ht="14.4" thickBot="1" x14ac:dyDescent="0.35">
      <c r="A2456" s="4" t="s">
        <v>730</v>
      </c>
      <c r="B2456" s="4" t="s">
        <v>1114</v>
      </c>
      <c r="C2456" s="4" t="s">
        <v>730</v>
      </c>
      <c r="D2456" s="4" t="s">
        <v>4872</v>
      </c>
      <c r="E2456" s="4" t="s">
        <v>4873</v>
      </c>
      <c r="F2456" s="4" t="s">
        <v>4872</v>
      </c>
    </row>
    <row r="2457" spans="1:6" ht="14.4" thickBot="1" x14ac:dyDescent="0.35">
      <c r="A2457" s="4" t="s">
        <v>730</v>
      </c>
      <c r="B2457" s="4" t="s">
        <v>1114</v>
      </c>
      <c r="C2457" s="4" t="s">
        <v>730</v>
      </c>
      <c r="D2457" s="4" t="s">
        <v>1958</v>
      </c>
      <c r="E2457" s="4" t="s">
        <v>1959</v>
      </c>
      <c r="F2457" s="4" t="s">
        <v>1958</v>
      </c>
    </row>
    <row r="2458" spans="1:6" ht="14.4" thickBot="1" x14ac:dyDescent="0.35">
      <c r="A2458" s="4" t="s">
        <v>730</v>
      </c>
      <c r="B2458" s="4" t="s">
        <v>1114</v>
      </c>
      <c r="C2458" s="4" t="s">
        <v>730</v>
      </c>
      <c r="D2458" s="4" t="s">
        <v>2597</v>
      </c>
      <c r="E2458" s="4" t="s">
        <v>2598</v>
      </c>
      <c r="F2458" s="4" t="s">
        <v>2597</v>
      </c>
    </row>
    <row r="2459" spans="1:6" ht="14.4" thickBot="1" x14ac:dyDescent="0.35">
      <c r="A2459" s="4" t="s">
        <v>730</v>
      </c>
      <c r="B2459" s="4" t="s">
        <v>1114</v>
      </c>
      <c r="C2459" s="4" t="s">
        <v>730</v>
      </c>
      <c r="D2459" s="4" t="s">
        <v>3404</v>
      </c>
      <c r="E2459" s="4" t="s">
        <v>3405</v>
      </c>
      <c r="F2459" s="4" t="s">
        <v>3404</v>
      </c>
    </row>
    <row r="2460" spans="1:6" ht="14.4" thickBot="1" x14ac:dyDescent="0.35">
      <c r="A2460" s="4" t="s">
        <v>730</v>
      </c>
      <c r="B2460" s="4" t="s">
        <v>1114</v>
      </c>
      <c r="C2460" s="4" t="s">
        <v>730</v>
      </c>
      <c r="D2460" s="4" t="s">
        <v>2599</v>
      </c>
      <c r="E2460" s="4" t="s">
        <v>2600</v>
      </c>
      <c r="F2460" s="4" t="s">
        <v>2599</v>
      </c>
    </row>
    <row r="2461" spans="1:6" ht="14.4" thickBot="1" x14ac:dyDescent="0.35">
      <c r="A2461" s="4" t="s">
        <v>1923</v>
      </c>
      <c r="B2461" s="4" t="s">
        <v>1924</v>
      </c>
      <c r="C2461" s="4" t="s">
        <v>1923</v>
      </c>
      <c r="D2461" s="4" t="s">
        <v>4162</v>
      </c>
      <c r="E2461" s="4" t="s">
        <v>4163</v>
      </c>
      <c r="F2461" s="4" t="s">
        <v>4162</v>
      </c>
    </row>
    <row r="2462" spans="1:6" ht="14.4" thickBot="1" x14ac:dyDescent="0.35">
      <c r="A2462" s="4" t="s">
        <v>1923</v>
      </c>
      <c r="B2462" s="4" t="s">
        <v>1924</v>
      </c>
      <c r="C2462" s="4" t="s">
        <v>1923</v>
      </c>
      <c r="D2462" s="4" t="s">
        <v>4852</v>
      </c>
      <c r="E2462" s="4" t="s">
        <v>4853</v>
      </c>
      <c r="F2462" s="4" t="s">
        <v>4852</v>
      </c>
    </row>
    <row r="2463" spans="1:6" ht="14.4" thickBot="1" x14ac:dyDescent="0.35">
      <c r="A2463" s="4" t="s">
        <v>1923</v>
      </c>
      <c r="B2463" s="4" t="s">
        <v>1924</v>
      </c>
      <c r="C2463" s="4" t="s">
        <v>1923</v>
      </c>
      <c r="D2463" s="4" t="s">
        <v>1925</v>
      </c>
      <c r="E2463" s="4" t="s">
        <v>1926</v>
      </c>
      <c r="F2463" s="4" t="s">
        <v>1925</v>
      </c>
    </row>
    <row r="2464" spans="1:6" ht="14.4" thickBot="1" x14ac:dyDescent="0.35">
      <c r="A2464" s="4" t="s">
        <v>107</v>
      </c>
      <c r="B2464" s="4" t="s">
        <v>108</v>
      </c>
      <c r="C2464" s="4" t="s">
        <v>107</v>
      </c>
      <c r="D2464" s="4" t="s">
        <v>1086</v>
      </c>
      <c r="E2464" s="4" t="s">
        <v>1087</v>
      </c>
      <c r="F2464" s="4" t="s">
        <v>1086</v>
      </c>
    </row>
    <row r="2465" spans="1:6" ht="14.4" thickBot="1" x14ac:dyDescent="0.35">
      <c r="A2465" s="4" t="s">
        <v>107</v>
      </c>
      <c r="B2465" s="4" t="s">
        <v>108</v>
      </c>
      <c r="C2465" s="4" t="s">
        <v>107</v>
      </c>
      <c r="D2465" s="4" t="s">
        <v>3370</v>
      </c>
      <c r="E2465" s="4" t="s">
        <v>3371</v>
      </c>
      <c r="F2465" s="4" t="s">
        <v>3370</v>
      </c>
    </row>
    <row r="2466" spans="1:6" ht="14.4" thickBot="1" x14ac:dyDescent="0.35">
      <c r="A2466" s="4" t="s">
        <v>107</v>
      </c>
      <c r="B2466" s="4" t="s">
        <v>108</v>
      </c>
      <c r="C2466" s="4" t="s">
        <v>107</v>
      </c>
      <c r="D2466" s="4" t="s">
        <v>1429</v>
      </c>
      <c r="E2466" s="4" t="s">
        <v>1927</v>
      </c>
      <c r="F2466" s="4" t="s">
        <v>1429</v>
      </c>
    </row>
    <row r="2467" spans="1:6" ht="14.4" thickBot="1" x14ac:dyDescent="0.35">
      <c r="A2467" s="4" t="s">
        <v>107</v>
      </c>
      <c r="B2467" s="4" t="s">
        <v>108</v>
      </c>
      <c r="C2467" s="4" t="s">
        <v>107</v>
      </c>
      <c r="D2467" s="4" t="s">
        <v>109</v>
      </c>
      <c r="E2467" s="4" t="s">
        <v>110</v>
      </c>
      <c r="F2467" s="4" t="s">
        <v>109</v>
      </c>
    </row>
    <row r="2468" spans="1:6" ht="14.4" thickBot="1" x14ac:dyDescent="0.35">
      <c r="A2468" s="4" t="s">
        <v>107</v>
      </c>
      <c r="B2468" s="4" t="s">
        <v>108</v>
      </c>
      <c r="C2468" s="4" t="s">
        <v>107</v>
      </c>
      <c r="D2468" s="4" t="s">
        <v>4854</v>
      </c>
      <c r="E2468" s="4" t="s">
        <v>4855</v>
      </c>
      <c r="F2468" s="4" t="s">
        <v>4854</v>
      </c>
    </row>
    <row r="2469" spans="1:6" ht="14.4" thickBot="1" x14ac:dyDescent="0.35">
      <c r="A2469" s="4" t="s">
        <v>1088</v>
      </c>
      <c r="B2469" s="4" t="s">
        <v>1089</v>
      </c>
      <c r="C2469" s="4" t="s">
        <v>1088</v>
      </c>
      <c r="D2469" s="4" t="s">
        <v>1090</v>
      </c>
      <c r="E2469" s="4" t="s">
        <v>1091</v>
      </c>
      <c r="F2469" s="4" t="s">
        <v>1090</v>
      </c>
    </row>
    <row r="2470" spans="1:6" ht="14.4" thickBot="1" x14ac:dyDescent="0.35">
      <c r="A2470" s="4" t="s">
        <v>5174</v>
      </c>
      <c r="B2470" s="4" t="s">
        <v>5378</v>
      </c>
      <c r="C2470" s="4" t="s">
        <v>5174</v>
      </c>
      <c r="D2470" s="4" t="s">
        <v>5379</v>
      </c>
      <c r="E2470" s="4" t="s">
        <v>5380</v>
      </c>
      <c r="F2470" s="4" t="s">
        <v>5379</v>
      </c>
    </row>
    <row r="2471" spans="1:6" ht="14.4" thickBot="1" x14ac:dyDescent="0.35">
      <c r="A2471" s="4" t="s">
        <v>5174</v>
      </c>
      <c r="B2471" s="4" t="s">
        <v>5378</v>
      </c>
      <c r="C2471" s="4" t="s">
        <v>5174</v>
      </c>
      <c r="D2471" s="4" t="s">
        <v>6073</v>
      </c>
      <c r="E2471" s="4" t="s">
        <v>6074</v>
      </c>
      <c r="F2471" s="4" t="s">
        <v>6073</v>
      </c>
    </row>
    <row r="2472" spans="1:6" ht="14.4" thickBot="1" x14ac:dyDescent="0.35">
      <c r="A2472" s="4" t="s">
        <v>2578</v>
      </c>
      <c r="B2472" s="4" t="s">
        <v>2579</v>
      </c>
      <c r="C2472" s="4" t="s">
        <v>2578</v>
      </c>
      <c r="D2472" s="4" t="s">
        <v>5567</v>
      </c>
      <c r="E2472" s="4" t="s">
        <v>5568</v>
      </c>
      <c r="F2472" s="4" t="s">
        <v>5567</v>
      </c>
    </row>
    <row r="2473" spans="1:6" ht="14.4" thickBot="1" x14ac:dyDescent="0.35">
      <c r="A2473" s="4" t="s">
        <v>2578</v>
      </c>
      <c r="B2473" s="4" t="s">
        <v>2579</v>
      </c>
      <c r="C2473" s="4" t="s">
        <v>2578</v>
      </c>
      <c r="D2473" s="4" t="s">
        <v>4164</v>
      </c>
      <c r="E2473" s="4" t="s">
        <v>4165</v>
      </c>
      <c r="F2473" s="4" t="s">
        <v>4164</v>
      </c>
    </row>
    <row r="2474" spans="1:6" ht="14.4" thickBot="1" x14ac:dyDescent="0.35">
      <c r="A2474" s="4" t="s">
        <v>2578</v>
      </c>
      <c r="B2474" s="4" t="s">
        <v>2579</v>
      </c>
      <c r="C2474" s="4" t="s">
        <v>2578</v>
      </c>
      <c r="D2474" s="4" t="s">
        <v>2580</v>
      </c>
      <c r="E2474" s="4" t="s">
        <v>2581</v>
      </c>
      <c r="F2474" s="4" t="s">
        <v>2580</v>
      </c>
    </row>
    <row r="2475" spans="1:6" ht="14.4" thickBot="1" x14ac:dyDescent="0.35">
      <c r="A2475" s="4" t="s">
        <v>112</v>
      </c>
      <c r="B2475" s="4" t="s">
        <v>113</v>
      </c>
      <c r="C2475" s="4" t="s">
        <v>112</v>
      </c>
      <c r="D2475" s="4" t="s">
        <v>114</v>
      </c>
      <c r="E2475" s="4" t="s">
        <v>115</v>
      </c>
      <c r="F2475" s="4" t="s">
        <v>114</v>
      </c>
    </row>
    <row r="2476" spans="1:6" ht="14.4" thickBot="1" x14ac:dyDescent="0.35">
      <c r="A2476" s="4" t="s">
        <v>112</v>
      </c>
      <c r="B2476" s="4" t="s">
        <v>113</v>
      </c>
      <c r="C2476" s="4" t="s">
        <v>112</v>
      </c>
      <c r="D2476" s="4" t="s">
        <v>2582</v>
      </c>
      <c r="E2476" s="4" t="s">
        <v>2583</v>
      </c>
      <c r="F2476" s="4" t="s">
        <v>2582</v>
      </c>
    </row>
    <row r="2477" spans="1:6" ht="14.4" thickBot="1" x14ac:dyDescent="0.35">
      <c r="A2477" s="4" t="s">
        <v>112</v>
      </c>
      <c r="B2477" s="4" t="s">
        <v>113</v>
      </c>
      <c r="C2477" s="4" t="s">
        <v>112</v>
      </c>
      <c r="D2477" s="4" t="s">
        <v>5569</v>
      </c>
      <c r="E2477" s="4" t="s">
        <v>5570</v>
      </c>
      <c r="F2477" s="4" t="s">
        <v>5569</v>
      </c>
    </row>
    <row r="2478" spans="1:6" ht="14.4" thickBot="1" x14ac:dyDescent="0.35">
      <c r="A2478" s="4" t="s">
        <v>112</v>
      </c>
      <c r="B2478" s="4" t="s">
        <v>113</v>
      </c>
      <c r="C2478" s="4" t="s">
        <v>112</v>
      </c>
      <c r="D2478" s="4" t="s">
        <v>4166</v>
      </c>
      <c r="E2478" s="4" t="s">
        <v>4167</v>
      </c>
      <c r="F2478" s="4" t="s">
        <v>4166</v>
      </c>
    </row>
    <row r="2479" spans="1:6" ht="14.4" thickBot="1" x14ac:dyDescent="0.35">
      <c r="A2479" s="4" t="s">
        <v>2412</v>
      </c>
      <c r="B2479" s="4" t="s">
        <v>2413</v>
      </c>
      <c r="C2479" s="4" t="s">
        <v>2412</v>
      </c>
      <c r="D2479" s="4" t="s">
        <v>2416</v>
      </c>
      <c r="E2479" s="4" t="s">
        <v>2417</v>
      </c>
      <c r="F2479" s="4" t="s">
        <v>2416</v>
      </c>
    </row>
    <row r="2480" spans="1:6" ht="14.4" thickBot="1" x14ac:dyDescent="0.35">
      <c r="A2480" s="4" t="s">
        <v>2412</v>
      </c>
      <c r="B2480" s="4" t="s">
        <v>2413</v>
      </c>
      <c r="C2480" s="4" t="s">
        <v>2412</v>
      </c>
      <c r="D2480" s="4" t="s">
        <v>2414</v>
      </c>
      <c r="E2480" s="4" t="s">
        <v>2415</v>
      </c>
      <c r="F2480" s="4" t="s">
        <v>2414</v>
      </c>
    </row>
    <row r="2481" spans="1:6" ht="14.4" thickBot="1" x14ac:dyDescent="0.35">
      <c r="A2481" s="4" t="s">
        <v>2412</v>
      </c>
      <c r="B2481" s="4" t="s">
        <v>2413</v>
      </c>
      <c r="C2481" s="4" t="s">
        <v>2412</v>
      </c>
      <c r="D2481" s="4" t="s">
        <v>6075</v>
      </c>
      <c r="E2481" s="4" t="s">
        <v>6076</v>
      </c>
      <c r="F2481" s="4" t="s">
        <v>6075</v>
      </c>
    </row>
    <row r="2482" spans="1:6" ht="14.4" thickBot="1" x14ac:dyDescent="0.35">
      <c r="A2482" s="4" t="s">
        <v>1929</v>
      </c>
      <c r="B2482" s="4" t="s">
        <v>1930</v>
      </c>
      <c r="C2482" s="4" t="s">
        <v>1929</v>
      </c>
      <c r="D2482" s="4" t="s">
        <v>1931</v>
      </c>
      <c r="E2482" s="4" t="s">
        <v>1932</v>
      </c>
      <c r="F2482" s="4" t="s">
        <v>1931</v>
      </c>
    </row>
    <row r="2483" spans="1:6" ht="14.4" thickBot="1" x14ac:dyDescent="0.35">
      <c r="A2483" s="4" t="s">
        <v>1929</v>
      </c>
      <c r="B2483" s="4" t="s">
        <v>1930</v>
      </c>
      <c r="C2483" s="4" t="s">
        <v>1929</v>
      </c>
      <c r="D2483" s="4" t="s">
        <v>3374</v>
      </c>
      <c r="E2483" s="4" t="s">
        <v>3375</v>
      </c>
      <c r="F2483" s="4" t="s">
        <v>3374</v>
      </c>
    </row>
    <row r="2484" spans="1:6" ht="14.4" thickBot="1" x14ac:dyDescent="0.35">
      <c r="A2484" s="4" t="s">
        <v>1929</v>
      </c>
      <c r="B2484" s="4" t="s">
        <v>1930</v>
      </c>
      <c r="C2484" s="4" t="s">
        <v>1929</v>
      </c>
      <c r="D2484" s="4" t="s">
        <v>4856</v>
      </c>
      <c r="E2484" s="4" t="s">
        <v>4857</v>
      </c>
      <c r="F2484" s="4" t="s">
        <v>4856</v>
      </c>
    </row>
    <row r="2485" spans="1:6" ht="14.4" thickBot="1" x14ac:dyDescent="0.35">
      <c r="A2485" s="4" t="s">
        <v>1929</v>
      </c>
      <c r="B2485" s="4" t="s">
        <v>1930</v>
      </c>
      <c r="C2485" s="4" t="s">
        <v>1929</v>
      </c>
      <c r="D2485" s="4" t="s">
        <v>5571</v>
      </c>
      <c r="E2485" s="4" t="s">
        <v>5572</v>
      </c>
      <c r="F2485" s="4" t="s">
        <v>5571</v>
      </c>
    </row>
    <row r="2486" spans="1:6" ht="14.4" thickBot="1" x14ac:dyDescent="0.35">
      <c r="A2486" s="4" t="s">
        <v>1929</v>
      </c>
      <c r="B2486" s="4" t="s">
        <v>1930</v>
      </c>
      <c r="C2486" s="4" t="s">
        <v>1929</v>
      </c>
      <c r="D2486" s="4" t="s">
        <v>4858</v>
      </c>
      <c r="E2486" s="4" t="s">
        <v>4859</v>
      </c>
      <c r="F2486" s="4" t="s">
        <v>4858</v>
      </c>
    </row>
    <row r="2487" spans="1:6" ht="14.4" thickBot="1" x14ac:dyDescent="0.35">
      <c r="A2487" s="4" t="s">
        <v>1929</v>
      </c>
      <c r="B2487" s="4" t="s">
        <v>1930</v>
      </c>
      <c r="C2487" s="4" t="s">
        <v>1929</v>
      </c>
      <c r="D2487" s="4" t="s">
        <v>3372</v>
      </c>
      <c r="E2487" s="4" t="s">
        <v>3373</v>
      </c>
      <c r="F2487" s="4" t="s">
        <v>3372</v>
      </c>
    </row>
    <row r="2488" spans="1:6" ht="14.4" thickBot="1" x14ac:dyDescent="0.35">
      <c r="A2488" s="4" t="s">
        <v>118</v>
      </c>
      <c r="B2488" s="4" t="s">
        <v>119</v>
      </c>
      <c r="C2488" s="4" t="s">
        <v>118</v>
      </c>
      <c r="D2488" s="4" t="s">
        <v>120</v>
      </c>
      <c r="E2488" s="4" t="s">
        <v>121</v>
      </c>
      <c r="F2488" s="4" t="s">
        <v>120</v>
      </c>
    </row>
    <row r="2489" spans="1:6" ht="14.4" thickBot="1" x14ac:dyDescent="0.35">
      <c r="A2489" s="4" t="s">
        <v>118</v>
      </c>
      <c r="B2489" s="4" t="s">
        <v>119</v>
      </c>
      <c r="C2489" s="4" t="s">
        <v>118</v>
      </c>
      <c r="D2489" s="4" t="s">
        <v>2584</v>
      </c>
      <c r="E2489" s="4" t="s">
        <v>2585</v>
      </c>
      <c r="F2489" s="4" t="s">
        <v>2584</v>
      </c>
    </row>
    <row r="2490" spans="1:6" ht="14.4" thickBot="1" x14ac:dyDescent="0.35">
      <c r="A2490" s="4" t="s">
        <v>118</v>
      </c>
      <c r="B2490" s="4" t="s">
        <v>119</v>
      </c>
      <c r="C2490" s="4" t="s">
        <v>118</v>
      </c>
      <c r="D2490" s="4" t="s">
        <v>4168</v>
      </c>
      <c r="E2490" s="4" t="s">
        <v>4169</v>
      </c>
      <c r="F2490" s="4" t="s">
        <v>4168</v>
      </c>
    </row>
    <row r="2491" spans="1:6" ht="14.4" thickBot="1" x14ac:dyDescent="0.35">
      <c r="A2491" s="4" t="s">
        <v>118</v>
      </c>
      <c r="B2491" s="4" t="s">
        <v>119</v>
      </c>
      <c r="C2491" s="4" t="s">
        <v>118</v>
      </c>
      <c r="D2491" s="4" t="s">
        <v>5573</v>
      </c>
      <c r="E2491" s="4" t="s">
        <v>5574</v>
      </c>
      <c r="F2491" s="4" t="s">
        <v>5573</v>
      </c>
    </row>
    <row r="2492" spans="1:6" ht="14.4" thickBot="1" x14ac:dyDescent="0.35">
      <c r="A2492" s="4" t="s">
        <v>1933</v>
      </c>
      <c r="B2492" s="4" t="s">
        <v>1934</v>
      </c>
      <c r="C2492" s="4" t="s">
        <v>1933</v>
      </c>
      <c r="D2492" s="4" t="s">
        <v>1935</v>
      </c>
      <c r="E2492" s="4" t="s">
        <v>1936</v>
      </c>
      <c r="F2492" s="4" t="s">
        <v>1935</v>
      </c>
    </row>
    <row r="2493" spans="1:6" ht="14.4" thickBot="1" x14ac:dyDescent="0.35">
      <c r="A2493" s="4" t="s">
        <v>1933</v>
      </c>
      <c r="B2493" s="4" t="s">
        <v>1934</v>
      </c>
      <c r="C2493" s="4" t="s">
        <v>1933</v>
      </c>
      <c r="D2493" s="4" t="s">
        <v>4860</v>
      </c>
      <c r="E2493" s="4" t="s">
        <v>4861</v>
      </c>
      <c r="F2493" s="4" t="s">
        <v>4860</v>
      </c>
    </row>
    <row r="2494" spans="1:6" ht="14.4" thickBot="1" x14ac:dyDescent="0.35">
      <c r="A2494" s="4" t="s">
        <v>832</v>
      </c>
      <c r="B2494" s="4" t="s">
        <v>833</v>
      </c>
      <c r="C2494" s="4" t="s">
        <v>832</v>
      </c>
      <c r="D2494" s="4" t="s">
        <v>3989</v>
      </c>
      <c r="E2494" s="4" t="s">
        <v>3990</v>
      </c>
      <c r="F2494" s="4" t="s">
        <v>3989</v>
      </c>
    </row>
    <row r="2495" spans="1:6" ht="14.4" thickBot="1" x14ac:dyDescent="0.35">
      <c r="A2495" s="4" t="s">
        <v>832</v>
      </c>
      <c r="B2495" s="4" t="s">
        <v>833</v>
      </c>
      <c r="C2495" s="4" t="s">
        <v>832</v>
      </c>
      <c r="D2495" s="4" t="s">
        <v>836</v>
      </c>
      <c r="E2495" s="4" t="s">
        <v>837</v>
      </c>
      <c r="F2495" s="4" t="s">
        <v>836</v>
      </c>
    </row>
    <row r="2496" spans="1:6" ht="14.4" thickBot="1" x14ac:dyDescent="0.35">
      <c r="A2496" s="4" t="s">
        <v>832</v>
      </c>
      <c r="B2496" s="4" t="s">
        <v>833</v>
      </c>
      <c r="C2496" s="4" t="s">
        <v>832</v>
      </c>
      <c r="D2496" s="4" t="s">
        <v>5381</v>
      </c>
      <c r="E2496" s="4" t="s">
        <v>5382</v>
      </c>
      <c r="F2496" s="4" t="s">
        <v>5381</v>
      </c>
    </row>
    <row r="2497" spans="1:6" ht="14.4" thickBot="1" x14ac:dyDescent="0.35">
      <c r="A2497" s="4" t="s">
        <v>832</v>
      </c>
      <c r="B2497" s="4" t="s">
        <v>833</v>
      </c>
      <c r="C2497" s="4" t="s">
        <v>832</v>
      </c>
      <c r="D2497" s="4" t="s">
        <v>834</v>
      </c>
      <c r="E2497" s="4" t="s">
        <v>835</v>
      </c>
      <c r="F2497" s="4" t="s">
        <v>834</v>
      </c>
    </row>
    <row r="2498" spans="1:6" ht="14.4" thickBot="1" x14ac:dyDescent="0.35">
      <c r="A2498" s="4" t="s">
        <v>832</v>
      </c>
      <c r="B2498" s="4" t="s">
        <v>833</v>
      </c>
      <c r="C2498" s="4" t="s">
        <v>832</v>
      </c>
      <c r="D2498" s="4" t="s">
        <v>1718</v>
      </c>
      <c r="E2498" s="4" t="s">
        <v>1719</v>
      </c>
      <c r="F2498" s="4" t="s">
        <v>1718</v>
      </c>
    </row>
    <row r="2499" spans="1:6" ht="14.4" thickBot="1" x14ac:dyDescent="0.35">
      <c r="A2499" s="4" t="s">
        <v>832</v>
      </c>
      <c r="B2499" s="4" t="s">
        <v>833</v>
      </c>
      <c r="C2499" s="4" t="s">
        <v>832</v>
      </c>
      <c r="D2499" s="4" t="s">
        <v>6181</v>
      </c>
      <c r="E2499" s="4" t="s">
        <v>6182</v>
      </c>
      <c r="F2499" s="4" t="s">
        <v>6181</v>
      </c>
    </row>
    <row r="2500" spans="1:6" ht="14.4" thickBot="1" x14ac:dyDescent="0.35">
      <c r="A2500" s="4" t="s">
        <v>832</v>
      </c>
      <c r="B2500" s="4" t="s">
        <v>833</v>
      </c>
      <c r="C2500" s="4" t="s">
        <v>832</v>
      </c>
      <c r="D2500" s="4" t="s">
        <v>1849</v>
      </c>
      <c r="E2500" s="4" t="s">
        <v>1105</v>
      </c>
      <c r="F2500" s="4" t="s">
        <v>1849</v>
      </c>
    </row>
    <row r="2501" spans="1:6" ht="14.4" thickBot="1" x14ac:dyDescent="0.35">
      <c r="A2501" s="4" t="s">
        <v>832</v>
      </c>
      <c r="B2501" s="4" t="s">
        <v>833</v>
      </c>
      <c r="C2501" s="4" t="s">
        <v>832</v>
      </c>
      <c r="D2501" s="4" t="s">
        <v>5472</v>
      </c>
      <c r="E2501" s="4" t="s">
        <v>5473</v>
      </c>
      <c r="F2501" s="4" t="s">
        <v>5472</v>
      </c>
    </row>
    <row r="2502" spans="1:6" ht="14.4" thickBot="1" x14ac:dyDescent="0.35">
      <c r="A2502" s="4" t="s">
        <v>832</v>
      </c>
      <c r="B2502" s="4" t="s">
        <v>833</v>
      </c>
      <c r="C2502" s="4" t="s">
        <v>832</v>
      </c>
      <c r="D2502" s="4" t="s">
        <v>4778</v>
      </c>
      <c r="E2502" s="4" t="s">
        <v>4130</v>
      </c>
      <c r="F2502" s="4" t="s">
        <v>4778</v>
      </c>
    </row>
    <row r="2503" spans="1:6" ht="14.4" thickBot="1" x14ac:dyDescent="0.35">
      <c r="A2503" s="4" t="s">
        <v>832</v>
      </c>
      <c r="B2503" s="4" t="s">
        <v>833</v>
      </c>
      <c r="C2503" s="4" t="s">
        <v>832</v>
      </c>
      <c r="D2503" s="4" t="s">
        <v>5470</v>
      </c>
      <c r="E2503" s="4" t="s">
        <v>5471</v>
      </c>
      <c r="F2503" s="4" t="s">
        <v>5470</v>
      </c>
    </row>
    <row r="2504" spans="1:6" ht="14.4" thickBot="1" x14ac:dyDescent="0.35">
      <c r="A2504" s="4" t="s">
        <v>832</v>
      </c>
      <c r="B2504" s="4" t="s">
        <v>833</v>
      </c>
      <c r="C2504" s="4" t="s">
        <v>832</v>
      </c>
      <c r="D2504" s="4" t="s">
        <v>2501</v>
      </c>
      <c r="E2504" s="4" t="s">
        <v>2502</v>
      </c>
      <c r="F2504" s="4" t="s">
        <v>2501</v>
      </c>
    </row>
    <row r="2505" spans="1:6" ht="14.4" thickBot="1" x14ac:dyDescent="0.35">
      <c r="A2505" s="4" t="s">
        <v>832</v>
      </c>
      <c r="B2505" s="4" t="s">
        <v>833</v>
      </c>
      <c r="C2505" s="4" t="s">
        <v>832</v>
      </c>
      <c r="D2505" s="4" t="s">
        <v>3260</v>
      </c>
      <c r="E2505" s="4" t="s">
        <v>3261</v>
      </c>
      <c r="F2505" s="4" t="s">
        <v>3260</v>
      </c>
    </row>
    <row r="2506" spans="1:6" ht="14.4" thickBot="1" x14ac:dyDescent="0.35">
      <c r="A2506" s="4" t="s">
        <v>65</v>
      </c>
      <c r="B2506" s="4" t="s">
        <v>66</v>
      </c>
      <c r="C2506" s="4" t="s">
        <v>65</v>
      </c>
      <c r="D2506" s="4" t="s">
        <v>67</v>
      </c>
      <c r="E2506" s="4" t="s">
        <v>68</v>
      </c>
      <c r="F2506" s="4" t="s">
        <v>67</v>
      </c>
    </row>
    <row r="2507" spans="1:6" ht="14.4" thickBot="1" x14ac:dyDescent="0.35">
      <c r="A2507" s="4" t="s">
        <v>65</v>
      </c>
      <c r="B2507" s="4" t="s">
        <v>66</v>
      </c>
      <c r="C2507" s="4" t="s">
        <v>65</v>
      </c>
      <c r="D2507" s="4" t="s">
        <v>1057</v>
      </c>
      <c r="E2507" s="4" t="s">
        <v>1058</v>
      </c>
      <c r="F2507" s="4" t="s">
        <v>1057</v>
      </c>
    </row>
    <row r="2508" spans="1:6" ht="14.4" thickBot="1" x14ac:dyDescent="0.35">
      <c r="A2508" s="4" t="s">
        <v>70</v>
      </c>
      <c r="B2508" s="4" t="s">
        <v>71</v>
      </c>
      <c r="C2508" s="4" t="s">
        <v>70</v>
      </c>
      <c r="D2508" s="4" t="s">
        <v>4834</v>
      </c>
      <c r="E2508" s="4" t="s">
        <v>4835</v>
      </c>
      <c r="F2508" s="4" t="s">
        <v>4834</v>
      </c>
    </row>
    <row r="2509" spans="1:6" ht="14.4" thickBot="1" x14ac:dyDescent="0.35">
      <c r="A2509" s="4" t="s">
        <v>70</v>
      </c>
      <c r="B2509" s="4" t="s">
        <v>71</v>
      </c>
      <c r="C2509" s="4" t="s">
        <v>70</v>
      </c>
      <c r="D2509" s="4" t="s">
        <v>72</v>
      </c>
      <c r="E2509" s="4" t="s">
        <v>73</v>
      </c>
      <c r="F2509" s="4" t="s">
        <v>72</v>
      </c>
    </row>
    <row r="2510" spans="1:6" ht="14.4" thickBot="1" x14ac:dyDescent="0.35">
      <c r="A2510" s="4" t="s">
        <v>70</v>
      </c>
      <c r="B2510" s="4" t="s">
        <v>71</v>
      </c>
      <c r="C2510" s="4" t="s">
        <v>70</v>
      </c>
      <c r="D2510" s="4" t="s">
        <v>2562</v>
      </c>
      <c r="E2510" s="4" t="s">
        <v>2563</v>
      </c>
      <c r="F2510" s="4" t="s">
        <v>2562</v>
      </c>
    </row>
    <row r="2511" spans="1:6" ht="14.4" thickBot="1" x14ac:dyDescent="0.35">
      <c r="A2511" s="4" t="s">
        <v>70</v>
      </c>
      <c r="B2511" s="4" t="s">
        <v>71</v>
      </c>
      <c r="C2511" s="4" t="s">
        <v>70</v>
      </c>
      <c r="D2511" s="4" t="s">
        <v>1059</v>
      </c>
      <c r="E2511" s="4" t="s">
        <v>1060</v>
      </c>
      <c r="F2511" s="4" t="s">
        <v>1059</v>
      </c>
    </row>
    <row r="2512" spans="1:6" ht="14.4" thickBot="1" x14ac:dyDescent="0.35">
      <c r="A2512" s="4" t="s">
        <v>70</v>
      </c>
      <c r="B2512" s="4" t="s">
        <v>71</v>
      </c>
      <c r="C2512" s="4" t="s">
        <v>70</v>
      </c>
      <c r="D2512" s="4" t="s">
        <v>5547</v>
      </c>
      <c r="E2512" s="4" t="s">
        <v>5548</v>
      </c>
      <c r="F2512" s="4" t="s">
        <v>5547</v>
      </c>
    </row>
    <row r="2513" spans="1:6" ht="14.4" thickBot="1" x14ac:dyDescent="0.35">
      <c r="A2513" s="4" t="s">
        <v>70</v>
      </c>
      <c r="B2513" s="4" t="s">
        <v>71</v>
      </c>
      <c r="C2513" s="4" t="s">
        <v>70</v>
      </c>
      <c r="D2513" s="4" t="s">
        <v>74</v>
      </c>
      <c r="E2513" s="4" t="s">
        <v>75</v>
      </c>
      <c r="F2513" s="4" t="s">
        <v>74</v>
      </c>
    </row>
    <row r="2514" spans="1:6" ht="14.4" thickBot="1" x14ac:dyDescent="0.35">
      <c r="A2514" s="4" t="s">
        <v>70</v>
      </c>
      <c r="B2514" s="4" t="s">
        <v>71</v>
      </c>
      <c r="C2514" s="4" t="s">
        <v>70</v>
      </c>
      <c r="D2514" s="4" t="s">
        <v>2564</v>
      </c>
      <c r="E2514" s="4" t="s">
        <v>2565</v>
      </c>
      <c r="F2514" s="4" t="s">
        <v>2564</v>
      </c>
    </row>
    <row r="2515" spans="1:6" ht="14.4" thickBot="1" x14ac:dyDescent="0.35">
      <c r="A2515" s="4" t="s">
        <v>70</v>
      </c>
      <c r="B2515" s="4" t="s">
        <v>71</v>
      </c>
      <c r="C2515" s="4" t="s">
        <v>70</v>
      </c>
      <c r="D2515" s="4" t="s">
        <v>3343</v>
      </c>
      <c r="E2515" s="4" t="s">
        <v>3344</v>
      </c>
      <c r="F2515" s="4" t="s">
        <v>3343</v>
      </c>
    </row>
    <row r="2516" spans="1:6" ht="14.4" thickBot="1" x14ac:dyDescent="0.35">
      <c r="A2516" s="4" t="s">
        <v>70</v>
      </c>
      <c r="B2516" s="4" t="s">
        <v>71</v>
      </c>
      <c r="C2516" s="4" t="s">
        <v>70</v>
      </c>
      <c r="D2516" s="4" t="s">
        <v>4149</v>
      </c>
      <c r="E2516" s="4" t="s">
        <v>849</v>
      </c>
      <c r="F2516" s="4" t="s">
        <v>4149</v>
      </c>
    </row>
    <row r="2517" spans="1:6" ht="14.4" thickBot="1" x14ac:dyDescent="0.35">
      <c r="A2517" s="4" t="s">
        <v>70</v>
      </c>
      <c r="B2517" s="4" t="s">
        <v>71</v>
      </c>
      <c r="C2517" s="4" t="s">
        <v>70</v>
      </c>
      <c r="D2517" s="4" t="s">
        <v>1906</v>
      </c>
      <c r="E2517" s="4" t="s">
        <v>1907</v>
      </c>
      <c r="F2517" s="4" t="s">
        <v>1906</v>
      </c>
    </row>
    <row r="2518" spans="1:6" ht="14.4" thickBot="1" x14ac:dyDescent="0.35">
      <c r="A2518" s="4" t="s">
        <v>76</v>
      </c>
      <c r="B2518" s="4" t="s">
        <v>77</v>
      </c>
      <c r="C2518" s="4" t="s">
        <v>76</v>
      </c>
      <c r="D2518" s="4" t="s">
        <v>78</v>
      </c>
      <c r="E2518" s="4" t="s">
        <v>79</v>
      </c>
      <c r="F2518" s="4" t="s">
        <v>78</v>
      </c>
    </row>
    <row r="2519" spans="1:6" ht="14.4" thickBot="1" x14ac:dyDescent="0.35">
      <c r="A2519" s="4" t="s">
        <v>80</v>
      </c>
      <c r="B2519" s="4" t="s">
        <v>81</v>
      </c>
      <c r="C2519" s="4" t="s">
        <v>80</v>
      </c>
      <c r="D2519" s="4" t="s">
        <v>82</v>
      </c>
      <c r="E2519" s="4" t="s">
        <v>83</v>
      </c>
      <c r="F2519" s="4" t="s">
        <v>82</v>
      </c>
    </row>
    <row r="2520" spans="1:6" ht="14.4" thickBot="1" x14ac:dyDescent="0.35">
      <c r="A2520" s="4" t="s">
        <v>80</v>
      </c>
      <c r="B2520" s="4" t="s">
        <v>81</v>
      </c>
      <c r="C2520" s="4" t="s">
        <v>80</v>
      </c>
      <c r="D2520" s="4" t="s">
        <v>4150</v>
      </c>
      <c r="E2520" s="4" t="s">
        <v>4151</v>
      </c>
      <c r="F2520" s="4" t="s">
        <v>4150</v>
      </c>
    </row>
    <row r="2521" spans="1:6" ht="14.4" thickBot="1" x14ac:dyDescent="0.35">
      <c r="A2521" s="4" t="s">
        <v>85</v>
      </c>
      <c r="B2521" s="4" t="s">
        <v>86</v>
      </c>
      <c r="C2521" s="4" t="s">
        <v>85</v>
      </c>
      <c r="D2521" s="4" t="s">
        <v>5549</v>
      </c>
      <c r="E2521" s="4" t="s">
        <v>5550</v>
      </c>
      <c r="F2521" s="4" t="s">
        <v>5549</v>
      </c>
    </row>
    <row r="2522" spans="1:6" ht="14.4" thickBot="1" x14ac:dyDescent="0.35">
      <c r="A2522" s="4" t="s">
        <v>85</v>
      </c>
      <c r="B2522" s="4" t="s">
        <v>86</v>
      </c>
      <c r="C2522" s="4" t="s">
        <v>85</v>
      </c>
      <c r="D2522" s="4" t="s">
        <v>1912</v>
      </c>
      <c r="E2522" s="4" t="s">
        <v>1913</v>
      </c>
      <c r="F2522" s="4" t="s">
        <v>1912</v>
      </c>
    </row>
    <row r="2523" spans="1:6" ht="14.4" thickBot="1" x14ac:dyDescent="0.35">
      <c r="A2523" s="4" t="s">
        <v>85</v>
      </c>
      <c r="B2523" s="4" t="s">
        <v>86</v>
      </c>
      <c r="C2523" s="4" t="s">
        <v>85</v>
      </c>
      <c r="D2523" s="4" t="s">
        <v>5559</v>
      </c>
      <c r="E2523" s="4" t="s">
        <v>5560</v>
      </c>
      <c r="F2523" s="4" t="s">
        <v>5559</v>
      </c>
    </row>
    <row r="2524" spans="1:6" ht="14.4" thickBot="1" x14ac:dyDescent="0.35">
      <c r="A2524" s="4" t="s">
        <v>85</v>
      </c>
      <c r="B2524" s="4" t="s">
        <v>86</v>
      </c>
      <c r="C2524" s="4" t="s">
        <v>85</v>
      </c>
      <c r="D2524" s="4" t="s">
        <v>1063</v>
      </c>
      <c r="E2524" s="4" t="s">
        <v>1064</v>
      </c>
      <c r="F2524" s="4" t="s">
        <v>1063</v>
      </c>
    </row>
    <row r="2525" spans="1:6" ht="14.4" thickBot="1" x14ac:dyDescent="0.35">
      <c r="A2525" s="4" t="s">
        <v>85</v>
      </c>
      <c r="B2525" s="4" t="s">
        <v>86</v>
      </c>
      <c r="C2525" s="4" t="s">
        <v>85</v>
      </c>
      <c r="D2525" s="4" t="s">
        <v>1914</v>
      </c>
      <c r="E2525" s="4" t="s">
        <v>1915</v>
      </c>
      <c r="F2525" s="4" t="s">
        <v>1914</v>
      </c>
    </row>
    <row r="2526" spans="1:6" ht="14.4" thickBot="1" x14ac:dyDescent="0.35">
      <c r="A2526" s="4" t="s">
        <v>85</v>
      </c>
      <c r="B2526" s="4" t="s">
        <v>86</v>
      </c>
      <c r="C2526" s="4" t="s">
        <v>85</v>
      </c>
      <c r="D2526" s="4" t="s">
        <v>4846</v>
      </c>
      <c r="E2526" s="4" t="s">
        <v>4847</v>
      </c>
      <c r="F2526" s="4" t="s">
        <v>4846</v>
      </c>
    </row>
    <row r="2527" spans="1:6" ht="14.4" thickBot="1" x14ac:dyDescent="0.35">
      <c r="A2527" s="4" t="s">
        <v>85</v>
      </c>
      <c r="B2527" s="4" t="s">
        <v>86</v>
      </c>
      <c r="C2527" s="4" t="s">
        <v>85</v>
      </c>
      <c r="D2527" s="4" t="s">
        <v>4848</v>
      </c>
      <c r="E2527" s="4" t="s">
        <v>4849</v>
      </c>
      <c r="F2527" s="4" t="s">
        <v>4848</v>
      </c>
    </row>
    <row r="2528" spans="1:6" ht="14.4" thickBot="1" x14ac:dyDescent="0.35">
      <c r="A2528" s="4" t="s">
        <v>85</v>
      </c>
      <c r="B2528" s="4" t="s">
        <v>86</v>
      </c>
      <c r="C2528" s="4" t="s">
        <v>85</v>
      </c>
      <c r="D2528" s="4" t="s">
        <v>3360</v>
      </c>
      <c r="E2528" s="4" t="s">
        <v>3361</v>
      </c>
      <c r="F2528" s="4" t="s">
        <v>3360</v>
      </c>
    </row>
    <row r="2529" spans="1:6" ht="14.4" thickBot="1" x14ac:dyDescent="0.35">
      <c r="A2529" s="4" t="s">
        <v>85</v>
      </c>
      <c r="B2529" s="4" t="s">
        <v>86</v>
      </c>
      <c r="C2529" s="4" t="s">
        <v>85</v>
      </c>
      <c r="D2529" s="4" t="s">
        <v>4158</v>
      </c>
      <c r="E2529" s="4" t="s">
        <v>4159</v>
      </c>
      <c r="F2529" s="4" t="s">
        <v>4158</v>
      </c>
    </row>
    <row r="2530" spans="1:6" ht="14.4" thickBot="1" x14ac:dyDescent="0.35">
      <c r="A2530" s="4" t="s">
        <v>85</v>
      </c>
      <c r="B2530" s="4" t="s">
        <v>86</v>
      </c>
      <c r="C2530" s="4" t="s">
        <v>85</v>
      </c>
      <c r="D2530" s="4" t="s">
        <v>2570</v>
      </c>
      <c r="E2530" s="4" t="s">
        <v>2571</v>
      </c>
      <c r="F2530" s="4" t="s">
        <v>2570</v>
      </c>
    </row>
    <row r="2531" spans="1:6" ht="14.4" thickBot="1" x14ac:dyDescent="0.35">
      <c r="A2531" s="4" t="s">
        <v>85</v>
      </c>
      <c r="B2531" s="4" t="s">
        <v>86</v>
      </c>
      <c r="C2531" s="4" t="s">
        <v>85</v>
      </c>
      <c r="D2531" s="4" t="s">
        <v>1074</v>
      </c>
      <c r="E2531" s="4" t="s">
        <v>1075</v>
      </c>
      <c r="F2531" s="4" t="s">
        <v>1074</v>
      </c>
    </row>
    <row r="2532" spans="1:6" ht="14.4" thickBot="1" x14ac:dyDescent="0.35">
      <c r="A2532" s="4" t="s">
        <v>85</v>
      </c>
      <c r="B2532" s="4" t="s">
        <v>86</v>
      </c>
      <c r="C2532" s="4" t="s">
        <v>85</v>
      </c>
      <c r="D2532" s="4" t="s">
        <v>97</v>
      </c>
      <c r="E2532" s="4" t="s">
        <v>98</v>
      </c>
      <c r="F2532" s="4" t="s">
        <v>97</v>
      </c>
    </row>
    <row r="2533" spans="1:6" ht="14.4" thickBot="1" x14ac:dyDescent="0.35">
      <c r="A2533" s="4" t="s">
        <v>85</v>
      </c>
      <c r="B2533" s="4" t="s">
        <v>86</v>
      </c>
      <c r="C2533" s="4" t="s">
        <v>85</v>
      </c>
      <c r="D2533" s="4" t="s">
        <v>5553</v>
      </c>
      <c r="E2533" s="4" t="s">
        <v>5554</v>
      </c>
      <c r="F2533" s="4" t="s">
        <v>5553</v>
      </c>
    </row>
    <row r="2534" spans="1:6" ht="14.4" thickBot="1" x14ac:dyDescent="0.35">
      <c r="A2534" s="4" t="s">
        <v>85</v>
      </c>
      <c r="B2534" s="4" t="s">
        <v>86</v>
      </c>
      <c r="C2534" s="4" t="s">
        <v>85</v>
      </c>
      <c r="D2534" s="4" t="s">
        <v>3358</v>
      </c>
      <c r="E2534" s="4" t="s">
        <v>3359</v>
      </c>
      <c r="F2534" s="4" t="s">
        <v>3358</v>
      </c>
    </row>
    <row r="2535" spans="1:6" ht="14.4" thickBot="1" x14ac:dyDescent="0.35">
      <c r="A2535" s="4" t="s">
        <v>85</v>
      </c>
      <c r="B2535" s="4" t="s">
        <v>86</v>
      </c>
      <c r="C2535" s="4" t="s">
        <v>85</v>
      </c>
      <c r="D2535" s="4" t="s">
        <v>4156</v>
      </c>
      <c r="E2535" s="4" t="s">
        <v>4157</v>
      </c>
      <c r="F2535" s="4" t="s">
        <v>4156</v>
      </c>
    </row>
    <row r="2536" spans="1:6" ht="14.4" thickBot="1" x14ac:dyDescent="0.35">
      <c r="A2536" s="4" t="s">
        <v>85</v>
      </c>
      <c r="B2536" s="4" t="s">
        <v>86</v>
      </c>
      <c r="C2536" s="4" t="s">
        <v>85</v>
      </c>
      <c r="D2536" s="4" t="s">
        <v>118</v>
      </c>
      <c r="E2536" s="4" t="s">
        <v>1065</v>
      </c>
      <c r="F2536" s="4" t="s">
        <v>118</v>
      </c>
    </row>
    <row r="2537" spans="1:6" ht="14.4" thickBot="1" x14ac:dyDescent="0.35">
      <c r="A2537" s="4" t="s">
        <v>85</v>
      </c>
      <c r="B2537" s="4" t="s">
        <v>86</v>
      </c>
      <c r="C2537" s="4" t="s">
        <v>85</v>
      </c>
      <c r="D2537" s="4" t="s">
        <v>5555</v>
      </c>
      <c r="E2537" s="4" t="s">
        <v>5556</v>
      </c>
      <c r="F2537" s="4" t="s">
        <v>5555</v>
      </c>
    </row>
    <row r="2538" spans="1:6" ht="14.4" thickBot="1" x14ac:dyDescent="0.35">
      <c r="A2538" s="4" t="s">
        <v>85</v>
      </c>
      <c r="B2538" s="4" t="s">
        <v>86</v>
      </c>
      <c r="C2538" s="4" t="s">
        <v>85</v>
      </c>
      <c r="D2538" s="4" t="s">
        <v>4152</v>
      </c>
      <c r="E2538" s="4" t="s">
        <v>4153</v>
      </c>
      <c r="F2538" s="4" t="s">
        <v>4152</v>
      </c>
    </row>
    <row r="2539" spans="1:6" ht="14.4" thickBot="1" x14ac:dyDescent="0.35">
      <c r="A2539" s="4" t="s">
        <v>85</v>
      </c>
      <c r="B2539" s="4" t="s">
        <v>86</v>
      </c>
      <c r="C2539" s="4" t="s">
        <v>85</v>
      </c>
      <c r="D2539" s="4" t="s">
        <v>1061</v>
      </c>
      <c r="E2539" s="4" t="s">
        <v>1062</v>
      </c>
      <c r="F2539" s="4" t="s">
        <v>1061</v>
      </c>
    </row>
    <row r="2540" spans="1:6" ht="14.4" thickBot="1" x14ac:dyDescent="0.35">
      <c r="A2540" s="4" t="s">
        <v>85</v>
      </c>
      <c r="B2540" s="4" t="s">
        <v>86</v>
      </c>
      <c r="C2540" s="4" t="s">
        <v>85</v>
      </c>
      <c r="D2540" s="4" t="s">
        <v>1908</v>
      </c>
      <c r="E2540" s="4" t="s">
        <v>1909</v>
      </c>
      <c r="F2540" s="4" t="s">
        <v>1908</v>
      </c>
    </row>
    <row r="2541" spans="1:6" ht="14.4" thickBot="1" x14ac:dyDescent="0.35">
      <c r="A2541" s="4" t="s">
        <v>85</v>
      </c>
      <c r="B2541" s="4" t="s">
        <v>86</v>
      </c>
      <c r="C2541" s="4" t="s">
        <v>85</v>
      </c>
      <c r="D2541" s="4" t="s">
        <v>3362</v>
      </c>
      <c r="E2541" s="4" t="s">
        <v>3363</v>
      </c>
      <c r="F2541" s="4" t="s">
        <v>3362</v>
      </c>
    </row>
    <row r="2542" spans="1:6" ht="14.4" thickBot="1" x14ac:dyDescent="0.35">
      <c r="A2542" s="4" t="s">
        <v>85</v>
      </c>
      <c r="B2542" s="4" t="s">
        <v>86</v>
      </c>
      <c r="C2542" s="4" t="s">
        <v>85</v>
      </c>
      <c r="D2542" s="4" t="s">
        <v>4154</v>
      </c>
      <c r="E2542" s="4" t="s">
        <v>4155</v>
      </c>
      <c r="F2542" s="4" t="s">
        <v>4154</v>
      </c>
    </row>
    <row r="2543" spans="1:6" ht="14.4" thickBot="1" x14ac:dyDescent="0.35">
      <c r="A2543" s="4" t="s">
        <v>85</v>
      </c>
      <c r="B2543" s="4" t="s">
        <v>86</v>
      </c>
      <c r="C2543" s="4" t="s">
        <v>85</v>
      </c>
      <c r="D2543" s="4" t="s">
        <v>99</v>
      </c>
      <c r="E2543" s="4" t="s">
        <v>100</v>
      </c>
      <c r="F2543" s="4" t="s">
        <v>99</v>
      </c>
    </row>
    <row r="2544" spans="1:6" ht="14.4" thickBot="1" x14ac:dyDescent="0.35">
      <c r="A2544" s="4" t="s">
        <v>85</v>
      </c>
      <c r="B2544" s="4" t="s">
        <v>86</v>
      </c>
      <c r="C2544" s="4" t="s">
        <v>85</v>
      </c>
      <c r="D2544" s="4" t="s">
        <v>3351</v>
      </c>
      <c r="E2544" s="4" t="s">
        <v>1527</v>
      </c>
      <c r="F2544" s="4" t="s">
        <v>3351</v>
      </c>
    </row>
    <row r="2545" spans="1:6" ht="14.4" thickBot="1" x14ac:dyDescent="0.35">
      <c r="A2545" s="4" t="s">
        <v>85</v>
      </c>
      <c r="B2545" s="4" t="s">
        <v>86</v>
      </c>
      <c r="C2545" s="4" t="s">
        <v>85</v>
      </c>
      <c r="D2545" s="4" t="s">
        <v>1072</v>
      </c>
      <c r="E2545" s="4" t="s">
        <v>1073</v>
      </c>
      <c r="F2545" s="4" t="s">
        <v>1072</v>
      </c>
    </row>
    <row r="2546" spans="1:6" ht="14.4" thickBot="1" x14ac:dyDescent="0.35">
      <c r="A2546" s="4" t="s">
        <v>85</v>
      </c>
      <c r="B2546" s="4" t="s">
        <v>86</v>
      </c>
      <c r="C2546" s="4" t="s">
        <v>85</v>
      </c>
      <c r="D2546" s="4" t="s">
        <v>4842</v>
      </c>
      <c r="E2546" s="4" t="s">
        <v>4843</v>
      </c>
      <c r="F2546" s="4" t="s">
        <v>4842</v>
      </c>
    </row>
    <row r="2547" spans="1:6" ht="14.4" thickBot="1" x14ac:dyDescent="0.35">
      <c r="A2547" s="4" t="s">
        <v>85</v>
      </c>
      <c r="B2547" s="4" t="s">
        <v>86</v>
      </c>
      <c r="C2547" s="4" t="s">
        <v>85</v>
      </c>
      <c r="D2547" s="4" t="s">
        <v>90</v>
      </c>
      <c r="E2547" s="4" t="s">
        <v>91</v>
      </c>
      <c r="F2547" s="4" t="s">
        <v>90</v>
      </c>
    </row>
    <row r="2548" spans="1:6" ht="14.4" thickBot="1" x14ac:dyDescent="0.35">
      <c r="A2548" s="4" t="s">
        <v>85</v>
      </c>
      <c r="B2548" s="4" t="s">
        <v>86</v>
      </c>
      <c r="C2548" s="4" t="s">
        <v>85</v>
      </c>
      <c r="D2548" s="4" t="s">
        <v>5557</v>
      </c>
      <c r="E2548" s="4" t="s">
        <v>5558</v>
      </c>
      <c r="F2548" s="4" t="s">
        <v>5557</v>
      </c>
    </row>
    <row r="2549" spans="1:6" ht="14.4" thickBot="1" x14ac:dyDescent="0.35">
      <c r="A2549" s="4" t="s">
        <v>85</v>
      </c>
      <c r="B2549" s="4" t="s">
        <v>86</v>
      </c>
      <c r="C2549" s="4" t="s">
        <v>85</v>
      </c>
      <c r="D2549" s="4" t="s">
        <v>3352</v>
      </c>
      <c r="E2549" s="4" t="s">
        <v>3353</v>
      </c>
      <c r="F2549" s="4" t="s">
        <v>3352</v>
      </c>
    </row>
    <row r="2550" spans="1:6" ht="14.4" thickBot="1" x14ac:dyDescent="0.35">
      <c r="A2550" s="4" t="s">
        <v>85</v>
      </c>
      <c r="B2550" s="4" t="s">
        <v>86</v>
      </c>
      <c r="C2550" s="4" t="s">
        <v>85</v>
      </c>
      <c r="D2550" s="4" t="s">
        <v>3356</v>
      </c>
      <c r="E2550" s="4" t="s">
        <v>3357</v>
      </c>
      <c r="F2550" s="4" t="s">
        <v>3356</v>
      </c>
    </row>
    <row r="2551" spans="1:6" ht="14.4" thickBot="1" x14ac:dyDescent="0.35">
      <c r="A2551" s="4" t="s">
        <v>85</v>
      </c>
      <c r="B2551" s="4" t="s">
        <v>86</v>
      </c>
      <c r="C2551" s="4" t="s">
        <v>85</v>
      </c>
      <c r="D2551" s="4" t="s">
        <v>4840</v>
      </c>
      <c r="E2551" s="4" t="s">
        <v>4841</v>
      </c>
      <c r="F2551" s="4" t="s">
        <v>4840</v>
      </c>
    </row>
    <row r="2552" spans="1:6" ht="14.4" thickBot="1" x14ac:dyDescent="0.35">
      <c r="A2552" s="4" t="s">
        <v>85</v>
      </c>
      <c r="B2552" s="4" t="s">
        <v>86</v>
      </c>
      <c r="C2552" s="4" t="s">
        <v>85</v>
      </c>
      <c r="D2552" s="4" t="s">
        <v>3345</v>
      </c>
      <c r="E2552" s="4" t="s">
        <v>3346</v>
      </c>
      <c r="F2552" s="4" t="s">
        <v>3345</v>
      </c>
    </row>
    <row r="2553" spans="1:6" ht="14.4" thickBot="1" x14ac:dyDescent="0.35">
      <c r="A2553" s="4" t="s">
        <v>85</v>
      </c>
      <c r="B2553" s="4" t="s">
        <v>86</v>
      </c>
      <c r="C2553" s="4" t="s">
        <v>85</v>
      </c>
      <c r="D2553" s="4" t="s">
        <v>2566</v>
      </c>
      <c r="E2553" s="4" t="s">
        <v>2567</v>
      </c>
      <c r="F2553" s="4" t="s">
        <v>2566</v>
      </c>
    </row>
    <row r="2554" spans="1:6" ht="14.4" thickBot="1" x14ac:dyDescent="0.35">
      <c r="A2554" s="4" t="s">
        <v>85</v>
      </c>
      <c r="B2554" s="4" t="s">
        <v>86</v>
      </c>
      <c r="C2554" s="4" t="s">
        <v>85</v>
      </c>
      <c r="D2554" s="4" t="s">
        <v>1068</v>
      </c>
      <c r="E2554" s="4" t="s">
        <v>1069</v>
      </c>
      <c r="F2554" s="4" t="s">
        <v>1068</v>
      </c>
    </row>
    <row r="2555" spans="1:6" ht="14.4" thickBot="1" x14ac:dyDescent="0.35">
      <c r="A2555" s="4" t="s">
        <v>85</v>
      </c>
      <c r="B2555" s="4" t="s">
        <v>86</v>
      </c>
      <c r="C2555" s="4" t="s">
        <v>85</v>
      </c>
      <c r="D2555" s="4" t="s">
        <v>5551</v>
      </c>
      <c r="E2555" s="4" t="s">
        <v>5552</v>
      </c>
      <c r="F2555" s="4" t="s">
        <v>5551</v>
      </c>
    </row>
    <row r="2556" spans="1:6" ht="14.4" thickBot="1" x14ac:dyDescent="0.35">
      <c r="A2556" s="4" t="s">
        <v>85</v>
      </c>
      <c r="B2556" s="4" t="s">
        <v>86</v>
      </c>
      <c r="C2556" s="4" t="s">
        <v>85</v>
      </c>
      <c r="D2556" s="4" t="s">
        <v>3354</v>
      </c>
      <c r="E2556" s="4" t="s">
        <v>3355</v>
      </c>
      <c r="F2556" s="4" t="s">
        <v>3354</v>
      </c>
    </row>
    <row r="2557" spans="1:6" ht="14.4" thickBot="1" x14ac:dyDescent="0.35">
      <c r="A2557" s="4" t="s">
        <v>85</v>
      </c>
      <c r="B2557" s="4" t="s">
        <v>86</v>
      </c>
      <c r="C2557" s="4" t="s">
        <v>85</v>
      </c>
      <c r="D2557" s="4" t="s">
        <v>4838</v>
      </c>
      <c r="E2557" s="4" t="s">
        <v>4839</v>
      </c>
      <c r="F2557" s="4" t="s">
        <v>4838</v>
      </c>
    </row>
    <row r="2558" spans="1:6" ht="14.4" thickBot="1" x14ac:dyDescent="0.35">
      <c r="A2558" s="4" t="s">
        <v>85</v>
      </c>
      <c r="B2558" s="4" t="s">
        <v>86</v>
      </c>
      <c r="C2558" s="4" t="s">
        <v>85</v>
      </c>
      <c r="D2558" s="4" t="s">
        <v>95</v>
      </c>
      <c r="E2558" s="4" t="s">
        <v>96</v>
      </c>
      <c r="F2558" s="4" t="s">
        <v>95</v>
      </c>
    </row>
    <row r="2559" spans="1:6" ht="14.4" thickBot="1" x14ac:dyDescent="0.35">
      <c r="A2559" s="4" t="s">
        <v>85</v>
      </c>
      <c r="B2559" s="4" t="s">
        <v>86</v>
      </c>
      <c r="C2559" s="4" t="s">
        <v>85</v>
      </c>
      <c r="D2559" s="4" t="s">
        <v>4836</v>
      </c>
      <c r="E2559" s="4" t="s">
        <v>4837</v>
      </c>
      <c r="F2559" s="4" t="s">
        <v>4836</v>
      </c>
    </row>
    <row r="2560" spans="1:6" ht="14.4" thickBot="1" x14ac:dyDescent="0.35">
      <c r="A2560" s="4" t="s">
        <v>85</v>
      </c>
      <c r="B2560" s="4" t="s">
        <v>86</v>
      </c>
      <c r="C2560" s="4" t="s">
        <v>85</v>
      </c>
      <c r="D2560" s="4" t="s">
        <v>1070</v>
      </c>
      <c r="E2560" s="4" t="s">
        <v>1071</v>
      </c>
      <c r="F2560" s="4" t="s">
        <v>1070</v>
      </c>
    </row>
    <row r="2561" spans="1:6" ht="14.4" thickBot="1" x14ac:dyDescent="0.35">
      <c r="A2561" s="4" t="s">
        <v>85</v>
      </c>
      <c r="B2561" s="4" t="s">
        <v>86</v>
      </c>
      <c r="C2561" s="4" t="s">
        <v>85</v>
      </c>
      <c r="D2561" s="4" t="s">
        <v>3347</v>
      </c>
      <c r="E2561" s="4" t="s">
        <v>3348</v>
      </c>
      <c r="F2561" s="4" t="s">
        <v>3347</v>
      </c>
    </row>
    <row r="2562" spans="1:6" ht="14.4" thickBot="1" x14ac:dyDescent="0.35">
      <c r="A2562" s="4" t="s">
        <v>85</v>
      </c>
      <c r="B2562" s="4" t="s">
        <v>86</v>
      </c>
      <c r="C2562" s="4" t="s">
        <v>85</v>
      </c>
      <c r="D2562" s="4" t="s">
        <v>1910</v>
      </c>
      <c r="E2562" s="4" t="s">
        <v>1911</v>
      </c>
      <c r="F2562" s="4" t="s">
        <v>1910</v>
      </c>
    </row>
    <row r="2563" spans="1:6" ht="14.4" thickBot="1" x14ac:dyDescent="0.35">
      <c r="A2563" s="4" t="s">
        <v>85</v>
      </c>
      <c r="B2563" s="4" t="s">
        <v>86</v>
      </c>
      <c r="C2563" s="4" t="s">
        <v>85</v>
      </c>
      <c r="D2563" s="4" t="s">
        <v>1066</v>
      </c>
      <c r="E2563" s="4" t="s">
        <v>1067</v>
      </c>
      <c r="F2563" s="4" t="s">
        <v>1066</v>
      </c>
    </row>
    <row r="2564" spans="1:6" ht="14.4" thickBot="1" x14ac:dyDescent="0.35">
      <c r="A2564" s="4" t="s">
        <v>85</v>
      </c>
      <c r="B2564" s="4" t="s">
        <v>86</v>
      </c>
      <c r="C2564" s="4" t="s">
        <v>85</v>
      </c>
      <c r="D2564" s="4" t="s">
        <v>2568</v>
      </c>
      <c r="E2564" s="4" t="s">
        <v>2569</v>
      </c>
      <c r="F2564" s="4" t="s">
        <v>2568</v>
      </c>
    </row>
    <row r="2565" spans="1:6" ht="14.4" thickBot="1" x14ac:dyDescent="0.35">
      <c r="A2565" s="4" t="s">
        <v>85</v>
      </c>
      <c r="B2565" s="4" t="s">
        <v>86</v>
      </c>
      <c r="C2565" s="4" t="s">
        <v>85</v>
      </c>
      <c r="D2565" s="4" t="s">
        <v>88</v>
      </c>
      <c r="E2565" s="4" t="s">
        <v>89</v>
      </c>
      <c r="F2565" s="4" t="s">
        <v>88</v>
      </c>
    </row>
    <row r="2566" spans="1:6" ht="14.4" thickBot="1" x14ac:dyDescent="0.35">
      <c r="A2566" s="4" t="s">
        <v>85</v>
      </c>
      <c r="B2566" s="4" t="s">
        <v>86</v>
      </c>
      <c r="C2566" s="4" t="s">
        <v>85</v>
      </c>
      <c r="D2566" s="4" t="s">
        <v>3349</v>
      </c>
      <c r="E2566" s="4" t="s">
        <v>3350</v>
      </c>
      <c r="F2566" s="4" t="s">
        <v>3349</v>
      </c>
    </row>
    <row r="2567" spans="1:6" ht="14.4" thickBot="1" x14ac:dyDescent="0.35">
      <c r="A2567" s="4" t="s">
        <v>85</v>
      </c>
      <c r="B2567" s="4" t="s">
        <v>86</v>
      </c>
      <c r="C2567" s="4" t="s">
        <v>85</v>
      </c>
      <c r="D2567" s="4" t="s">
        <v>92</v>
      </c>
      <c r="E2567" s="4" t="s">
        <v>93</v>
      </c>
      <c r="F2567" s="4" t="s">
        <v>92</v>
      </c>
    </row>
    <row r="2568" spans="1:6" ht="14.4" thickBot="1" x14ac:dyDescent="0.35">
      <c r="A2568" s="4" t="s">
        <v>85</v>
      </c>
      <c r="B2568" s="4" t="s">
        <v>86</v>
      </c>
      <c r="C2568" s="4" t="s">
        <v>85</v>
      </c>
      <c r="D2568" s="4" t="s">
        <v>4844</v>
      </c>
      <c r="E2568" s="4" t="s">
        <v>4845</v>
      </c>
      <c r="F2568" s="4" t="s">
        <v>4844</v>
      </c>
    </row>
    <row r="2569" spans="1:6" ht="14.4" thickBot="1" x14ac:dyDescent="0.35">
      <c r="A2569" s="4" t="s">
        <v>838</v>
      </c>
      <c r="B2569" s="4" t="s">
        <v>839</v>
      </c>
      <c r="C2569" s="4" t="s">
        <v>838</v>
      </c>
      <c r="D2569" s="4" t="s">
        <v>1724</v>
      </c>
      <c r="E2569" s="4" t="s">
        <v>1725</v>
      </c>
      <c r="F2569" s="4" t="s">
        <v>1724</v>
      </c>
    </row>
    <row r="2570" spans="1:6" ht="14.4" thickBot="1" x14ac:dyDescent="0.35">
      <c r="A2570" s="4" t="s">
        <v>838</v>
      </c>
      <c r="B2570" s="4" t="s">
        <v>839</v>
      </c>
      <c r="C2570" s="4" t="s">
        <v>838</v>
      </c>
      <c r="D2570" s="4" t="s">
        <v>842</v>
      </c>
      <c r="E2570" s="4" t="s">
        <v>843</v>
      </c>
      <c r="F2570" s="4" t="s">
        <v>842</v>
      </c>
    </row>
    <row r="2571" spans="1:6" ht="14.4" thickBot="1" x14ac:dyDescent="0.35">
      <c r="A2571" s="4" t="s">
        <v>838</v>
      </c>
      <c r="B2571" s="4" t="s">
        <v>839</v>
      </c>
      <c r="C2571" s="4" t="s">
        <v>838</v>
      </c>
      <c r="D2571" s="4" t="s">
        <v>5391</v>
      </c>
      <c r="E2571" s="4" t="s">
        <v>5392</v>
      </c>
      <c r="F2571" s="4" t="s">
        <v>5391</v>
      </c>
    </row>
    <row r="2572" spans="1:6" ht="14.4" thickBot="1" x14ac:dyDescent="0.35">
      <c r="A2572" s="4" t="s">
        <v>838</v>
      </c>
      <c r="B2572" s="4" t="s">
        <v>839</v>
      </c>
      <c r="C2572" s="4" t="s">
        <v>838</v>
      </c>
      <c r="D2572" s="4" t="s">
        <v>5389</v>
      </c>
      <c r="E2572" s="4" t="s">
        <v>5390</v>
      </c>
      <c r="F2572" s="4" t="s">
        <v>5389</v>
      </c>
    </row>
    <row r="2573" spans="1:6" ht="14.4" thickBot="1" x14ac:dyDescent="0.35">
      <c r="A2573" s="4" t="s">
        <v>838</v>
      </c>
      <c r="B2573" s="4" t="s">
        <v>839</v>
      </c>
      <c r="C2573" s="4" t="s">
        <v>838</v>
      </c>
      <c r="D2573" s="4" t="s">
        <v>4686</v>
      </c>
      <c r="E2573" s="4" t="s">
        <v>4687</v>
      </c>
      <c r="F2573" s="4" t="s">
        <v>4686</v>
      </c>
    </row>
    <row r="2574" spans="1:6" ht="14.4" thickBot="1" x14ac:dyDescent="0.35">
      <c r="A2574" s="4" t="s">
        <v>838</v>
      </c>
      <c r="B2574" s="4" t="s">
        <v>839</v>
      </c>
      <c r="C2574" s="4" t="s">
        <v>838</v>
      </c>
      <c r="D2574" s="4" t="s">
        <v>4679</v>
      </c>
      <c r="E2574" s="4" t="s">
        <v>4680</v>
      </c>
      <c r="F2574" s="4" t="s">
        <v>4679</v>
      </c>
    </row>
    <row r="2575" spans="1:6" ht="14.4" thickBot="1" x14ac:dyDescent="0.35">
      <c r="A2575" s="4" t="s">
        <v>838</v>
      </c>
      <c r="B2575" s="4" t="s">
        <v>839</v>
      </c>
      <c r="C2575" s="4" t="s">
        <v>838</v>
      </c>
      <c r="D2575" s="4" t="s">
        <v>6183</v>
      </c>
      <c r="E2575" s="4" t="s">
        <v>6184</v>
      </c>
      <c r="F2575" s="4" t="s">
        <v>6183</v>
      </c>
    </row>
    <row r="2576" spans="1:6" ht="14.4" thickBot="1" x14ac:dyDescent="0.35">
      <c r="A2576" s="4" t="s">
        <v>838</v>
      </c>
      <c r="B2576" s="4" t="s">
        <v>839</v>
      </c>
      <c r="C2576" s="4" t="s">
        <v>838</v>
      </c>
      <c r="D2576" s="4" t="s">
        <v>5387</v>
      </c>
      <c r="E2576" s="4" t="s">
        <v>5388</v>
      </c>
      <c r="F2576" s="4" t="s">
        <v>5387</v>
      </c>
    </row>
    <row r="2577" spans="1:6" ht="14.4" thickBot="1" x14ac:dyDescent="0.35">
      <c r="A2577" s="4" t="s">
        <v>838</v>
      </c>
      <c r="B2577" s="4" t="s">
        <v>839</v>
      </c>
      <c r="C2577" s="4" t="s">
        <v>838</v>
      </c>
      <c r="D2577" s="4" t="s">
        <v>2422</v>
      </c>
      <c r="E2577" s="4" t="s">
        <v>2423</v>
      </c>
      <c r="F2577" s="4" t="s">
        <v>2422</v>
      </c>
    </row>
    <row r="2578" spans="1:6" ht="14.4" thickBot="1" x14ac:dyDescent="0.35">
      <c r="A2578" s="4" t="s">
        <v>838</v>
      </c>
      <c r="B2578" s="4" t="s">
        <v>839</v>
      </c>
      <c r="C2578" s="4" t="s">
        <v>838</v>
      </c>
      <c r="D2578" s="4" t="s">
        <v>3262</v>
      </c>
      <c r="E2578" s="4" t="s">
        <v>3263</v>
      </c>
      <c r="F2578" s="4" t="s">
        <v>3262</v>
      </c>
    </row>
    <row r="2579" spans="1:6" ht="14.4" thickBot="1" x14ac:dyDescent="0.35">
      <c r="A2579" s="4" t="s">
        <v>838</v>
      </c>
      <c r="B2579" s="4" t="s">
        <v>839</v>
      </c>
      <c r="C2579" s="4" t="s">
        <v>838</v>
      </c>
      <c r="D2579" s="4" t="s">
        <v>3165</v>
      </c>
      <c r="E2579" s="4" t="s">
        <v>3166</v>
      </c>
      <c r="F2579" s="4" t="s">
        <v>3165</v>
      </c>
    </row>
    <row r="2580" spans="1:6" ht="14.4" thickBot="1" x14ac:dyDescent="0.35">
      <c r="A2580" s="4" t="s">
        <v>838</v>
      </c>
      <c r="B2580" s="4" t="s">
        <v>839</v>
      </c>
      <c r="C2580" s="4" t="s">
        <v>838</v>
      </c>
      <c r="D2580" s="4" t="s">
        <v>1722</v>
      </c>
      <c r="E2580" s="4" t="s">
        <v>1723</v>
      </c>
      <c r="F2580" s="4" t="s">
        <v>1722</v>
      </c>
    </row>
    <row r="2581" spans="1:6" ht="14.4" thickBot="1" x14ac:dyDescent="0.35">
      <c r="A2581" s="4" t="s">
        <v>838</v>
      </c>
      <c r="B2581" s="4" t="s">
        <v>839</v>
      </c>
      <c r="C2581" s="4" t="s">
        <v>838</v>
      </c>
      <c r="D2581" s="4" t="s">
        <v>4683</v>
      </c>
      <c r="E2581" s="4" t="s">
        <v>3981</v>
      </c>
      <c r="F2581" s="4" t="s">
        <v>4683</v>
      </c>
    </row>
    <row r="2582" spans="1:6" ht="14.4" thickBot="1" x14ac:dyDescent="0.35">
      <c r="A2582" s="4" t="s">
        <v>838</v>
      </c>
      <c r="B2582" s="4" t="s">
        <v>839</v>
      </c>
      <c r="C2582" s="4" t="s">
        <v>838</v>
      </c>
      <c r="D2582" s="4" t="s">
        <v>1728</v>
      </c>
      <c r="E2582" s="4" t="s">
        <v>1729</v>
      </c>
      <c r="F2582" s="4" t="s">
        <v>1728</v>
      </c>
    </row>
    <row r="2583" spans="1:6" ht="14.4" thickBot="1" x14ac:dyDescent="0.35">
      <c r="A2583" s="4" t="s">
        <v>838</v>
      </c>
      <c r="B2583" s="4" t="s">
        <v>839</v>
      </c>
      <c r="C2583" s="4" t="s">
        <v>838</v>
      </c>
      <c r="D2583" s="4" t="s">
        <v>4681</v>
      </c>
      <c r="E2583" s="4" t="s">
        <v>4682</v>
      </c>
      <c r="F2583" s="4" t="s">
        <v>4681</v>
      </c>
    </row>
    <row r="2584" spans="1:6" ht="14.4" thickBot="1" x14ac:dyDescent="0.35">
      <c r="A2584" s="4" t="s">
        <v>838</v>
      </c>
      <c r="B2584" s="4" t="s">
        <v>839</v>
      </c>
      <c r="C2584" s="4" t="s">
        <v>838</v>
      </c>
      <c r="D2584" s="4" t="s">
        <v>6081</v>
      </c>
      <c r="E2584" s="4" t="s">
        <v>6082</v>
      </c>
      <c r="F2584" s="4" t="s">
        <v>6081</v>
      </c>
    </row>
    <row r="2585" spans="1:6" ht="14.4" thickBot="1" x14ac:dyDescent="0.35">
      <c r="A2585" s="4" t="s">
        <v>838</v>
      </c>
      <c r="B2585" s="4" t="s">
        <v>839</v>
      </c>
      <c r="C2585" s="4" t="s">
        <v>838</v>
      </c>
      <c r="D2585" s="4" t="s">
        <v>4684</v>
      </c>
      <c r="E2585" s="4" t="s">
        <v>4685</v>
      </c>
      <c r="F2585" s="4" t="s">
        <v>4684</v>
      </c>
    </row>
    <row r="2586" spans="1:6" ht="14.4" thickBot="1" x14ac:dyDescent="0.35">
      <c r="A2586" s="4" t="s">
        <v>838</v>
      </c>
      <c r="B2586" s="4" t="s">
        <v>839</v>
      </c>
      <c r="C2586" s="4" t="s">
        <v>838</v>
      </c>
      <c r="D2586" s="4" t="s">
        <v>5385</v>
      </c>
      <c r="E2586" s="4" t="s">
        <v>5386</v>
      </c>
      <c r="F2586" s="4" t="s">
        <v>5385</v>
      </c>
    </row>
    <row r="2587" spans="1:6" ht="14.4" thickBot="1" x14ac:dyDescent="0.35">
      <c r="A2587" s="4" t="s">
        <v>838</v>
      </c>
      <c r="B2587" s="4" t="s">
        <v>839</v>
      </c>
      <c r="C2587" s="4" t="s">
        <v>838</v>
      </c>
      <c r="D2587" s="4" t="s">
        <v>3991</v>
      </c>
      <c r="E2587" s="4" t="s">
        <v>3992</v>
      </c>
      <c r="F2587" s="4" t="s">
        <v>3991</v>
      </c>
    </row>
    <row r="2588" spans="1:6" ht="14.4" thickBot="1" x14ac:dyDescent="0.35">
      <c r="A2588" s="4" t="s">
        <v>838</v>
      </c>
      <c r="B2588" s="4" t="s">
        <v>839</v>
      </c>
      <c r="C2588" s="4" t="s">
        <v>838</v>
      </c>
      <c r="D2588" s="4" t="s">
        <v>840</v>
      </c>
      <c r="E2588" s="4" t="s">
        <v>841</v>
      </c>
      <c r="F2588" s="4" t="s">
        <v>840</v>
      </c>
    </row>
    <row r="2589" spans="1:6" ht="14.4" thickBot="1" x14ac:dyDescent="0.35">
      <c r="A2589" s="4" t="s">
        <v>838</v>
      </c>
      <c r="B2589" s="4" t="s">
        <v>839</v>
      </c>
      <c r="C2589" s="4" t="s">
        <v>838</v>
      </c>
      <c r="D2589" s="4" t="s">
        <v>6077</v>
      </c>
      <c r="E2589" s="4" t="s">
        <v>6078</v>
      </c>
      <c r="F2589" s="4" t="s">
        <v>6077</v>
      </c>
    </row>
    <row r="2590" spans="1:6" ht="14.4" thickBot="1" x14ac:dyDescent="0.35">
      <c r="A2590" s="4" t="s">
        <v>838</v>
      </c>
      <c r="B2590" s="4" t="s">
        <v>839</v>
      </c>
      <c r="C2590" s="4" t="s">
        <v>838</v>
      </c>
      <c r="D2590" s="4" t="s">
        <v>844</v>
      </c>
      <c r="E2590" s="4" t="s">
        <v>845</v>
      </c>
      <c r="F2590" s="4" t="s">
        <v>844</v>
      </c>
    </row>
    <row r="2591" spans="1:6" ht="14.4" thickBot="1" x14ac:dyDescent="0.35">
      <c r="A2591" s="4" t="s">
        <v>838</v>
      </c>
      <c r="B2591" s="4" t="s">
        <v>839</v>
      </c>
      <c r="C2591" s="4" t="s">
        <v>838</v>
      </c>
      <c r="D2591" s="4" t="s">
        <v>6079</v>
      </c>
      <c r="E2591" s="4" t="s">
        <v>6080</v>
      </c>
      <c r="F2591" s="4" t="s">
        <v>6079</v>
      </c>
    </row>
    <row r="2592" spans="1:6" ht="14.4" thickBot="1" x14ac:dyDescent="0.35">
      <c r="A2592" s="4" t="s">
        <v>838</v>
      </c>
      <c r="B2592" s="4" t="s">
        <v>839</v>
      </c>
      <c r="C2592" s="4" t="s">
        <v>838</v>
      </c>
      <c r="D2592" s="4" t="s">
        <v>2420</v>
      </c>
      <c r="E2592" s="4" t="s">
        <v>2421</v>
      </c>
      <c r="F2592" s="4" t="s">
        <v>2420</v>
      </c>
    </row>
    <row r="2593" spans="1:6" ht="14.4" thickBot="1" x14ac:dyDescent="0.35">
      <c r="A2593" s="4" t="s">
        <v>838</v>
      </c>
      <c r="B2593" s="4" t="s">
        <v>839</v>
      </c>
      <c r="C2593" s="4" t="s">
        <v>838</v>
      </c>
      <c r="D2593" s="4" t="s">
        <v>5383</v>
      </c>
      <c r="E2593" s="4" t="s">
        <v>5384</v>
      </c>
      <c r="F2593" s="4" t="s">
        <v>5383</v>
      </c>
    </row>
    <row r="2594" spans="1:6" ht="14.4" thickBot="1" x14ac:dyDescent="0.35">
      <c r="A2594" s="4" t="s">
        <v>838</v>
      </c>
      <c r="B2594" s="4" t="s">
        <v>839</v>
      </c>
      <c r="C2594" s="4" t="s">
        <v>838</v>
      </c>
      <c r="D2594" s="4" t="s">
        <v>1720</v>
      </c>
      <c r="E2594" s="4" t="s">
        <v>1721</v>
      </c>
      <c r="F2594" s="4" t="s">
        <v>1720</v>
      </c>
    </row>
    <row r="2595" spans="1:6" ht="14.4" thickBot="1" x14ac:dyDescent="0.35">
      <c r="A2595" s="4" t="s">
        <v>838</v>
      </c>
      <c r="B2595" s="4" t="s">
        <v>839</v>
      </c>
      <c r="C2595" s="4" t="s">
        <v>838</v>
      </c>
      <c r="D2595" s="4" t="s">
        <v>1726</v>
      </c>
      <c r="E2595" s="4" t="s">
        <v>1727</v>
      </c>
      <c r="F2595" s="4" t="s">
        <v>1726</v>
      </c>
    </row>
    <row r="2596" spans="1:6" ht="14.4" thickBot="1" x14ac:dyDescent="0.35">
      <c r="A2596" s="4" t="s">
        <v>838</v>
      </c>
      <c r="B2596" s="4" t="s">
        <v>839</v>
      </c>
      <c r="C2596" s="4" t="s">
        <v>838</v>
      </c>
      <c r="D2596" s="4" t="s">
        <v>2418</v>
      </c>
      <c r="E2596" s="4" t="s">
        <v>2419</v>
      </c>
      <c r="F2596" s="4" t="s">
        <v>2418</v>
      </c>
    </row>
    <row r="2597" spans="1:6" ht="14.4" thickBot="1" x14ac:dyDescent="0.35">
      <c r="A2597" s="4" t="s">
        <v>102</v>
      </c>
      <c r="B2597" s="4" t="s">
        <v>103</v>
      </c>
      <c r="C2597" s="4" t="s">
        <v>102</v>
      </c>
      <c r="D2597" s="4" t="s">
        <v>1076</v>
      </c>
      <c r="E2597" s="4" t="s">
        <v>876</v>
      </c>
      <c r="F2597" s="4" t="s">
        <v>1076</v>
      </c>
    </row>
    <row r="2598" spans="1:6" ht="14.4" thickBot="1" x14ac:dyDescent="0.35">
      <c r="A2598" s="4" t="s">
        <v>102</v>
      </c>
      <c r="B2598" s="4" t="s">
        <v>103</v>
      </c>
      <c r="C2598" s="4" t="s">
        <v>102</v>
      </c>
      <c r="D2598" s="4" t="s">
        <v>104</v>
      </c>
      <c r="E2598" s="4" t="s">
        <v>105</v>
      </c>
      <c r="F2598" s="4" t="s">
        <v>104</v>
      </c>
    </row>
    <row r="2599" spans="1:6" ht="14.4" thickBot="1" x14ac:dyDescent="0.35">
      <c r="A2599" s="4" t="s">
        <v>102</v>
      </c>
      <c r="B2599" s="4" t="s">
        <v>103</v>
      </c>
      <c r="C2599" s="4" t="s">
        <v>102</v>
      </c>
      <c r="D2599" s="4" t="s">
        <v>4850</v>
      </c>
      <c r="E2599" s="4" t="s">
        <v>4851</v>
      </c>
      <c r="F2599" s="4" t="s">
        <v>4850</v>
      </c>
    </row>
    <row r="2600" spans="1:6" ht="14.4" thickBot="1" x14ac:dyDescent="0.35">
      <c r="A2600" s="4" t="s">
        <v>846</v>
      </c>
      <c r="B2600" s="4" t="s">
        <v>847</v>
      </c>
      <c r="C2600" s="4" t="s">
        <v>846</v>
      </c>
      <c r="D2600" s="4" t="s">
        <v>2503</v>
      </c>
      <c r="E2600" s="4" t="s">
        <v>2504</v>
      </c>
      <c r="F2600" s="4" t="s">
        <v>2503</v>
      </c>
    </row>
    <row r="2601" spans="1:6" ht="14.4" thickBot="1" x14ac:dyDescent="0.35">
      <c r="A2601" s="4" t="s">
        <v>846</v>
      </c>
      <c r="B2601" s="4" t="s">
        <v>847</v>
      </c>
      <c r="C2601" s="4" t="s">
        <v>846</v>
      </c>
      <c r="D2601" s="4" t="s">
        <v>848</v>
      </c>
      <c r="E2601" s="4" t="s">
        <v>849</v>
      </c>
      <c r="F2601" s="4" t="s">
        <v>848</v>
      </c>
    </row>
    <row r="2602" spans="1:6" ht="14.4" thickBot="1" x14ac:dyDescent="0.35">
      <c r="A2602" s="4" t="s">
        <v>846</v>
      </c>
      <c r="B2602" s="4" t="s">
        <v>847</v>
      </c>
      <c r="C2602" s="4" t="s">
        <v>846</v>
      </c>
      <c r="D2602" s="4" t="s">
        <v>1730</v>
      </c>
      <c r="E2602" s="4" t="s">
        <v>1731</v>
      </c>
      <c r="F2602" s="4" t="s">
        <v>1730</v>
      </c>
    </row>
    <row r="2603" spans="1:6" ht="14.4" thickBot="1" x14ac:dyDescent="0.35">
      <c r="A2603" s="4" t="s">
        <v>1078</v>
      </c>
      <c r="B2603" s="4" t="s">
        <v>1079</v>
      </c>
      <c r="C2603" s="4" t="s">
        <v>1078</v>
      </c>
      <c r="D2603" s="4" t="s">
        <v>2574</v>
      </c>
      <c r="E2603" s="4" t="s">
        <v>2575</v>
      </c>
      <c r="F2603" s="4" t="s">
        <v>2574</v>
      </c>
    </row>
    <row r="2604" spans="1:6" ht="14.4" thickBot="1" x14ac:dyDescent="0.35">
      <c r="A2604" s="4" t="s">
        <v>1078</v>
      </c>
      <c r="B2604" s="4" t="s">
        <v>1079</v>
      </c>
      <c r="C2604" s="4" t="s">
        <v>1078</v>
      </c>
      <c r="D2604" s="4" t="s">
        <v>2572</v>
      </c>
      <c r="E2604" s="4" t="s">
        <v>2573</v>
      </c>
      <c r="F2604" s="4" t="s">
        <v>2572</v>
      </c>
    </row>
    <row r="2605" spans="1:6" ht="14.4" thickBot="1" x14ac:dyDescent="0.35">
      <c r="A2605" s="4" t="s">
        <v>1078</v>
      </c>
      <c r="B2605" s="4" t="s">
        <v>1079</v>
      </c>
      <c r="C2605" s="4" t="s">
        <v>1078</v>
      </c>
      <c r="D2605" s="4" t="s">
        <v>1080</v>
      </c>
      <c r="E2605" s="4" t="s">
        <v>1081</v>
      </c>
      <c r="F2605" s="4" t="s">
        <v>1080</v>
      </c>
    </row>
    <row r="2606" spans="1:6" ht="14.4" thickBot="1" x14ac:dyDescent="0.35">
      <c r="A2606" s="4" t="s">
        <v>188</v>
      </c>
      <c r="B2606" s="4" t="s">
        <v>1916</v>
      </c>
      <c r="C2606" s="4" t="s">
        <v>188</v>
      </c>
      <c r="D2606" s="4" t="s">
        <v>3364</v>
      </c>
      <c r="E2606" s="4" t="s">
        <v>3365</v>
      </c>
      <c r="F2606" s="4" t="s">
        <v>3364</v>
      </c>
    </row>
    <row r="2607" spans="1:6" ht="14.4" thickBot="1" x14ac:dyDescent="0.35">
      <c r="A2607" s="4" t="s">
        <v>188</v>
      </c>
      <c r="B2607" s="4" t="s">
        <v>1916</v>
      </c>
      <c r="C2607" s="4" t="s">
        <v>188</v>
      </c>
      <c r="D2607" s="4" t="s">
        <v>5561</v>
      </c>
      <c r="E2607" s="4" t="s">
        <v>5562</v>
      </c>
      <c r="F2607" s="4" t="s">
        <v>5561</v>
      </c>
    </row>
    <row r="2608" spans="1:6" ht="14.4" thickBot="1" x14ac:dyDescent="0.35">
      <c r="A2608" s="4" t="s">
        <v>188</v>
      </c>
      <c r="B2608" s="4" t="s">
        <v>1916</v>
      </c>
      <c r="C2608" s="4" t="s">
        <v>188</v>
      </c>
      <c r="D2608" s="4" t="s">
        <v>3368</v>
      </c>
      <c r="E2608" s="4" t="s">
        <v>3369</v>
      </c>
      <c r="F2608" s="4" t="s">
        <v>3368</v>
      </c>
    </row>
    <row r="2609" spans="1:6" ht="14.4" thickBot="1" x14ac:dyDescent="0.35">
      <c r="A2609" s="4" t="s">
        <v>188</v>
      </c>
      <c r="B2609" s="4" t="s">
        <v>1916</v>
      </c>
      <c r="C2609" s="4" t="s">
        <v>188</v>
      </c>
      <c r="D2609" s="4" t="s">
        <v>4160</v>
      </c>
      <c r="E2609" s="4" t="s">
        <v>4161</v>
      </c>
      <c r="F2609" s="4" t="s">
        <v>4160</v>
      </c>
    </row>
    <row r="2610" spans="1:6" ht="14.4" thickBot="1" x14ac:dyDescent="0.35">
      <c r="A2610" s="4" t="s">
        <v>188</v>
      </c>
      <c r="B2610" s="4" t="s">
        <v>1916</v>
      </c>
      <c r="C2610" s="4" t="s">
        <v>188</v>
      </c>
      <c r="D2610" s="4" t="s">
        <v>1919</v>
      </c>
      <c r="E2610" s="4" t="s">
        <v>1920</v>
      </c>
      <c r="F2610" s="4" t="s">
        <v>1919</v>
      </c>
    </row>
    <row r="2611" spans="1:6" ht="14.4" thickBot="1" x14ac:dyDescent="0.35">
      <c r="A2611" s="4" t="s">
        <v>188</v>
      </c>
      <c r="B2611" s="4" t="s">
        <v>1916</v>
      </c>
      <c r="C2611" s="4" t="s">
        <v>188</v>
      </c>
      <c r="D2611" s="4" t="s">
        <v>3366</v>
      </c>
      <c r="E2611" s="4" t="s">
        <v>3367</v>
      </c>
      <c r="F2611" s="4" t="s">
        <v>3366</v>
      </c>
    </row>
    <row r="2612" spans="1:6" ht="14.4" thickBot="1" x14ac:dyDescent="0.35">
      <c r="A2612" s="4" t="s">
        <v>188</v>
      </c>
      <c r="B2612" s="4" t="s">
        <v>1916</v>
      </c>
      <c r="C2612" s="4" t="s">
        <v>188</v>
      </c>
      <c r="D2612" s="4" t="s">
        <v>1917</v>
      </c>
      <c r="E2612" s="4" t="s">
        <v>1918</v>
      </c>
      <c r="F2612" s="4" t="s">
        <v>1917</v>
      </c>
    </row>
    <row r="2613" spans="1:6" ht="14.4" thickBot="1" x14ac:dyDescent="0.35">
      <c r="A2613" s="4" t="s">
        <v>188</v>
      </c>
      <c r="B2613" s="4" t="s">
        <v>1916</v>
      </c>
      <c r="C2613" s="4" t="s">
        <v>188</v>
      </c>
      <c r="D2613" s="4" t="s">
        <v>1921</v>
      </c>
      <c r="E2613" s="4" t="s">
        <v>1922</v>
      </c>
      <c r="F2613" s="4" t="s">
        <v>1921</v>
      </c>
    </row>
    <row r="2614" spans="1:6" ht="14.4" thickBot="1" x14ac:dyDescent="0.35">
      <c r="A2614" s="4" t="s">
        <v>1082</v>
      </c>
      <c r="B2614" s="4" t="s">
        <v>1083</v>
      </c>
      <c r="C2614" s="4" t="s">
        <v>1082</v>
      </c>
      <c r="D2614" s="4" t="s">
        <v>5563</v>
      </c>
      <c r="E2614" s="4" t="s">
        <v>5564</v>
      </c>
      <c r="F2614" s="4" t="s">
        <v>5563</v>
      </c>
    </row>
    <row r="2615" spans="1:6" ht="14.4" thickBot="1" x14ac:dyDescent="0.35">
      <c r="A2615" s="4" t="s">
        <v>1082</v>
      </c>
      <c r="B2615" s="4" t="s">
        <v>1083</v>
      </c>
      <c r="C2615" s="4" t="s">
        <v>1082</v>
      </c>
      <c r="D2615" s="4" t="s">
        <v>5565</v>
      </c>
      <c r="E2615" s="4" t="s">
        <v>5566</v>
      </c>
      <c r="F2615" s="4" t="s">
        <v>5565</v>
      </c>
    </row>
    <row r="2616" spans="1:6" ht="14.4" thickBot="1" x14ac:dyDescent="0.35">
      <c r="A2616" s="4" t="s">
        <v>1082</v>
      </c>
      <c r="B2616" s="4" t="s">
        <v>1083</v>
      </c>
      <c r="C2616" s="4" t="s">
        <v>1082</v>
      </c>
      <c r="D2616" s="4" t="s">
        <v>1084</v>
      </c>
      <c r="E2616" s="4" t="s">
        <v>1085</v>
      </c>
      <c r="F2616" s="4" t="s">
        <v>1084</v>
      </c>
    </row>
    <row r="2617" spans="1:6" ht="14.4" thickBot="1" x14ac:dyDescent="0.35">
      <c r="A2617" s="4" t="s">
        <v>1082</v>
      </c>
      <c r="B2617" s="4" t="s">
        <v>1083</v>
      </c>
      <c r="C2617" s="4" t="s">
        <v>1082</v>
      </c>
      <c r="D2617" s="4" t="s">
        <v>2576</v>
      </c>
      <c r="E2617" s="4" t="s">
        <v>2577</v>
      </c>
      <c r="F2617" s="4" t="s">
        <v>2576</v>
      </c>
    </row>
    <row r="2618" spans="1:6" ht="14.4" thickBot="1" x14ac:dyDescent="0.35">
      <c r="A2618" s="4" t="s">
        <v>1040</v>
      </c>
      <c r="B2618" s="4" t="s">
        <v>1041</v>
      </c>
      <c r="C2618" s="4" t="s">
        <v>1040</v>
      </c>
      <c r="D2618" s="4" t="s">
        <v>3325</v>
      </c>
      <c r="E2618" s="4" t="s">
        <v>3326</v>
      </c>
      <c r="F2618" s="4" t="s">
        <v>3325</v>
      </c>
    </row>
    <row r="2619" spans="1:6" ht="14.4" thickBot="1" x14ac:dyDescent="0.35">
      <c r="A2619" s="4" t="s">
        <v>1040</v>
      </c>
      <c r="B2619" s="4" t="s">
        <v>1041</v>
      </c>
      <c r="C2619" s="4" t="s">
        <v>1040</v>
      </c>
      <c r="D2619" s="4" t="s">
        <v>2550</v>
      </c>
      <c r="E2619" s="4" t="s">
        <v>2551</v>
      </c>
      <c r="F2619" s="4" t="s">
        <v>2550</v>
      </c>
    </row>
    <row r="2620" spans="1:6" ht="14.4" thickBot="1" x14ac:dyDescent="0.35">
      <c r="A2620" s="4" t="s">
        <v>1040</v>
      </c>
      <c r="B2620" s="4" t="s">
        <v>1041</v>
      </c>
      <c r="C2620" s="4" t="s">
        <v>1040</v>
      </c>
      <c r="D2620" s="4" t="s">
        <v>1042</v>
      </c>
      <c r="E2620" s="4" t="s">
        <v>1043</v>
      </c>
      <c r="F2620" s="4" t="s">
        <v>1042</v>
      </c>
    </row>
    <row r="2621" spans="1:6" ht="14.4" thickBot="1" x14ac:dyDescent="0.35">
      <c r="A2621" s="4" t="s">
        <v>40</v>
      </c>
      <c r="B2621" s="4" t="s">
        <v>41</v>
      </c>
      <c r="C2621" s="4" t="s">
        <v>40</v>
      </c>
      <c r="D2621" s="4" t="s">
        <v>2552</v>
      </c>
      <c r="E2621" s="4" t="s">
        <v>2553</v>
      </c>
      <c r="F2621" s="4" t="s">
        <v>2552</v>
      </c>
    </row>
    <row r="2622" spans="1:6" ht="14.4" thickBot="1" x14ac:dyDescent="0.35">
      <c r="A2622" s="4" t="s">
        <v>40</v>
      </c>
      <c r="B2622" s="4" t="s">
        <v>41</v>
      </c>
      <c r="C2622" s="4" t="s">
        <v>40</v>
      </c>
      <c r="D2622" s="4" t="s">
        <v>3327</v>
      </c>
      <c r="E2622" s="4" t="s">
        <v>3328</v>
      </c>
      <c r="F2622" s="4" t="s">
        <v>3327</v>
      </c>
    </row>
    <row r="2623" spans="1:6" ht="14.4" thickBot="1" x14ac:dyDescent="0.35">
      <c r="A2623" s="4" t="s">
        <v>40</v>
      </c>
      <c r="B2623" s="4" t="s">
        <v>41</v>
      </c>
      <c r="C2623" s="4" t="s">
        <v>40</v>
      </c>
      <c r="D2623" s="4" t="s">
        <v>4137</v>
      </c>
      <c r="E2623" s="4" t="s">
        <v>4138</v>
      </c>
      <c r="F2623" s="4" t="s">
        <v>4137</v>
      </c>
    </row>
    <row r="2624" spans="1:6" ht="14.4" thickBot="1" x14ac:dyDescent="0.35">
      <c r="A2624" s="4" t="s">
        <v>40</v>
      </c>
      <c r="B2624" s="4" t="s">
        <v>41</v>
      </c>
      <c r="C2624" s="4" t="s">
        <v>40</v>
      </c>
      <c r="D2624" s="4" t="s">
        <v>2554</v>
      </c>
      <c r="E2624" s="4" t="s">
        <v>2555</v>
      </c>
      <c r="F2624" s="4" t="s">
        <v>2554</v>
      </c>
    </row>
    <row r="2625" spans="1:6" ht="14.4" thickBot="1" x14ac:dyDescent="0.35">
      <c r="A2625" s="4" t="s">
        <v>40</v>
      </c>
      <c r="B2625" s="4" t="s">
        <v>41</v>
      </c>
      <c r="C2625" s="4" t="s">
        <v>40</v>
      </c>
      <c r="D2625" s="4" t="s">
        <v>1046</v>
      </c>
      <c r="E2625" s="4" t="s">
        <v>1047</v>
      </c>
      <c r="F2625" s="4" t="s">
        <v>1046</v>
      </c>
    </row>
    <row r="2626" spans="1:6" ht="14.4" thickBot="1" x14ac:dyDescent="0.35">
      <c r="A2626" s="4" t="s">
        <v>40</v>
      </c>
      <c r="B2626" s="4" t="s">
        <v>41</v>
      </c>
      <c r="C2626" s="4" t="s">
        <v>40</v>
      </c>
      <c r="D2626" s="4" t="s">
        <v>5537</v>
      </c>
      <c r="E2626" s="4" t="s">
        <v>5538</v>
      </c>
      <c r="F2626" s="4" t="s">
        <v>5537</v>
      </c>
    </row>
    <row r="2627" spans="1:6" ht="14.4" thickBot="1" x14ac:dyDescent="0.35">
      <c r="A2627" s="4" t="s">
        <v>40</v>
      </c>
      <c r="B2627" s="4" t="s">
        <v>41</v>
      </c>
      <c r="C2627" s="4" t="s">
        <v>40</v>
      </c>
      <c r="D2627" s="4" t="s">
        <v>3331</v>
      </c>
      <c r="E2627" s="4" t="s">
        <v>3332</v>
      </c>
      <c r="F2627" s="4" t="s">
        <v>3331</v>
      </c>
    </row>
    <row r="2628" spans="1:6" ht="14.4" thickBot="1" x14ac:dyDescent="0.35">
      <c r="A2628" s="4" t="s">
        <v>40</v>
      </c>
      <c r="B2628" s="4" t="s">
        <v>41</v>
      </c>
      <c r="C2628" s="4" t="s">
        <v>40</v>
      </c>
      <c r="D2628" s="4" t="s">
        <v>43</v>
      </c>
      <c r="E2628" s="4" t="s">
        <v>44</v>
      </c>
      <c r="F2628" s="4" t="s">
        <v>43</v>
      </c>
    </row>
    <row r="2629" spans="1:6" ht="14.4" thickBot="1" x14ac:dyDescent="0.35">
      <c r="A2629" s="4" t="s">
        <v>40</v>
      </c>
      <c r="B2629" s="4" t="s">
        <v>41</v>
      </c>
      <c r="C2629" s="4" t="s">
        <v>40</v>
      </c>
      <c r="D2629" s="4" t="s">
        <v>1044</v>
      </c>
      <c r="E2629" s="4" t="s">
        <v>1045</v>
      </c>
      <c r="F2629" s="4" t="s">
        <v>1044</v>
      </c>
    </row>
    <row r="2630" spans="1:6" ht="14.4" thickBot="1" x14ac:dyDescent="0.35">
      <c r="A2630" s="4" t="s">
        <v>40</v>
      </c>
      <c r="B2630" s="4" t="s">
        <v>41</v>
      </c>
      <c r="C2630" s="4" t="s">
        <v>40</v>
      </c>
      <c r="D2630" s="4" t="s">
        <v>4135</v>
      </c>
      <c r="E2630" s="4" t="s">
        <v>4136</v>
      </c>
      <c r="F2630" s="4" t="s">
        <v>4135</v>
      </c>
    </row>
    <row r="2631" spans="1:6" ht="14.4" thickBot="1" x14ac:dyDescent="0.35">
      <c r="A2631" s="4" t="s">
        <v>40</v>
      </c>
      <c r="B2631" s="4" t="s">
        <v>41</v>
      </c>
      <c r="C2631" s="4" t="s">
        <v>40</v>
      </c>
      <c r="D2631" s="4" t="s">
        <v>4141</v>
      </c>
      <c r="E2631" s="4" t="s">
        <v>4142</v>
      </c>
      <c r="F2631" s="4" t="s">
        <v>4141</v>
      </c>
    </row>
    <row r="2632" spans="1:6" ht="14.4" thickBot="1" x14ac:dyDescent="0.35">
      <c r="A2632" s="4" t="s">
        <v>40</v>
      </c>
      <c r="B2632" s="4" t="s">
        <v>41</v>
      </c>
      <c r="C2632" s="4" t="s">
        <v>40</v>
      </c>
      <c r="D2632" s="4" t="s">
        <v>4139</v>
      </c>
      <c r="E2632" s="4" t="s">
        <v>4140</v>
      </c>
      <c r="F2632" s="4" t="s">
        <v>4139</v>
      </c>
    </row>
    <row r="2633" spans="1:6" ht="14.4" thickBot="1" x14ac:dyDescent="0.35">
      <c r="A2633" s="4" t="s">
        <v>40</v>
      </c>
      <c r="B2633" s="4" t="s">
        <v>41</v>
      </c>
      <c r="C2633" s="4" t="s">
        <v>40</v>
      </c>
      <c r="D2633" s="4" t="s">
        <v>4818</v>
      </c>
      <c r="E2633" s="4" t="s">
        <v>4819</v>
      </c>
      <c r="F2633" s="4" t="s">
        <v>4818</v>
      </c>
    </row>
    <row r="2634" spans="1:6" ht="14.4" thickBot="1" x14ac:dyDescent="0.35">
      <c r="A2634" s="4" t="s">
        <v>40</v>
      </c>
      <c r="B2634" s="4" t="s">
        <v>41</v>
      </c>
      <c r="C2634" s="4" t="s">
        <v>40</v>
      </c>
      <c r="D2634" s="4" t="s">
        <v>4820</v>
      </c>
      <c r="E2634" s="4" t="s">
        <v>4821</v>
      </c>
      <c r="F2634" s="4" t="s">
        <v>4820</v>
      </c>
    </row>
    <row r="2635" spans="1:6" ht="14.4" thickBot="1" x14ac:dyDescent="0.35">
      <c r="A2635" s="4" t="s">
        <v>40</v>
      </c>
      <c r="B2635" s="4" t="s">
        <v>41</v>
      </c>
      <c r="C2635" s="4" t="s">
        <v>40</v>
      </c>
      <c r="D2635" s="4" t="s">
        <v>3329</v>
      </c>
      <c r="E2635" s="4" t="s">
        <v>3330</v>
      </c>
      <c r="F2635" s="4" t="s">
        <v>3329</v>
      </c>
    </row>
    <row r="2636" spans="1:6" ht="14.4" thickBot="1" x14ac:dyDescent="0.35">
      <c r="A2636" s="4" t="s">
        <v>3333</v>
      </c>
      <c r="B2636" s="4" t="s">
        <v>3334</v>
      </c>
      <c r="C2636" s="4" t="s">
        <v>3333</v>
      </c>
      <c r="D2636" s="4" t="s">
        <v>3335</v>
      </c>
      <c r="E2636" s="4" t="s">
        <v>3336</v>
      </c>
      <c r="F2636" s="4" t="s">
        <v>3335</v>
      </c>
    </row>
    <row r="2637" spans="1:6" ht="14.4" thickBot="1" x14ac:dyDescent="0.35">
      <c r="A2637" s="4" t="s">
        <v>3333</v>
      </c>
      <c r="B2637" s="4" t="s">
        <v>3334</v>
      </c>
      <c r="C2637" s="4" t="s">
        <v>3333</v>
      </c>
      <c r="D2637" s="4" t="s">
        <v>4826</v>
      </c>
      <c r="E2637" s="4" t="s">
        <v>4827</v>
      </c>
      <c r="F2637" s="4" t="s">
        <v>4826</v>
      </c>
    </row>
    <row r="2638" spans="1:6" ht="14.4" thickBot="1" x14ac:dyDescent="0.35">
      <c r="A2638" s="4" t="s">
        <v>3333</v>
      </c>
      <c r="B2638" s="4" t="s">
        <v>3334</v>
      </c>
      <c r="C2638" s="4" t="s">
        <v>3333</v>
      </c>
      <c r="D2638" s="4" t="s">
        <v>4824</v>
      </c>
      <c r="E2638" s="4" t="s">
        <v>4825</v>
      </c>
      <c r="F2638" s="4" t="s">
        <v>4824</v>
      </c>
    </row>
    <row r="2639" spans="1:6" ht="14.4" thickBot="1" x14ac:dyDescent="0.35">
      <c r="A2639" s="4" t="s">
        <v>3333</v>
      </c>
      <c r="B2639" s="4" t="s">
        <v>3334</v>
      </c>
      <c r="C2639" s="4" t="s">
        <v>3333</v>
      </c>
      <c r="D2639" s="4" t="s">
        <v>4822</v>
      </c>
      <c r="E2639" s="4" t="s">
        <v>4823</v>
      </c>
      <c r="F2639" s="4" t="s">
        <v>4822</v>
      </c>
    </row>
    <row r="2640" spans="1:6" ht="14.4" thickBot="1" x14ac:dyDescent="0.35">
      <c r="A2640" s="4" t="s">
        <v>46</v>
      </c>
      <c r="B2640" s="4" t="s">
        <v>47</v>
      </c>
      <c r="C2640" s="4" t="s">
        <v>46</v>
      </c>
      <c r="D2640" s="4" t="s">
        <v>1900</v>
      </c>
      <c r="E2640" s="4" t="s">
        <v>1901</v>
      </c>
      <c r="F2640" s="4" t="s">
        <v>1900</v>
      </c>
    </row>
    <row r="2641" spans="1:6" ht="14.4" thickBot="1" x14ac:dyDescent="0.35">
      <c r="A2641" s="4" t="s">
        <v>46</v>
      </c>
      <c r="B2641" s="4" t="s">
        <v>47</v>
      </c>
      <c r="C2641" s="4" t="s">
        <v>46</v>
      </c>
      <c r="D2641" s="4" t="s">
        <v>49</v>
      </c>
      <c r="E2641" s="4" t="s">
        <v>50</v>
      </c>
      <c r="F2641" s="4" t="s">
        <v>49</v>
      </c>
    </row>
    <row r="2642" spans="1:6" ht="14.4" thickBot="1" x14ac:dyDescent="0.35">
      <c r="A2642" s="4" t="s">
        <v>1048</v>
      </c>
      <c r="B2642" s="4" t="s">
        <v>1049</v>
      </c>
      <c r="C2642" s="4" t="s">
        <v>1048</v>
      </c>
      <c r="D2642" s="4" t="s">
        <v>4828</v>
      </c>
      <c r="E2642" s="4" t="s">
        <v>4829</v>
      </c>
      <c r="F2642" s="4" t="s">
        <v>4828</v>
      </c>
    </row>
    <row r="2643" spans="1:6" ht="14.4" thickBot="1" x14ac:dyDescent="0.35">
      <c r="A2643" s="4" t="s">
        <v>1048</v>
      </c>
      <c r="B2643" s="4" t="s">
        <v>1049</v>
      </c>
      <c r="C2643" s="4" t="s">
        <v>1048</v>
      </c>
      <c r="D2643" s="4" t="s">
        <v>1902</v>
      </c>
      <c r="E2643" s="4" t="s">
        <v>1903</v>
      </c>
      <c r="F2643" s="4" t="s">
        <v>1902</v>
      </c>
    </row>
    <row r="2644" spans="1:6" ht="14.4" thickBot="1" x14ac:dyDescent="0.35">
      <c r="A2644" s="4" t="s">
        <v>1048</v>
      </c>
      <c r="B2644" s="4" t="s">
        <v>1049</v>
      </c>
      <c r="C2644" s="4" t="s">
        <v>1048</v>
      </c>
      <c r="D2644" s="4" t="s">
        <v>1050</v>
      </c>
      <c r="E2644" s="4" t="s">
        <v>1051</v>
      </c>
      <c r="F2644" s="4" t="s">
        <v>1050</v>
      </c>
    </row>
    <row r="2645" spans="1:6" ht="14.4" thickBot="1" x14ac:dyDescent="0.35">
      <c r="A2645" s="4" t="s">
        <v>1732</v>
      </c>
      <c r="B2645" s="4" t="s">
        <v>1733</v>
      </c>
      <c r="C2645" s="4" t="s">
        <v>1732</v>
      </c>
      <c r="D2645" s="4" t="s">
        <v>1734</v>
      </c>
      <c r="E2645" s="4" t="s">
        <v>1735</v>
      </c>
      <c r="F2645" s="4" t="s">
        <v>1734</v>
      </c>
    </row>
    <row r="2646" spans="1:6" ht="14.4" thickBot="1" x14ac:dyDescent="0.35">
      <c r="A2646" s="4" t="s">
        <v>1732</v>
      </c>
      <c r="B2646" s="4" t="s">
        <v>1733</v>
      </c>
      <c r="C2646" s="4" t="s">
        <v>1732</v>
      </c>
      <c r="D2646" s="4" t="s">
        <v>4688</v>
      </c>
      <c r="E2646" s="4" t="s">
        <v>4689</v>
      </c>
      <c r="F2646" s="4" t="s">
        <v>4688</v>
      </c>
    </row>
    <row r="2647" spans="1:6" ht="14.4" thickBot="1" x14ac:dyDescent="0.35">
      <c r="A2647" s="4" t="s">
        <v>1732</v>
      </c>
      <c r="B2647" s="4" t="s">
        <v>1733</v>
      </c>
      <c r="C2647" s="4" t="s">
        <v>1732</v>
      </c>
      <c r="D2647" s="4" t="s">
        <v>3994</v>
      </c>
      <c r="E2647" s="4" t="s">
        <v>3995</v>
      </c>
      <c r="F2647" s="4" t="s">
        <v>3994</v>
      </c>
    </row>
    <row r="2648" spans="1:6" ht="14.4" thickBot="1" x14ac:dyDescent="0.35">
      <c r="A2648" s="4" t="s">
        <v>1732</v>
      </c>
      <c r="B2648" s="4" t="s">
        <v>1733</v>
      </c>
      <c r="C2648" s="4" t="s">
        <v>1732</v>
      </c>
      <c r="D2648" s="4" t="s">
        <v>1736</v>
      </c>
      <c r="E2648" s="4" t="s">
        <v>1737</v>
      </c>
      <c r="F2648" s="4" t="s">
        <v>1736</v>
      </c>
    </row>
    <row r="2649" spans="1:6" ht="14.4" thickBot="1" x14ac:dyDescent="0.35">
      <c r="A2649" s="4" t="s">
        <v>1732</v>
      </c>
      <c r="B2649" s="4" t="s">
        <v>1733</v>
      </c>
      <c r="C2649" s="4" t="s">
        <v>1732</v>
      </c>
      <c r="D2649" s="4" t="s">
        <v>252</v>
      </c>
      <c r="E2649" s="4" t="s">
        <v>3993</v>
      </c>
      <c r="F2649" s="4" t="s">
        <v>252</v>
      </c>
    </row>
    <row r="2650" spans="1:6" ht="14.4" thickBot="1" x14ac:dyDescent="0.35">
      <c r="A2650" s="4" t="s">
        <v>1732</v>
      </c>
      <c r="B2650" s="4" t="s">
        <v>1733</v>
      </c>
      <c r="C2650" s="4" t="s">
        <v>1732</v>
      </c>
      <c r="D2650" s="4" t="s">
        <v>3264</v>
      </c>
      <c r="E2650" s="4" t="s">
        <v>3265</v>
      </c>
      <c r="F2650" s="4" t="s">
        <v>3264</v>
      </c>
    </row>
    <row r="2651" spans="1:6" ht="14.4" thickBot="1" x14ac:dyDescent="0.35">
      <c r="A2651" s="4" t="s">
        <v>1732</v>
      </c>
      <c r="B2651" s="4" t="s">
        <v>1733</v>
      </c>
      <c r="C2651" s="4" t="s">
        <v>1732</v>
      </c>
      <c r="D2651" s="4" t="s">
        <v>4779</v>
      </c>
      <c r="E2651" s="4" t="s">
        <v>4780</v>
      </c>
      <c r="F2651" s="4" t="s">
        <v>4779</v>
      </c>
    </row>
    <row r="2652" spans="1:6" ht="14.4" thickBot="1" x14ac:dyDescent="0.35">
      <c r="A2652" s="4" t="s">
        <v>1732</v>
      </c>
      <c r="B2652" s="4" t="s">
        <v>1733</v>
      </c>
      <c r="C2652" s="4" t="s">
        <v>1732</v>
      </c>
      <c r="D2652" s="4" t="s">
        <v>5474</v>
      </c>
      <c r="E2652" s="4" t="s">
        <v>5475</v>
      </c>
      <c r="F2652" s="4" t="s">
        <v>5474</v>
      </c>
    </row>
    <row r="2653" spans="1:6" ht="14.4" thickBot="1" x14ac:dyDescent="0.35">
      <c r="A2653" s="4" t="s">
        <v>52</v>
      </c>
      <c r="B2653" s="4" t="s">
        <v>53</v>
      </c>
      <c r="C2653" s="4" t="s">
        <v>52</v>
      </c>
      <c r="D2653" s="4" t="s">
        <v>1904</v>
      </c>
      <c r="E2653" s="4" t="s">
        <v>1905</v>
      </c>
      <c r="F2653" s="4" t="s">
        <v>1904</v>
      </c>
    </row>
    <row r="2654" spans="1:6" ht="14.4" thickBot="1" x14ac:dyDescent="0.35">
      <c r="A2654" s="4" t="s">
        <v>52</v>
      </c>
      <c r="B2654" s="4" t="s">
        <v>53</v>
      </c>
      <c r="C2654" s="4" t="s">
        <v>52</v>
      </c>
      <c r="D2654" s="4" t="s">
        <v>54</v>
      </c>
      <c r="E2654" s="4" t="s">
        <v>55</v>
      </c>
      <c r="F2654" s="4" t="s">
        <v>54</v>
      </c>
    </row>
    <row r="2655" spans="1:6" ht="14.4" thickBot="1" x14ac:dyDescent="0.35">
      <c r="A2655" s="4" t="s">
        <v>52</v>
      </c>
      <c r="B2655" s="4" t="s">
        <v>53</v>
      </c>
      <c r="C2655" s="4" t="s">
        <v>52</v>
      </c>
      <c r="D2655" s="4" t="s">
        <v>3337</v>
      </c>
      <c r="E2655" s="4" t="s">
        <v>3338</v>
      </c>
      <c r="F2655" s="4" t="s">
        <v>3337</v>
      </c>
    </row>
    <row r="2656" spans="1:6" ht="14.4" thickBot="1" x14ac:dyDescent="0.35">
      <c r="A2656" s="4" t="s">
        <v>52</v>
      </c>
      <c r="B2656" s="4" t="s">
        <v>53</v>
      </c>
      <c r="C2656" s="4" t="s">
        <v>52</v>
      </c>
      <c r="D2656" s="4" t="s">
        <v>4143</v>
      </c>
      <c r="E2656" s="4" t="s">
        <v>4144</v>
      </c>
      <c r="F2656" s="4" t="s">
        <v>4143</v>
      </c>
    </row>
    <row r="2657" spans="1:6" ht="14.4" thickBot="1" x14ac:dyDescent="0.35">
      <c r="A2657" s="4" t="s">
        <v>57</v>
      </c>
      <c r="B2657" s="4" t="s">
        <v>58</v>
      </c>
      <c r="C2657" s="4" t="s">
        <v>57</v>
      </c>
      <c r="D2657" s="4" t="s">
        <v>62</v>
      </c>
      <c r="E2657" s="4" t="s">
        <v>63</v>
      </c>
      <c r="F2657" s="4" t="s">
        <v>62</v>
      </c>
    </row>
    <row r="2658" spans="1:6" ht="14.4" thickBot="1" x14ac:dyDescent="0.35">
      <c r="A2658" s="4" t="s">
        <v>57</v>
      </c>
      <c r="B2658" s="4" t="s">
        <v>58</v>
      </c>
      <c r="C2658" s="4" t="s">
        <v>57</v>
      </c>
      <c r="D2658" s="4" t="s">
        <v>2556</v>
      </c>
      <c r="E2658" s="4" t="s">
        <v>2557</v>
      </c>
      <c r="F2658" s="4" t="s">
        <v>2556</v>
      </c>
    </row>
    <row r="2659" spans="1:6" ht="14.4" thickBot="1" x14ac:dyDescent="0.35">
      <c r="A2659" s="4" t="s">
        <v>57</v>
      </c>
      <c r="B2659" s="4" t="s">
        <v>58</v>
      </c>
      <c r="C2659" s="4" t="s">
        <v>57</v>
      </c>
      <c r="D2659" s="4" t="s">
        <v>3339</v>
      </c>
      <c r="E2659" s="4" t="s">
        <v>3340</v>
      </c>
      <c r="F2659" s="4" t="s">
        <v>3339</v>
      </c>
    </row>
    <row r="2660" spans="1:6" ht="14.4" thickBot="1" x14ac:dyDescent="0.35">
      <c r="A2660" s="4" t="s">
        <v>57</v>
      </c>
      <c r="B2660" s="4" t="s">
        <v>58</v>
      </c>
      <c r="C2660" s="4" t="s">
        <v>57</v>
      </c>
      <c r="D2660" s="4" t="s">
        <v>5539</v>
      </c>
      <c r="E2660" s="4" t="s">
        <v>5540</v>
      </c>
      <c r="F2660" s="4" t="s">
        <v>5539</v>
      </c>
    </row>
    <row r="2661" spans="1:6" ht="14.4" thickBot="1" x14ac:dyDescent="0.35">
      <c r="A2661" s="4" t="s">
        <v>57</v>
      </c>
      <c r="B2661" s="4" t="s">
        <v>58</v>
      </c>
      <c r="C2661" s="4" t="s">
        <v>57</v>
      </c>
      <c r="D2661" s="4" t="s">
        <v>4147</v>
      </c>
      <c r="E2661" s="4" t="s">
        <v>4148</v>
      </c>
      <c r="F2661" s="4" t="s">
        <v>4147</v>
      </c>
    </row>
    <row r="2662" spans="1:6" ht="14.4" thickBot="1" x14ac:dyDescent="0.35">
      <c r="A2662" s="4" t="s">
        <v>57</v>
      </c>
      <c r="B2662" s="4" t="s">
        <v>58</v>
      </c>
      <c r="C2662" s="4" t="s">
        <v>57</v>
      </c>
      <c r="D2662" s="4" t="s">
        <v>5541</v>
      </c>
      <c r="E2662" s="4" t="s">
        <v>5542</v>
      </c>
      <c r="F2662" s="4" t="s">
        <v>5541</v>
      </c>
    </row>
    <row r="2663" spans="1:6" ht="14.4" thickBot="1" x14ac:dyDescent="0.35">
      <c r="A2663" s="4" t="s">
        <v>57</v>
      </c>
      <c r="B2663" s="4" t="s">
        <v>58</v>
      </c>
      <c r="C2663" s="4" t="s">
        <v>57</v>
      </c>
      <c r="D2663" s="4" t="s">
        <v>5543</v>
      </c>
      <c r="E2663" s="4" t="s">
        <v>5544</v>
      </c>
      <c r="F2663" s="4" t="s">
        <v>5543</v>
      </c>
    </row>
    <row r="2664" spans="1:6" ht="14.4" thickBot="1" x14ac:dyDescent="0.35">
      <c r="A2664" s="4" t="s">
        <v>57</v>
      </c>
      <c r="B2664" s="4" t="s">
        <v>58</v>
      </c>
      <c r="C2664" s="4" t="s">
        <v>57</v>
      </c>
      <c r="D2664" s="4" t="s">
        <v>4145</v>
      </c>
      <c r="E2664" s="4" t="s">
        <v>4146</v>
      </c>
      <c r="F2664" s="4" t="s">
        <v>4145</v>
      </c>
    </row>
    <row r="2665" spans="1:6" ht="14.4" thickBot="1" x14ac:dyDescent="0.35">
      <c r="A2665" s="4" t="s">
        <v>57</v>
      </c>
      <c r="B2665" s="4" t="s">
        <v>58</v>
      </c>
      <c r="C2665" s="4" t="s">
        <v>57</v>
      </c>
      <c r="D2665" s="4" t="s">
        <v>59</v>
      </c>
      <c r="E2665" s="4" t="s">
        <v>60</v>
      </c>
      <c r="F2665" s="4" t="s">
        <v>59</v>
      </c>
    </row>
    <row r="2666" spans="1:6" ht="14.4" thickBot="1" x14ac:dyDescent="0.35">
      <c r="A2666" s="4" t="s">
        <v>850</v>
      </c>
      <c r="B2666" s="4" t="s">
        <v>851</v>
      </c>
      <c r="C2666" s="4" t="s">
        <v>850</v>
      </c>
      <c r="D2666" s="4" t="s">
        <v>2505</v>
      </c>
      <c r="E2666" s="4" t="s">
        <v>2506</v>
      </c>
      <c r="F2666" s="4" t="s">
        <v>2505</v>
      </c>
    </row>
    <row r="2667" spans="1:6" ht="14.4" thickBot="1" x14ac:dyDescent="0.35">
      <c r="A2667" s="4" t="s">
        <v>850</v>
      </c>
      <c r="B2667" s="4" t="s">
        <v>851</v>
      </c>
      <c r="C2667" s="4" t="s">
        <v>850</v>
      </c>
      <c r="D2667" s="4" t="s">
        <v>852</v>
      </c>
      <c r="E2667" s="4" t="s">
        <v>853</v>
      </c>
      <c r="F2667" s="4" t="s">
        <v>852</v>
      </c>
    </row>
    <row r="2668" spans="1:6" ht="14.4" thickBot="1" x14ac:dyDescent="0.35">
      <c r="A2668" s="4" t="s">
        <v>2558</v>
      </c>
      <c r="B2668" s="4" t="s">
        <v>2559</v>
      </c>
      <c r="C2668" s="4" t="s">
        <v>2558</v>
      </c>
      <c r="D2668" s="4" t="s">
        <v>2560</v>
      </c>
      <c r="E2668" s="4" t="s">
        <v>2561</v>
      </c>
      <c r="F2668" s="4" t="s">
        <v>2560</v>
      </c>
    </row>
    <row r="2669" spans="1:6" ht="14.4" thickBot="1" x14ac:dyDescent="0.35">
      <c r="A2669" s="4" t="s">
        <v>2558</v>
      </c>
      <c r="B2669" s="4" t="s">
        <v>2559</v>
      </c>
      <c r="C2669" s="4" t="s">
        <v>2558</v>
      </c>
      <c r="D2669" s="4" t="s">
        <v>3341</v>
      </c>
      <c r="E2669" s="4" t="s">
        <v>3342</v>
      </c>
      <c r="F2669" s="4" t="s">
        <v>3341</v>
      </c>
    </row>
    <row r="2670" spans="1:6" ht="14.4" thickBot="1" x14ac:dyDescent="0.35">
      <c r="A2670" s="4" t="s">
        <v>2558</v>
      </c>
      <c r="B2670" s="4" t="s">
        <v>2559</v>
      </c>
      <c r="C2670" s="4" t="s">
        <v>2558</v>
      </c>
      <c r="D2670" s="4" t="s">
        <v>5545</v>
      </c>
      <c r="E2670" s="4" t="s">
        <v>5546</v>
      </c>
      <c r="F2670" s="4" t="s">
        <v>5545</v>
      </c>
    </row>
    <row r="2671" spans="1:6" ht="14.4" thickBot="1" x14ac:dyDescent="0.35">
      <c r="A2671" s="4" t="s">
        <v>1053</v>
      </c>
      <c r="B2671" s="4" t="s">
        <v>1054</v>
      </c>
      <c r="C2671" s="4" t="s">
        <v>1053</v>
      </c>
      <c r="D2671" s="4" t="s">
        <v>4830</v>
      </c>
      <c r="E2671" s="4" t="s">
        <v>4831</v>
      </c>
      <c r="F2671" s="4" t="s">
        <v>4830</v>
      </c>
    </row>
    <row r="2672" spans="1:6" ht="14.4" thickBot="1" x14ac:dyDescent="0.35">
      <c r="A2672" s="4" t="s">
        <v>1053</v>
      </c>
      <c r="B2672" s="4" t="s">
        <v>1054</v>
      </c>
      <c r="C2672" s="4" t="s">
        <v>1053</v>
      </c>
      <c r="D2672" s="4" t="s">
        <v>1055</v>
      </c>
      <c r="E2672" s="4" t="s">
        <v>1056</v>
      </c>
      <c r="F2672" s="4" t="s">
        <v>1055</v>
      </c>
    </row>
    <row r="2673" spans="1:6" ht="14.4" thickBot="1" x14ac:dyDescent="0.35">
      <c r="A2673" s="4" t="s">
        <v>1053</v>
      </c>
      <c r="B2673" s="4" t="s">
        <v>1054</v>
      </c>
      <c r="C2673" s="4" t="s">
        <v>1053</v>
      </c>
      <c r="D2673" s="4" t="s">
        <v>4832</v>
      </c>
      <c r="E2673" s="4" t="s">
        <v>4833</v>
      </c>
      <c r="F2673" s="4" t="s">
        <v>4832</v>
      </c>
    </row>
    <row r="2674" spans="1:6" ht="14.4" thickBot="1" x14ac:dyDescent="0.35">
      <c r="A2674" s="4" t="s">
        <v>1020</v>
      </c>
      <c r="B2674" s="4" t="s">
        <v>1021</v>
      </c>
      <c r="C2674" s="4" t="s">
        <v>1020</v>
      </c>
      <c r="D2674" s="4" t="s">
        <v>6229</v>
      </c>
      <c r="E2674" s="4" t="s">
        <v>6230</v>
      </c>
      <c r="F2674" s="4" t="s">
        <v>6229</v>
      </c>
    </row>
    <row r="2675" spans="1:6" ht="14.4" thickBot="1" x14ac:dyDescent="0.35">
      <c r="A2675" s="4" t="s">
        <v>1020</v>
      </c>
      <c r="B2675" s="4" t="s">
        <v>1021</v>
      </c>
      <c r="C2675" s="4" t="s">
        <v>1020</v>
      </c>
      <c r="D2675" s="4" t="s">
        <v>1896</v>
      </c>
      <c r="E2675" s="4" t="s">
        <v>1897</v>
      </c>
      <c r="F2675" s="4" t="s">
        <v>1896</v>
      </c>
    </row>
    <row r="2676" spans="1:6" ht="14.4" thickBot="1" x14ac:dyDescent="0.35">
      <c r="A2676" s="4" t="s">
        <v>1020</v>
      </c>
      <c r="B2676" s="4" t="s">
        <v>1021</v>
      </c>
      <c r="C2676" s="4" t="s">
        <v>1020</v>
      </c>
      <c r="D2676" s="4" t="s">
        <v>4129</v>
      </c>
      <c r="E2676" s="4" t="s">
        <v>4130</v>
      </c>
      <c r="F2676" s="4" t="s">
        <v>4129</v>
      </c>
    </row>
    <row r="2677" spans="1:6" ht="14.4" thickBot="1" x14ac:dyDescent="0.35">
      <c r="A2677" s="4" t="s">
        <v>1020</v>
      </c>
      <c r="B2677" s="4" t="s">
        <v>1021</v>
      </c>
      <c r="C2677" s="4" t="s">
        <v>1020</v>
      </c>
      <c r="D2677" s="4" t="s">
        <v>2536</v>
      </c>
      <c r="E2677" s="4" t="s">
        <v>2537</v>
      </c>
      <c r="F2677" s="4" t="s">
        <v>2536</v>
      </c>
    </row>
    <row r="2678" spans="1:6" ht="14.4" thickBot="1" x14ac:dyDescent="0.35">
      <c r="A2678" s="4" t="s">
        <v>1020</v>
      </c>
      <c r="B2678" s="4" t="s">
        <v>1021</v>
      </c>
      <c r="C2678" s="4" t="s">
        <v>1020</v>
      </c>
      <c r="D2678" s="4" t="s">
        <v>3313</v>
      </c>
      <c r="E2678" s="4" t="s">
        <v>3314</v>
      </c>
      <c r="F2678" s="4" t="s">
        <v>3313</v>
      </c>
    </row>
    <row r="2679" spans="1:6" ht="14.4" thickBot="1" x14ac:dyDescent="0.35">
      <c r="A2679" s="4" t="s">
        <v>1020</v>
      </c>
      <c r="B2679" s="4" t="s">
        <v>1021</v>
      </c>
      <c r="C2679" s="4" t="s">
        <v>1020</v>
      </c>
      <c r="D2679" s="4" t="s">
        <v>2534</v>
      </c>
      <c r="E2679" s="4" t="s">
        <v>2535</v>
      </c>
      <c r="F2679" s="4" t="s">
        <v>2534</v>
      </c>
    </row>
    <row r="2680" spans="1:6" ht="14.4" thickBot="1" x14ac:dyDescent="0.35">
      <c r="A2680" s="4" t="s">
        <v>1020</v>
      </c>
      <c r="B2680" s="4" t="s">
        <v>1021</v>
      </c>
      <c r="C2680" s="4" t="s">
        <v>1020</v>
      </c>
      <c r="D2680" s="4" t="s">
        <v>5525</v>
      </c>
      <c r="E2680" s="4" t="s">
        <v>5526</v>
      </c>
      <c r="F2680" s="4" t="s">
        <v>5525</v>
      </c>
    </row>
    <row r="2681" spans="1:6" ht="14.4" thickBot="1" x14ac:dyDescent="0.35">
      <c r="A2681" s="4" t="s">
        <v>1020</v>
      </c>
      <c r="B2681" s="4" t="s">
        <v>1021</v>
      </c>
      <c r="C2681" s="4" t="s">
        <v>1020</v>
      </c>
      <c r="D2681" s="4" t="s">
        <v>4127</v>
      </c>
      <c r="E2681" s="4" t="s">
        <v>4128</v>
      </c>
      <c r="F2681" s="4" t="s">
        <v>4127</v>
      </c>
    </row>
    <row r="2682" spans="1:6" ht="14.4" thickBot="1" x14ac:dyDescent="0.35">
      <c r="A2682" s="4" t="s">
        <v>1020</v>
      </c>
      <c r="B2682" s="4" t="s">
        <v>1021</v>
      </c>
      <c r="C2682" s="4" t="s">
        <v>1020</v>
      </c>
      <c r="D2682" s="4" t="s">
        <v>6221</v>
      </c>
      <c r="E2682" s="4" t="s">
        <v>6222</v>
      </c>
      <c r="F2682" s="4" t="s">
        <v>6221</v>
      </c>
    </row>
    <row r="2683" spans="1:6" ht="14.4" thickBot="1" x14ac:dyDescent="0.35">
      <c r="A2683" s="4" t="s">
        <v>1020</v>
      </c>
      <c r="B2683" s="4" t="s">
        <v>1021</v>
      </c>
      <c r="C2683" s="4" t="s">
        <v>1020</v>
      </c>
      <c r="D2683" s="4" t="s">
        <v>4814</v>
      </c>
      <c r="E2683" s="4" t="s">
        <v>4815</v>
      </c>
      <c r="F2683" s="4" t="s">
        <v>4814</v>
      </c>
    </row>
    <row r="2684" spans="1:6" ht="14.4" thickBot="1" x14ac:dyDescent="0.35">
      <c r="A2684" s="4" t="s">
        <v>1020</v>
      </c>
      <c r="B2684" s="4" t="s">
        <v>1021</v>
      </c>
      <c r="C2684" s="4" t="s">
        <v>1020</v>
      </c>
      <c r="D2684" s="4" t="s">
        <v>4812</v>
      </c>
      <c r="E2684" s="4" t="s">
        <v>4813</v>
      </c>
      <c r="F2684" s="4" t="s">
        <v>4812</v>
      </c>
    </row>
    <row r="2685" spans="1:6" ht="14.4" thickBot="1" x14ac:dyDescent="0.35">
      <c r="A2685" s="4" t="s">
        <v>1020</v>
      </c>
      <c r="B2685" s="4" t="s">
        <v>1021</v>
      </c>
      <c r="C2685" s="4" t="s">
        <v>1020</v>
      </c>
      <c r="D2685" s="4" t="s">
        <v>1024</v>
      </c>
      <c r="E2685" s="4" t="s">
        <v>1025</v>
      </c>
      <c r="F2685" s="4" t="s">
        <v>1024</v>
      </c>
    </row>
    <row r="2686" spans="1:6" ht="14.4" thickBot="1" x14ac:dyDescent="0.35">
      <c r="A2686" s="4" t="s">
        <v>1020</v>
      </c>
      <c r="B2686" s="4" t="s">
        <v>1021</v>
      </c>
      <c r="C2686" s="4" t="s">
        <v>1020</v>
      </c>
      <c r="D2686" s="4" t="s">
        <v>1894</v>
      </c>
      <c r="E2686" s="4" t="s">
        <v>1895</v>
      </c>
      <c r="F2686" s="4" t="s">
        <v>1894</v>
      </c>
    </row>
    <row r="2687" spans="1:6" ht="14.4" thickBot="1" x14ac:dyDescent="0.35">
      <c r="A2687" s="4" t="s">
        <v>1020</v>
      </c>
      <c r="B2687" s="4" t="s">
        <v>1021</v>
      </c>
      <c r="C2687" s="4" t="s">
        <v>1020</v>
      </c>
      <c r="D2687" s="4" t="s">
        <v>1026</v>
      </c>
      <c r="E2687" s="4" t="s">
        <v>1027</v>
      </c>
      <c r="F2687" s="4" t="s">
        <v>1026</v>
      </c>
    </row>
    <row r="2688" spans="1:6" ht="14.4" thickBot="1" x14ac:dyDescent="0.35">
      <c r="A2688" s="4" t="s">
        <v>1020</v>
      </c>
      <c r="B2688" s="4" t="s">
        <v>1021</v>
      </c>
      <c r="C2688" s="4" t="s">
        <v>1020</v>
      </c>
      <c r="D2688" s="4" t="s">
        <v>5521</v>
      </c>
      <c r="E2688" s="4" t="s">
        <v>5522</v>
      </c>
      <c r="F2688" s="4" t="s">
        <v>5521</v>
      </c>
    </row>
    <row r="2689" spans="1:6" ht="14.4" thickBot="1" x14ac:dyDescent="0.35">
      <c r="A2689" s="4" t="s">
        <v>1020</v>
      </c>
      <c r="B2689" s="4" t="s">
        <v>1021</v>
      </c>
      <c r="C2689" s="4" t="s">
        <v>1020</v>
      </c>
      <c r="D2689" s="4" t="s">
        <v>1022</v>
      </c>
      <c r="E2689" s="4" t="s">
        <v>1023</v>
      </c>
      <c r="F2689" s="4" t="s">
        <v>1022</v>
      </c>
    </row>
    <row r="2690" spans="1:6" ht="14.4" thickBot="1" x14ac:dyDescent="0.35">
      <c r="A2690" s="4" t="s">
        <v>3315</v>
      </c>
      <c r="B2690" s="4" t="s">
        <v>3316</v>
      </c>
      <c r="C2690" s="4" t="s">
        <v>3315</v>
      </c>
      <c r="D2690" s="4" t="s">
        <v>5523</v>
      </c>
      <c r="E2690" s="4" t="s">
        <v>5524</v>
      </c>
      <c r="F2690" s="4" t="s">
        <v>5523</v>
      </c>
    </row>
    <row r="2691" spans="1:6" ht="14.4" thickBot="1" x14ac:dyDescent="0.35">
      <c r="A2691" s="4" t="s">
        <v>3315</v>
      </c>
      <c r="B2691" s="4" t="s">
        <v>3316</v>
      </c>
      <c r="C2691" s="4" t="s">
        <v>3315</v>
      </c>
      <c r="D2691" s="4" t="s">
        <v>3317</v>
      </c>
      <c r="E2691" s="4" t="s">
        <v>3318</v>
      </c>
      <c r="F2691" s="4" t="s">
        <v>3317</v>
      </c>
    </row>
    <row r="2692" spans="1:6" ht="14.4" thickBot="1" x14ac:dyDescent="0.35">
      <c r="A2692" s="4" t="s">
        <v>3315</v>
      </c>
      <c r="B2692" s="4" t="s">
        <v>3316</v>
      </c>
      <c r="C2692" s="4" t="s">
        <v>3315</v>
      </c>
      <c r="D2692" s="4" t="s">
        <v>6223</v>
      </c>
      <c r="E2692" s="4" t="s">
        <v>6224</v>
      </c>
      <c r="F2692" s="4" t="s">
        <v>6223</v>
      </c>
    </row>
    <row r="2693" spans="1:6" ht="14.4" thickBot="1" x14ac:dyDescent="0.35">
      <c r="A2693" s="4" t="s">
        <v>973</v>
      </c>
      <c r="B2693" s="4" t="s">
        <v>974</v>
      </c>
      <c r="C2693" s="4" t="s">
        <v>973</v>
      </c>
      <c r="D2693" s="4" t="s">
        <v>4783</v>
      </c>
      <c r="E2693" s="4" t="s">
        <v>4784</v>
      </c>
      <c r="F2693" s="4" t="s">
        <v>4783</v>
      </c>
    </row>
    <row r="2694" spans="1:6" ht="14.4" thickBot="1" x14ac:dyDescent="0.35">
      <c r="A2694" s="4" t="s">
        <v>973</v>
      </c>
      <c r="B2694" s="4" t="s">
        <v>974</v>
      </c>
      <c r="C2694" s="4" t="s">
        <v>973</v>
      </c>
      <c r="D2694" s="4" t="s">
        <v>4076</v>
      </c>
      <c r="E2694" s="4" t="s">
        <v>4077</v>
      </c>
      <c r="F2694" s="4" t="s">
        <v>4076</v>
      </c>
    </row>
    <row r="2695" spans="1:6" ht="14.4" thickBot="1" x14ac:dyDescent="0.35">
      <c r="A2695" s="4" t="s">
        <v>973</v>
      </c>
      <c r="B2695" s="4" t="s">
        <v>974</v>
      </c>
      <c r="C2695" s="4" t="s">
        <v>973</v>
      </c>
      <c r="D2695" s="4" t="s">
        <v>975</v>
      </c>
      <c r="E2695" s="4" t="s">
        <v>976</v>
      </c>
      <c r="F2695" s="4" t="s">
        <v>975</v>
      </c>
    </row>
    <row r="2696" spans="1:6" ht="14.4" thickBot="1" x14ac:dyDescent="0.35">
      <c r="A2696" s="4" t="s">
        <v>973</v>
      </c>
      <c r="B2696" s="4" t="s">
        <v>974</v>
      </c>
      <c r="C2696" s="4" t="s">
        <v>973</v>
      </c>
      <c r="D2696" s="4" t="s">
        <v>1850</v>
      </c>
      <c r="E2696" s="4" t="s">
        <v>1851</v>
      </c>
      <c r="F2696" s="4" t="s">
        <v>1850</v>
      </c>
    </row>
    <row r="2697" spans="1:6" ht="14.4" thickBot="1" x14ac:dyDescent="0.35">
      <c r="A2697" s="4" t="s">
        <v>973</v>
      </c>
      <c r="B2697" s="4" t="s">
        <v>974</v>
      </c>
      <c r="C2697" s="4" t="s">
        <v>973</v>
      </c>
      <c r="D2697" s="4" t="s">
        <v>2424</v>
      </c>
      <c r="E2697" s="4" t="s">
        <v>2425</v>
      </c>
      <c r="F2697" s="4" t="s">
        <v>2424</v>
      </c>
    </row>
    <row r="2698" spans="1:6" ht="14.4" thickBot="1" x14ac:dyDescent="0.35">
      <c r="A2698" s="4" t="s">
        <v>973</v>
      </c>
      <c r="B2698" s="4" t="s">
        <v>974</v>
      </c>
      <c r="C2698" s="4" t="s">
        <v>973</v>
      </c>
      <c r="D2698" s="4" t="s">
        <v>4781</v>
      </c>
      <c r="E2698" s="4" t="s">
        <v>4782</v>
      </c>
      <c r="F2698" s="4" t="s">
        <v>4781</v>
      </c>
    </row>
    <row r="2699" spans="1:6" ht="14.4" thickBot="1" x14ac:dyDescent="0.35">
      <c r="A2699" s="4" t="s">
        <v>973</v>
      </c>
      <c r="B2699" s="4" t="s">
        <v>974</v>
      </c>
      <c r="C2699" s="4" t="s">
        <v>973</v>
      </c>
      <c r="D2699" s="4" t="s">
        <v>3996</v>
      </c>
      <c r="E2699" s="4" t="s">
        <v>3997</v>
      </c>
      <c r="F2699" s="4" t="s">
        <v>3996</v>
      </c>
    </row>
    <row r="2700" spans="1:6" ht="14.4" thickBot="1" x14ac:dyDescent="0.35">
      <c r="A2700" s="4" t="s">
        <v>973</v>
      </c>
      <c r="B2700" s="4" t="s">
        <v>974</v>
      </c>
      <c r="C2700" s="4" t="s">
        <v>973</v>
      </c>
      <c r="D2700" s="4" t="s">
        <v>6083</v>
      </c>
      <c r="E2700" s="4" t="s">
        <v>6084</v>
      </c>
      <c r="F2700" s="4" t="s">
        <v>6083</v>
      </c>
    </row>
    <row r="2701" spans="1:6" ht="14.4" thickBot="1" x14ac:dyDescent="0.35">
      <c r="A2701" s="4" t="s">
        <v>973</v>
      </c>
      <c r="B2701" s="4" t="s">
        <v>974</v>
      </c>
      <c r="C2701" s="4" t="s">
        <v>973</v>
      </c>
      <c r="D2701" s="4" t="s">
        <v>1738</v>
      </c>
      <c r="E2701" s="4" t="s">
        <v>1739</v>
      </c>
      <c r="F2701" s="4" t="s">
        <v>1738</v>
      </c>
    </row>
    <row r="2702" spans="1:6" ht="14.4" thickBot="1" x14ac:dyDescent="0.35">
      <c r="A2702" s="4" t="s">
        <v>973</v>
      </c>
      <c r="B2702" s="4" t="s">
        <v>974</v>
      </c>
      <c r="C2702" s="4" t="s">
        <v>973</v>
      </c>
      <c r="D2702" s="4" t="s">
        <v>4690</v>
      </c>
      <c r="E2702" s="4" t="s">
        <v>1313</v>
      </c>
      <c r="F2702" s="4" t="s">
        <v>4690</v>
      </c>
    </row>
    <row r="2703" spans="1:6" ht="14.4" thickBot="1" x14ac:dyDescent="0.35">
      <c r="A2703" s="4" t="s">
        <v>2538</v>
      </c>
      <c r="B2703" s="4" t="s">
        <v>2539</v>
      </c>
      <c r="C2703" s="4" t="s">
        <v>2538</v>
      </c>
      <c r="D2703" s="4" t="s">
        <v>6225</v>
      </c>
      <c r="E2703" s="4" t="s">
        <v>6226</v>
      </c>
      <c r="F2703" s="4" t="s">
        <v>6225</v>
      </c>
    </row>
    <row r="2704" spans="1:6" ht="14.4" thickBot="1" x14ac:dyDescent="0.35">
      <c r="A2704" s="4" t="s">
        <v>2538</v>
      </c>
      <c r="B2704" s="4" t="s">
        <v>2539</v>
      </c>
      <c r="C2704" s="4" t="s">
        <v>2538</v>
      </c>
      <c r="D2704" s="4" t="s">
        <v>6227</v>
      </c>
      <c r="E2704" s="4" t="s">
        <v>6228</v>
      </c>
      <c r="F2704" s="4" t="s">
        <v>6227</v>
      </c>
    </row>
    <row r="2705" spans="1:6" ht="14.4" thickBot="1" x14ac:dyDescent="0.35">
      <c r="A2705" s="4" t="s">
        <v>2538</v>
      </c>
      <c r="B2705" s="4" t="s">
        <v>2539</v>
      </c>
      <c r="C2705" s="4" t="s">
        <v>2538</v>
      </c>
      <c r="D2705" s="4" t="s">
        <v>6231</v>
      </c>
      <c r="E2705" s="4" t="s">
        <v>6232</v>
      </c>
      <c r="F2705" s="4" t="s">
        <v>6231</v>
      </c>
    </row>
    <row r="2706" spans="1:6" ht="14.4" thickBot="1" x14ac:dyDescent="0.35">
      <c r="A2706" s="4" t="s">
        <v>2538</v>
      </c>
      <c r="B2706" s="4" t="s">
        <v>2539</v>
      </c>
      <c r="C2706" s="4" t="s">
        <v>2538</v>
      </c>
      <c r="D2706" s="4" t="s">
        <v>2540</v>
      </c>
      <c r="E2706" s="4" t="s">
        <v>2541</v>
      </c>
      <c r="F2706" s="4" t="s">
        <v>2540</v>
      </c>
    </row>
    <row r="2707" spans="1:6" ht="14.4" thickBot="1" x14ac:dyDescent="0.35">
      <c r="A2707" s="4" t="s">
        <v>3309</v>
      </c>
      <c r="B2707" s="4" t="s">
        <v>3310</v>
      </c>
      <c r="C2707" s="4" t="s">
        <v>3309</v>
      </c>
      <c r="D2707" s="4" t="s">
        <v>4816</v>
      </c>
      <c r="E2707" s="4" t="s">
        <v>4817</v>
      </c>
      <c r="F2707" s="4" t="s">
        <v>4816</v>
      </c>
    </row>
    <row r="2708" spans="1:6" ht="14.4" thickBot="1" x14ac:dyDescent="0.35">
      <c r="A2708" s="4" t="s">
        <v>3309</v>
      </c>
      <c r="B2708" s="4" t="s">
        <v>3310</v>
      </c>
      <c r="C2708" s="4" t="s">
        <v>3309</v>
      </c>
      <c r="D2708" s="4" t="s">
        <v>3311</v>
      </c>
      <c r="E2708" s="4" t="s">
        <v>3312</v>
      </c>
      <c r="F2708" s="4" t="s">
        <v>3311</v>
      </c>
    </row>
    <row r="2709" spans="1:6" ht="14.4" thickBot="1" x14ac:dyDescent="0.35">
      <c r="A2709" s="4" t="s">
        <v>1028</v>
      </c>
      <c r="B2709" s="4" t="s">
        <v>1029</v>
      </c>
      <c r="C2709" s="4" t="s">
        <v>1028</v>
      </c>
      <c r="D2709" s="4" t="s">
        <v>5527</v>
      </c>
      <c r="E2709" s="4" t="s">
        <v>5528</v>
      </c>
      <c r="F2709" s="4" t="s">
        <v>5527</v>
      </c>
    </row>
    <row r="2710" spans="1:6" ht="14.4" thickBot="1" x14ac:dyDescent="0.35">
      <c r="A2710" s="4" t="s">
        <v>1028</v>
      </c>
      <c r="B2710" s="4" t="s">
        <v>1029</v>
      </c>
      <c r="C2710" s="4" t="s">
        <v>1028</v>
      </c>
      <c r="D2710" s="4" t="s">
        <v>1030</v>
      </c>
      <c r="E2710" s="4" t="s">
        <v>1031</v>
      </c>
      <c r="F2710" s="4" t="s">
        <v>1030</v>
      </c>
    </row>
    <row r="2711" spans="1:6" ht="14.4" thickBot="1" x14ac:dyDescent="0.35">
      <c r="A2711" s="4" t="s">
        <v>2542</v>
      </c>
      <c r="B2711" s="4" t="s">
        <v>2543</v>
      </c>
      <c r="C2711" s="4" t="s">
        <v>2542</v>
      </c>
      <c r="D2711" s="4" t="s">
        <v>2544</v>
      </c>
      <c r="E2711" s="4" t="s">
        <v>2545</v>
      </c>
      <c r="F2711" s="4" t="s">
        <v>2544</v>
      </c>
    </row>
    <row r="2712" spans="1:6" ht="14.4" thickBot="1" x14ac:dyDescent="0.35">
      <c r="A2712" s="4" t="s">
        <v>2542</v>
      </c>
      <c r="B2712" s="4" t="s">
        <v>2543</v>
      </c>
      <c r="C2712" s="4" t="s">
        <v>2542</v>
      </c>
      <c r="D2712" s="4" t="s">
        <v>3321</v>
      </c>
      <c r="E2712" s="4" t="s">
        <v>3322</v>
      </c>
      <c r="F2712" s="4" t="s">
        <v>3321</v>
      </c>
    </row>
    <row r="2713" spans="1:6" ht="14.4" thickBot="1" x14ac:dyDescent="0.35">
      <c r="A2713" s="4" t="s">
        <v>2542</v>
      </c>
      <c r="B2713" s="4" t="s">
        <v>2543</v>
      </c>
      <c r="C2713" s="4" t="s">
        <v>2542</v>
      </c>
      <c r="D2713" s="4" t="s">
        <v>3319</v>
      </c>
      <c r="E2713" s="4" t="s">
        <v>3320</v>
      </c>
      <c r="F2713" s="4" t="s">
        <v>3319</v>
      </c>
    </row>
    <row r="2714" spans="1:6" ht="14.4" thickBot="1" x14ac:dyDescent="0.35">
      <c r="A2714" s="4" t="s">
        <v>855</v>
      </c>
      <c r="B2714" s="4" t="s">
        <v>856</v>
      </c>
      <c r="C2714" s="4" t="s">
        <v>855</v>
      </c>
      <c r="D2714" s="4" t="s">
        <v>4691</v>
      </c>
      <c r="E2714" s="4" t="s">
        <v>4692</v>
      </c>
      <c r="F2714" s="4" t="s">
        <v>4691</v>
      </c>
    </row>
    <row r="2715" spans="1:6" ht="14.4" thickBot="1" x14ac:dyDescent="0.35">
      <c r="A2715" s="4" t="s">
        <v>855</v>
      </c>
      <c r="B2715" s="4" t="s">
        <v>856</v>
      </c>
      <c r="C2715" s="4" t="s">
        <v>855</v>
      </c>
      <c r="D2715" s="4" t="s">
        <v>857</v>
      </c>
      <c r="E2715" s="4" t="s">
        <v>858</v>
      </c>
      <c r="F2715" s="4" t="s">
        <v>857</v>
      </c>
    </row>
    <row r="2716" spans="1:6" ht="14.4" thickBot="1" x14ac:dyDescent="0.35">
      <c r="A2716" s="4" t="s">
        <v>1032</v>
      </c>
      <c r="B2716" s="4" t="s">
        <v>1033</v>
      </c>
      <c r="C2716" s="4" t="s">
        <v>1032</v>
      </c>
      <c r="D2716" s="4" t="s">
        <v>5533</v>
      </c>
      <c r="E2716" s="4" t="s">
        <v>5534</v>
      </c>
      <c r="F2716" s="4" t="s">
        <v>5533</v>
      </c>
    </row>
    <row r="2717" spans="1:6" ht="14.4" thickBot="1" x14ac:dyDescent="0.35">
      <c r="A2717" s="4" t="s">
        <v>1032</v>
      </c>
      <c r="B2717" s="4" t="s">
        <v>1033</v>
      </c>
      <c r="C2717" s="4" t="s">
        <v>1032</v>
      </c>
      <c r="D2717" s="4" t="s">
        <v>5531</v>
      </c>
      <c r="E2717" s="4" t="s">
        <v>5532</v>
      </c>
      <c r="F2717" s="4" t="s">
        <v>5531</v>
      </c>
    </row>
    <row r="2718" spans="1:6" ht="14.4" thickBot="1" x14ac:dyDescent="0.35">
      <c r="A2718" s="4" t="s">
        <v>1032</v>
      </c>
      <c r="B2718" s="4" t="s">
        <v>1033</v>
      </c>
      <c r="C2718" s="4" t="s">
        <v>1032</v>
      </c>
      <c r="D2718" s="4" t="s">
        <v>2546</v>
      </c>
      <c r="E2718" s="4" t="s">
        <v>2547</v>
      </c>
      <c r="F2718" s="4" t="s">
        <v>2546</v>
      </c>
    </row>
    <row r="2719" spans="1:6" ht="14.4" thickBot="1" x14ac:dyDescent="0.35">
      <c r="A2719" s="4" t="s">
        <v>1032</v>
      </c>
      <c r="B2719" s="4" t="s">
        <v>1033</v>
      </c>
      <c r="C2719" s="4" t="s">
        <v>1032</v>
      </c>
      <c r="D2719" s="4" t="s">
        <v>4131</v>
      </c>
      <c r="E2719" s="4" t="s">
        <v>4132</v>
      </c>
      <c r="F2719" s="4" t="s">
        <v>4131</v>
      </c>
    </row>
    <row r="2720" spans="1:6" ht="14.4" thickBot="1" x14ac:dyDescent="0.35">
      <c r="A2720" s="4" t="s">
        <v>1032</v>
      </c>
      <c r="B2720" s="4" t="s">
        <v>1033</v>
      </c>
      <c r="C2720" s="4" t="s">
        <v>1032</v>
      </c>
      <c r="D2720" s="4" t="s">
        <v>1898</v>
      </c>
      <c r="E2720" s="4" t="s">
        <v>1899</v>
      </c>
      <c r="F2720" s="4" t="s">
        <v>1898</v>
      </c>
    </row>
    <row r="2721" spans="1:6" ht="14.4" thickBot="1" x14ac:dyDescent="0.35">
      <c r="A2721" s="4" t="s">
        <v>1032</v>
      </c>
      <c r="B2721" s="4" t="s">
        <v>1033</v>
      </c>
      <c r="C2721" s="4" t="s">
        <v>1032</v>
      </c>
      <c r="D2721" s="4" t="s">
        <v>3323</v>
      </c>
      <c r="E2721" s="4" t="s">
        <v>3324</v>
      </c>
      <c r="F2721" s="4" t="s">
        <v>3323</v>
      </c>
    </row>
    <row r="2722" spans="1:6" ht="14.4" thickBot="1" x14ac:dyDescent="0.35">
      <c r="A2722" s="4" t="s">
        <v>1032</v>
      </c>
      <c r="B2722" s="4" t="s">
        <v>1033</v>
      </c>
      <c r="C2722" s="4" t="s">
        <v>1032</v>
      </c>
      <c r="D2722" s="4" t="s">
        <v>1034</v>
      </c>
      <c r="E2722" s="4" t="s">
        <v>1035</v>
      </c>
      <c r="F2722" s="4" t="s">
        <v>1034</v>
      </c>
    </row>
    <row r="2723" spans="1:6" ht="14.4" thickBot="1" x14ac:dyDescent="0.35">
      <c r="A2723" s="4" t="s">
        <v>1032</v>
      </c>
      <c r="B2723" s="4" t="s">
        <v>1033</v>
      </c>
      <c r="C2723" s="4" t="s">
        <v>1032</v>
      </c>
      <c r="D2723" s="4" t="s">
        <v>5529</v>
      </c>
      <c r="E2723" s="4" t="s">
        <v>5530</v>
      </c>
      <c r="F2723" s="4" t="s">
        <v>5529</v>
      </c>
    </row>
    <row r="2724" spans="1:6" ht="14.4" thickBot="1" x14ac:dyDescent="0.35">
      <c r="A2724" s="4" t="s">
        <v>21</v>
      </c>
      <c r="B2724" s="4" t="s">
        <v>22</v>
      </c>
      <c r="C2724" s="4" t="s">
        <v>21</v>
      </c>
      <c r="D2724" s="4" t="s">
        <v>30</v>
      </c>
      <c r="E2724" s="4" t="s">
        <v>31</v>
      </c>
      <c r="F2724" s="4" t="s">
        <v>30</v>
      </c>
    </row>
    <row r="2725" spans="1:6" ht="14.4" thickBot="1" x14ac:dyDescent="0.35">
      <c r="A2725" s="4" t="s">
        <v>21</v>
      </c>
      <c r="B2725" s="4" t="s">
        <v>22</v>
      </c>
      <c r="C2725" s="4" t="s">
        <v>21</v>
      </c>
      <c r="D2725" s="4" t="s">
        <v>1036</v>
      </c>
      <c r="E2725" s="4" t="s">
        <v>1037</v>
      </c>
      <c r="F2725" s="4" t="s">
        <v>1036</v>
      </c>
    </row>
    <row r="2726" spans="1:6" ht="14.4" thickBot="1" x14ac:dyDescent="0.35">
      <c r="A2726" s="4" t="s">
        <v>21</v>
      </c>
      <c r="B2726" s="4" t="s">
        <v>22</v>
      </c>
      <c r="C2726" s="4" t="s">
        <v>21</v>
      </c>
      <c r="D2726" s="4" t="s">
        <v>1038</v>
      </c>
      <c r="E2726" s="4" t="s">
        <v>1039</v>
      </c>
      <c r="F2726" s="4" t="s">
        <v>1038</v>
      </c>
    </row>
    <row r="2727" spans="1:6" ht="14.4" thickBot="1" x14ac:dyDescent="0.35">
      <c r="A2727" s="4" t="s">
        <v>21</v>
      </c>
      <c r="B2727" s="4" t="s">
        <v>22</v>
      </c>
      <c r="C2727" s="4" t="s">
        <v>21</v>
      </c>
      <c r="D2727" s="4" t="s">
        <v>35</v>
      </c>
      <c r="E2727" s="4" t="s">
        <v>36</v>
      </c>
      <c r="F2727" s="4" t="s">
        <v>35</v>
      </c>
    </row>
    <row r="2728" spans="1:6" ht="14.4" thickBot="1" x14ac:dyDescent="0.35">
      <c r="A2728" s="4" t="s">
        <v>21</v>
      </c>
      <c r="B2728" s="4" t="s">
        <v>22</v>
      </c>
      <c r="C2728" s="4" t="s">
        <v>21</v>
      </c>
      <c r="D2728" s="4" t="s">
        <v>5535</v>
      </c>
      <c r="E2728" s="4" t="s">
        <v>5536</v>
      </c>
      <c r="F2728" s="4" t="s">
        <v>5535</v>
      </c>
    </row>
    <row r="2729" spans="1:6" ht="14.4" thickBot="1" x14ac:dyDescent="0.35">
      <c r="A2729" s="4" t="s">
        <v>21</v>
      </c>
      <c r="B2729" s="4" t="s">
        <v>22</v>
      </c>
      <c r="C2729" s="4" t="s">
        <v>21</v>
      </c>
      <c r="D2729" s="4" t="s">
        <v>24</v>
      </c>
      <c r="E2729" s="4" t="s">
        <v>25</v>
      </c>
      <c r="F2729" s="4" t="s">
        <v>24</v>
      </c>
    </row>
    <row r="2730" spans="1:6" ht="14.4" thickBot="1" x14ac:dyDescent="0.35">
      <c r="A2730" s="4" t="s">
        <v>21</v>
      </c>
      <c r="B2730" s="4" t="s">
        <v>22</v>
      </c>
      <c r="C2730" s="4" t="s">
        <v>21</v>
      </c>
      <c r="D2730" s="4" t="s">
        <v>2548</v>
      </c>
      <c r="E2730" s="4" t="s">
        <v>2549</v>
      </c>
      <c r="F2730" s="4" t="s">
        <v>2548</v>
      </c>
    </row>
    <row r="2731" spans="1:6" ht="14.4" thickBot="1" x14ac:dyDescent="0.35">
      <c r="A2731" s="4" t="s">
        <v>21</v>
      </c>
      <c r="B2731" s="4" t="s">
        <v>22</v>
      </c>
      <c r="C2731" s="4" t="s">
        <v>21</v>
      </c>
      <c r="D2731" s="4" t="s">
        <v>4133</v>
      </c>
      <c r="E2731" s="4" t="s">
        <v>4134</v>
      </c>
      <c r="F2731" s="4" t="s">
        <v>4133</v>
      </c>
    </row>
    <row r="2732" spans="1:6" ht="14.4" thickBot="1" x14ac:dyDescent="0.35">
      <c r="A2732" s="4" t="s">
        <v>859</v>
      </c>
      <c r="B2732" s="4" t="s">
        <v>860</v>
      </c>
      <c r="C2732" s="4" t="s">
        <v>859</v>
      </c>
      <c r="D2732" s="4" t="s">
        <v>5393</v>
      </c>
      <c r="E2732" s="4" t="s">
        <v>5394</v>
      </c>
      <c r="F2732" s="4" t="s">
        <v>5393</v>
      </c>
    </row>
    <row r="2733" spans="1:6" ht="14.4" thickBot="1" x14ac:dyDescent="0.35">
      <c r="A2733" s="4" t="s">
        <v>859</v>
      </c>
      <c r="B2733" s="4" t="s">
        <v>860</v>
      </c>
      <c r="C2733" s="4" t="s">
        <v>859</v>
      </c>
      <c r="D2733" s="4" t="s">
        <v>4693</v>
      </c>
      <c r="E2733" s="4" t="s">
        <v>4694</v>
      </c>
      <c r="F2733" s="4" t="s">
        <v>4693</v>
      </c>
    </row>
    <row r="2734" spans="1:6" ht="14.4" thickBot="1" x14ac:dyDescent="0.35">
      <c r="A2734" s="4" t="s">
        <v>859</v>
      </c>
      <c r="B2734" s="4" t="s">
        <v>860</v>
      </c>
      <c r="C2734" s="4" t="s">
        <v>859</v>
      </c>
      <c r="D2734" s="4" t="s">
        <v>1078</v>
      </c>
      <c r="E2734" s="4" t="s">
        <v>4785</v>
      </c>
      <c r="F2734" s="4" t="s">
        <v>1078</v>
      </c>
    </row>
    <row r="2735" spans="1:6" ht="14.4" thickBot="1" x14ac:dyDescent="0.35">
      <c r="A2735" s="4" t="s">
        <v>859</v>
      </c>
      <c r="B2735" s="4" t="s">
        <v>860</v>
      </c>
      <c r="C2735" s="4" t="s">
        <v>859</v>
      </c>
      <c r="D2735" s="4" t="s">
        <v>859</v>
      </c>
      <c r="E2735" s="4" t="s">
        <v>3167</v>
      </c>
      <c r="F2735" s="4" t="s">
        <v>859</v>
      </c>
    </row>
    <row r="2736" spans="1:6" ht="14.4" thickBot="1" x14ac:dyDescent="0.35">
      <c r="A2736" s="4" t="s">
        <v>859</v>
      </c>
      <c r="B2736" s="4" t="s">
        <v>860</v>
      </c>
      <c r="C2736" s="4" t="s">
        <v>859</v>
      </c>
      <c r="D2736" s="4" t="s">
        <v>861</v>
      </c>
      <c r="E2736" s="4" t="s">
        <v>862</v>
      </c>
      <c r="F2736" s="4" t="s">
        <v>861</v>
      </c>
    </row>
    <row r="2737" spans="1:6" ht="14.4" thickBot="1" x14ac:dyDescent="0.35">
      <c r="A2737" s="4" t="s">
        <v>859</v>
      </c>
      <c r="B2737" s="4" t="s">
        <v>860</v>
      </c>
      <c r="C2737" s="4" t="s">
        <v>859</v>
      </c>
      <c r="D2737" s="4" t="s">
        <v>6085</v>
      </c>
      <c r="E2737" s="4" t="s">
        <v>6086</v>
      </c>
      <c r="F2737" s="4" t="s">
        <v>6085</v>
      </c>
    </row>
    <row r="2738" spans="1:6" ht="14.4" thickBot="1" x14ac:dyDescent="0.35">
      <c r="A2738" s="4" t="s">
        <v>859</v>
      </c>
      <c r="B2738" s="4" t="s">
        <v>860</v>
      </c>
      <c r="C2738" s="4" t="s">
        <v>859</v>
      </c>
      <c r="D2738" s="4" t="s">
        <v>3266</v>
      </c>
      <c r="E2738" s="4" t="s">
        <v>3267</v>
      </c>
      <c r="F2738" s="4" t="s">
        <v>3266</v>
      </c>
    </row>
    <row r="2739" spans="1:6" ht="14.4" thickBot="1" x14ac:dyDescent="0.35">
      <c r="A2739" s="4" t="s">
        <v>859</v>
      </c>
      <c r="B2739" s="4" t="s">
        <v>860</v>
      </c>
      <c r="C2739" s="4" t="s">
        <v>859</v>
      </c>
      <c r="D2739" s="4" t="s">
        <v>2426</v>
      </c>
      <c r="E2739" s="4" t="s">
        <v>2427</v>
      </c>
      <c r="F2739" s="4" t="s">
        <v>2426</v>
      </c>
    </row>
    <row r="2740" spans="1:6" ht="14.4" thickBot="1" x14ac:dyDescent="0.35">
      <c r="A2740" s="4" t="s">
        <v>859</v>
      </c>
      <c r="B2740" s="4" t="s">
        <v>860</v>
      </c>
      <c r="C2740" s="4" t="s">
        <v>859</v>
      </c>
      <c r="D2740" s="4" t="s">
        <v>1740</v>
      </c>
      <c r="E2740" s="4" t="s">
        <v>1741</v>
      </c>
      <c r="F2740" s="4" t="s">
        <v>1740</v>
      </c>
    </row>
    <row r="2741" spans="1:6" ht="14.4" thickBot="1" x14ac:dyDescent="0.35">
      <c r="A2741" s="4" t="s">
        <v>480</v>
      </c>
      <c r="B2741" s="4" t="s">
        <v>481</v>
      </c>
      <c r="C2741" s="4" t="s">
        <v>480</v>
      </c>
      <c r="D2741" s="4" t="s">
        <v>2927</v>
      </c>
      <c r="E2741" s="4" t="s">
        <v>2928</v>
      </c>
      <c r="F2741" s="4" t="s">
        <v>2927</v>
      </c>
    </row>
    <row r="2742" spans="1:6" ht="14.4" thickBot="1" x14ac:dyDescent="0.35">
      <c r="A2742" s="4" t="s">
        <v>480</v>
      </c>
      <c r="B2742" s="4" t="s">
        <v>481</v>
      </c>
      <c r="C2742" s="4" t="s">
        <v>480</v>
      </c>
      <c r="D2742" s="4" t="s">
        <v>1532</v>
      </c>
      <c r="E2742" s="4" t="s">
        <v>1533</v>
      </c>
      <c r="F2742" s="4" t="s">
        <v>1532</v>
      </c>
    </row>
    <row r="2743" spans="1:6" ht="14.4" thickBot="1" x14ac:dyDescent="0.35">
      <c r="A2743" s="4" t="s">
        <v>480</v>
      </c>
      <c r="B2743" s="4" t="s">
        <v>481</v>
      </c>
      <c r="C2743" s="4" t="s">
        <v>480</v>
      </c>
      <c r="D2743" s="4" t="s">
        <v>5151</v>
      </c>
      <c r="E2743" s="4" t="s">
        <v>1309</v>
      </c>
      <c r="F2743" s="4" t="s">
        <v>5151</v>
      </c>
    </row>
    <row r="2744" spans="1:6" ht="14.4" thickBot="1" x14ac:dyDescent="0.35">
      <c r="A2744" s="4" t="s">
        <v>480</v>
      </c>
      <c r="B2744" s="4" t="s">
        <v>481</v>
      </c>
      <c r="C2744" s="4" t="s">
        <v>480</v>
      </c>
      <c r="D2744" s="4" t="s">
        <v>487</v>
      </c>
      <c r="E2744" s="4" t="s">
        <v>488</v>
      </c>
      <c r="F2744" s="4" t="s">
        <v>487</v>
      </c>
    </row>
    <row r="2745" spans="1:6" ht="14.4" thickBot="1" x14ac:dyDescent="0.35">
      <c r="A2745" s="4" t="s">
        <v>480</v>
      </c>
      <c r="B2745" s="4" t="s">
        <v>481</v>
      </c>
      <c r="C2745" s="4" t="s">
        <v>480</v>
      </c>
      <c r="D2745" s="4" t="s">
        <v>1419</v>
      </c>
      <c r="E2745" s="4" t="s">
        <v>1420</v>
      </c>
      <c r="F2745" s="4" t="s">
        <v>1419</v>
      </c>
    </row>
    <row r="2746" spans="1:6" ht="14.4" thickBot="1" x14ac:dyDescent="0.35">
      <c r="A2746" s="4" t="s">
        <v>480</v>
      </c>
      <c r="B2746" s="4" t="s">
        <v>481</v>
      </c>
      <c r="C2746" s="4" t="s">
        <v>480</v>
      </c>
      <c r="D2746" s="4" t="s">
        <v>484</v>
      </c>
      <c r="E2746" s="4" t="s">
        <v>485</v>
      </c>
      <c r="F2746" s="4" t="s">
        <v>484</v>
      </c>
    </row>
    <row r="2747" spans="1:6" ht="14.4" thickBot="1" x14ac:dyDescent="0.35">
      <c r="A2747" s="4" t="s">
        <v>480</v>
      </c>
      <c r="B2747" s="4" t="s">
        <v>481</v>
      </c>
      <c r="C2747" s="4" t="s">
        <v>480</v>
      </c>
      <c r="D2747" s="4" t="s">
        <v>5821</v>
      </c>
      <c r="E2747" s="4" t="s">
        <v>5822</v>
      </c>
      <c r="F2747" s="4" t="s">
        <v>5821</v>
      </c>
    </row>
    <row r="2748" spans="1:6" ht="14.4" thickBot="1" x14ac:dyDescent="0.35">
      <c r="A2748" s="4" t="s">
        <v>480</v>
      </c>
      <c r="B2748" s="4" t="s">
        <v>481</v>
      </c>
      <c r="C2748" s="4" t="s">
        <v>480</v>
      </c>
      <c r="D2748" s="4" t="s">
        <v>5823</v>
      </c>
      <c r="E2748" s="4" t="s">
        <v>5824</v>
      </c>
      <c r="F2748" s="4" t="s">
        <v>5823</v>
      </c>
    </row>
    <row r="2749" spans="1:6" ht="14.4" thickBot="1" x14ac:dyDescent="0.35">
      <c r="A2749" s="4" t="s">
        <v>480</v>
      </c>
      <c r="B2749" s="4" t="s">
        <v>481</v>
      </c>
      <c r="C2749" s="4" t="s">
        <v>480</v>
      </c>
      <c r="D2749" s="4" t="s">
        <v>5149</v>
      </c>
      <c r="E2749" s="4" t="s">
        <v>5150</v>
      </c>
      <c r="F2749" s="4" t="s">
        <v>5149</v>
      </c>
    </row>
    <row r="2750" spans="1:6" ht="14.4" thickBot="1" x14ac:dyDescent="0.35">
      <c r="A2750" s="4" t="s">
        <v>480</v>
      </c>
      <c r="B2750" s="4" t="s">
        <v>481</v>
      </c>
      <c r="C2750" s="4" t="s">
        <v>480</v>
      </c>
      <c r="D2750" s="4" t="s">
        <v>482</v>
      </c>
      <c r="E2750" s="4" t="s">
        <v>483</v>
      </c>
      <c r="F2750" s="4" t="s">
        <v>482</v>
      </c>
    </row>
    <row r="2751" spans="1:6" ht="14.4" thickBot="1" x14ac:dyDescent="0.35">
      <c r="A2751" s="4" t="s">
        <v>480</v>
      </c>
      <c r="B2751" s="4" t="s">
        <v>481</v>
      </c>
      <c r="C2751" s="4" t="s">
        <v>480</v>
      </c>
      <c r="D2751" s="4" t="s">
        <v>1421</v>
      </c>
      <c r="E2751" s="4" t="s">
        <v>1422</v>
      </c>
      <c r="F2751" s="4" t="s">
        <v>1421</v>
      </c>
    </row>
    <row r="2752" spans="1:6" ht="14.4" thickBot="1" x14ac:dyDescent="0.35">
      <c r="A2752" s="4" t="s">
        <v>480</v>
      </c>
      <c r="B2752" s="4" t="s">
        <v>481</v>
      </c>
      <c r="C2752" s="4" t="s">
        <v>480</v>
      </c>
      <c r="D2752" s="4" t="s">
        <v>489</v>
      </c>
      <c r="E2752" s="4" t="s">
        <v>490</v>
      </c>
      <c r="F2752" s="4" t="s">
        <v>489</v>
      </c>
    </row>
    <row r="2753" spans="1:6" ht="14.4" thickBot="1" x14ac:dyDescent="0.35">
      <c r="A2753" s="4" t="s">
        <v>480</v>
      </c>
      <c r="B2753" s="4" t="s">
        <v>481</v>
      </c>
      <c r="C2753" s="4" t="s">
        <v>480</v>
      </c>
      <c r="D2753" s="4" t="s">
        <v>1417</v>
      </c>
      <c r="E2753" s="4" t="s">
        <v>1418</v>
      </c>
      <c r="F2753" s="4" t="s">
        <v>1417</v>
      </c>
    </row>
    <row r="2754" spans="1:6" ht="14.4" thickBot="1" x14ac:dyDescent="0.35">
      <c r="A2754" s="4" t="s">
        <v>480</v>
      </c>
      <c r="B2754" s="4" t="s">
        <v>481</v>
      </c>
      <c r="C2754" s="4" t="s">
        <v>480</v>
      </c>
      <c r="D2754" s="4" t="s">
        <v>2193</v>
      </c>
      <c r="E2754" s="4" t="s">
        <v>2194</v>
      </c>
      <c r="F2754" s="4" t="s">
        <v>2193</v>
      </c>
    </row>
    <row r="2755" spans="1:6" ht="14.4" thickBot="1" x14ac:dyDescent="0.35">
      <c r="A2755" s="4" t="s">
        <v>1423</v>
      </c>
      <c r="B2755" s="4" t="s">
        <v>1424</v>
      </c>
      <c r="C2755" s="4" t="s">
        <v>1423</v>
      </c>
      <c r="D2755" s="4" t="s">
        <v>3737</v>
      </c>
      <c r="E2755" s="4" t="s">
        <v>3738</v>
      </c>
      <c r="F2755" s="4" t="s">
        <v>3737</v>
      </c>
    </row>
    <row r="2756" spans="1:6" ht="14.4" thickBot="1" x14ac:dyDescent="0.35">
      <c r="A2756" s="4" t="s">
        <v>1423</v>
      </c>
      <c r="B2756" s="4" t="s">
        <v>1424</v>
      </c>
      <c r="C2756" s="4" t="s">
        <v>1423</v>
      </c>
      <c r="D2756" s="4" t="s">
        <v>5152</v>
      </c>
      <c r="E2756" s="4" t="s">
        <v>5153</v>
      </c>
      <c r="F2756" s="4" t="s">
        <v>5152</v>
      </c>
    </row>
    <row r="2757" spans="1:6" ht="14.4" thickBot="1" x14ac:dyDescent="0.35">
      <c r="A2757" s="4" t="s">
        <v>1423</v>
      </c>
      <c r="B2757" s="4" t="s">
        <v>1424</v>
      </c>
      <c r="C2757" s="4" t="s">
        <v>1423</v>
      </c>
      <c r="D2757" s="4" t="s">
        <v>1427</v>
      </c>
      <c r="E2757" s="4" t="s">
        <v>1428</v>
      </c>
      <c r="F2757" s="4" t="s">
        <v>1427</v>
      </c>
    </row>
    <row r="2758" spans="1:6" ht="14.4" thickBot="1" x14ac:dyDescent="0.35">
      <c r="A2758" s="4" t="s">
        <v>1423</v>
      </c>
      <c r="B2758" s="4" t="s">
        <v>1424</v>
      </c>
      <c r="C2758" s="4" t="s">
        <v>1423</v>
      </c>
      <c r="D2758" s="4" t="s">
        <v>5825</v>
      </c>
      <c r="E2758" s="4" t="s">
        <v>5826</v>
      </c>
      <c r="F2758" s="4" t="s">
        <v>5825</v>
      </c>
    </row>
    <row r="2759" spans="1:6" ht="14.4" thickBot="1" x14ac:dyDescent="0.35">
      <c r="A2759" s="4" t="s">
        <v>1423</v>
      </c>
      <c r="B2759" s="4" t="s">
        <v>1424</v>
      </c>
      <c r="C2759" s="4" t="s">
        <v>1423</v>
      </c>
      <c r="D2759" s="4" t="s">
        <v>3672</v>
      </c>
      <c r="E2759" s="4" t="s">
        <v>3673</v>
      </c>
      <c r="F2759" s="4" t="s">
        <v>3672</v>
      </c>
    </row>
    <row r="2760" spans="1:6" ht="14.4" thickBot="1" x14ac:dyDescent="0.35">
      <c r="A2760" s="4" t="s">
        <v>1423</v>
      </c>
      <c r="B2760" s="4" t="s">
        <v>1424</v>
      </c>
      <c r="C2760" s="4" t="s">
        <v>1423</v>
      </c>
      <c r="D2760" s="4" t="s">
        <v>3735</v>
      </c>
      <c r="E2760" s="4" t="s">
        <v>3736</v>
      </c>
      <c r="F2760" s="4" t="s">
        <v>3735</v>
      </c>
    </row>
    <row r="2761" spans="1:6" ht="14.4" thickBot="1" x14ac:dyDescent="0.35">
      <c r="A2761" s="4" t="s">
        <v>1423</v>
      </c>
      <c r="B2761" s="4" t="s">
        <v>1424</v>
      </c>
      <c r="C2761" s="4" t="s">
        <v>1423</v>
      </c>
      <c r="D2761" s="4" t="s">
        <v>1425</v>
      </c>
      <c r="E2761" s="4" t="s">
        <v>1426</v>
      </c>
      <c r="F2761" s="4" t="s">
        <v>1425</v>
      </c>
    </row>
    <row r="2762" spans="1:6" ht="14.4" thickBot="1" x14ac:dyDescent="0.35">
      <c r="A2762" s="4" t="s">
        <v>1423</v>
      </c>
      <c r="B2762" s="4" t="s">
        <v>1424</v>
      </c>
      <c r="C2762" s="4" t="s">
        <v>1423</v>
      </c>
      <c r="D2762" s="4" t="s">
        <v>3003</v>
      </c>
      <c r="E2762" s="4" t="s">
        <v>3004</v>
      </c>
      <c r="F2762" s="4" t="s">
        <v>3003</v>
      </c>
    </row>
    <row r="2763" spans="1:6" ht="14.4" thickBot="1" x14ac:dyDescent="0.35">
      <c r="A2763" s="4" t="s">
        <v>1423</v>
      </c>
      <c r="B2763" s="4" t="s">
        <v>1424</v>
      </c>
      <c r="C2763" s="4" t="s">
        <v>1423</v>
      </c>
      <c r="D2763" s="4" t="s">
        <v>3733</v>
      </c>
      <c r="E2763" s="4" t="s">
        <v>3734</v>
      </c>
      <c r="F2763" s="4" t="s">
        <v>3733</v>
      </c>
    </row>
    <row r="2764" spans="1:6" ht="14.4" thickBot="1" x14ac:dyDescent="0.35">
      <c r="A2764" s="4" t="s">
        <v>1423</v>
      </c>
      <c r="B2764" s="4" t="s">
        <v>1424</v>
      </c>
      <c r="C2764" s="4" t="s">
        <v>1423</v>
      </c>
      <c r="D2764" s="4" t="s">
        <v>5154</v>
      </c>
      <c r="E2764" s="4" t="s">
        <v>5155</v>
      </c>
      <c r="F2764" s="4" t="s">
        <v>5154</v>
      </c>
    </row>
    <row r="2765" spans="1:6" ht="14.4" thickBot="1" x14ac:dyDescent="0.35">
      <c r="A2765" s="4" t="s">
        <v>863</v>
      </c>
      <c r="B2765" s="4" t="s">
        <v>864</v>
      </c>
      <c r="C2765" s="4" t="s">
        <v>863</v>
      </c>
      <c r="D2765" s="4" t="s">
        <v>4697</v>
      </c>
      <c r="E2765" s="4" t="s">
        <v>4698</v>
      </c>
      <c r="F2765" s="4" t="s">
        <v>4697</v>
      </c>
    </row>
    <row r="2766" spans="1:6" ht="14.4" thickBot="1" x14ac:dyDescent="0.35">
      <c r="A2766" s="4" t="s">
        <v>863</v>
      </c>
      <c r="B2766" s="4" t="s">
        <v>864</v>
      </c>
      <c r="C2766" s="4" t="s">
        <v>863</v>
      </c>
      <c r="D2766" s="4" t="s">
        <v>3170</v>
      </c>
      <c r="E2766" s="4" t="s">
        <v>3171</v>
      </c>
      <c r="F2766" s="4" t="s">
        <v>3170</v>
      </c>
    </row>
    <row r="2767" spans="1:6" ht="14.4" thickBot="1" x14ac:dyDescent="0.35">
      <c r="A2767" s="4" t="s">
        <v>863</v>
      </c>
      <c r="B2767" s="4" t="s">
        <v>864</v>
      </c>
      <c r="C2767" s="4" t="s">
        <v>863</v>
      </c>
      <c r="D2767" s="4" t="s">
        <v>4695</v>
      </c>
      <c r="E2767" s="4" t="s">
        <v>4696</v>
      </c>
      <c r="F2767" s="4" t="s">
        <v>4695</v>
      </c>
    </row>
    <row r="2768" spans="1:6" ht="14.4" thickBot="1" x14ac:dyDescent="0.35">
      <c r="A2768" s="4" t="s">
        <v>863</v>
      </c>
      <c r="B2768" s="4" t="s">
        <v>864</v>
      </c>
      <c r="C2768" s="4" t="s">
        <v>863</v>
      </c>
      <c r="D2768" s="4" t="s">
        <v>2507</v>
      </c>
      <c r="E2768" s="4" t="s">
        <v>2508</v>
      </c>
      <c r="F2768" s="4" t="s">
        <v>2507</v>
      </c>
    </row>
    <row r="2769" spans="1:6" ht="14.4" thickBot="1" x14ac:dyDescent="0.35">
      <c r="A2769" s="4" t="s">
        <v>863</v>
      </c>
      <c r="B2769" s="4" t="s">
        <v>864</v>
      </c>
      <c r="C2769" s="4" t="s">
        <v>863</v>
      </c>
      <c r="D2769" s="4" t="s">
        <v>5480</v>
      </c>
      <c r="E2769" s="4" t="s">
        <v>5481</v>
      </c>
      <c r="F2769" s="4" t="s">
        <v>5480</v>
      </c>
    </row>
    <row r="2770" spans="1:6" ht="14.4" thickBot="1" x14ac:dyDescent="0.35">
      <c r="A2770" s="4" t="s">
        <v>863</v>
      </c>
      <c r="B2770" s="4" t="s">
        <v>864</v>
      </c>
      <c r="C2770" s="4" t="s">
        <v>863</v>
      </c>
      <c r="D2770" s="4" t="s">
        <v>3268</v>
      </c>
      <c r="E2770" s="4" t="s">
        <v>3269</v>
      </c>
      <c r="F2770" s="4" t="s">
        <v>3268</v>
      </c>
    </row>
    <row r="2771" spans="1:6" ht="14.4" thickBot="1" x14ac:dyDescent="0.35">
      <c r="A2771" s="4" t="s">
        <v>863</v>
      </c>
      <c r="B2771" s="4" t="s">
        <v>864</v>
      </c>
      <c r="C2771" s="4" t="s">
        <v>863</v>
      </c>
      <c r="D2771" s="4" t="s">
        <v>4078</v>
      </c>
      <c r="E2771" s="4" t="s">
        <v>4079</v>
      </c>
      <c r="F2771" s="4" t="s">
        <v>4078</v>
      </c>
    </row>
    <row r="2772" spans="1:6" ht="14.4" thickBot="1" x14ac:dyDescent="0.35">
      <c r="A2772" s="4" t="s">
        <v>863</v>
      </c>
      <c r="B2772" s="4" t="s">
        <v>864</v>
      </c>
      <c r="C2772" s="4" t="s">
        <v>863</v>
      </c>
      <c r="D2772" s="4" t="s">
        <v>6186</v>
      </c>
      <c r="E2772" s="4" t="s">
        <v>6187</v>
      </c>
      <c r="F2772" s="4" t="s">
        <v>6186</v>
      </c>
    </row>
    <row r="2773" spans="1:6" ht="14.4" thickBot="1" x14ac:dyDescent="0.35">
      <c r="A2773" s="4" t="s">
        <v>863</v>
      </c>
      <c r="B2773" s="4" t="s">
        <v>864</v>
      </c>
      <c r="C2773" s="4" t="s">
        <v>863</v>
      </c>
      <c r="D2773" s="4" t="s">
        <v>877</v>
      </c>
      <c r="E2773" s="4" t="s">
        <v>878</v>
      </c>
      <c r="F2773" s="4" t="s">
        <v>877</v>
      </c>
    </row>
    <row r="2774" spans="1:6" ht="14.4" thickBot="1" x14ac:dyDescent="0.35">
      <c r="A2774" s="4" t="s">
        <v>863</v>
      </c>
      <c r="B2774" s="4" t="s">
        <v>864</v>
      </c>
      <c r="C2774" s="4" t="s">
        <v>863</v>
      </c>
      <c r="D2774" s="4" t="s">
        <v>1852</v>
      </c>
      <c r="E2774" s="4" t="s">
        <v>1853</v>
      </c>
      <c r="F2774" s="4" t="s">
        <v>1852</v>
      </c>
    </row>
    <row r="2775" spans="1:6" ht="14.4" thickBot="1" x14ac:dyDescent="0.35">
      <c r="A2775" s="4" t="s">
        <v>863</v>
      </c>
      <c r="B2775" s="4" t="s">
        <v>864</v>
      </c>
      <c r="C2775" s="4" t="s">
        <v>863</v>
      </c>
      <c r="D2775" s="4" t="s">
        <v>2509</v>
      </c>
      <c r="E2775" s="4" t="s">
        <v>2510</v>
      </c>
      <c r="F2775" s="4" t="s">
        <v>2509</v>
      </c>
    </row>
    <row r="2776" spans="1:6" ht="14.4" thickBot="1" x14ac:dyDescent="0.35">
      <c r="A2776" s="4" t="s">
        <v>863</v>
      </c>
      <c r="B2776" s="4" t="s">
        <v>864</v>
      </c>
      <c r="C2776" s="4" t="s">
        <v>863</v>
      </c>
      <c r="D2776" s="4" t="s">
        <v>5482</v>
      </c>
      <c r="E2776" s="4" t="s">
        <v>5483</v>
      </c>
      <c r="F2776" s="4" t="s">
        <v>5482</v>
      </c>
    </row>
    <row r="2777" spans="1:6" ht="14.4" thickBot="1" x14ac:dyDescent="0.35">
      <c r="A2777" s="4" t="s">
        <v>863</v>
      </c>
      <c r="B2777" s="4" t="s">
        <v>864</v>
      </c>
      <c r="C2777" s="4" t="s">
        <v>863</v>
      </c>
      <c r="D2777" s="4" t="s">
        <v>5484</v>
      </c>
      <c r="E2777" s="4" t="s">
        <v>5485</v>
      </c>
      <c r="F2777" s="4" t="s">
        <v>5484</v>
      </c>
    </row>
    <row r="2778" spans="1:6" ht="14.4" thickBot="1" x14ac:dyDescent="0.35">
      <c r="A2778" s="4" t="s">
        <v>863</v>
      </c>
      <c r="B2778" s="4" t="s">
        <v>864</v>
      </c>
      <c r="C2778" s="4" t="s">
        <v>863</v>
      </c>
      <c r="D2778" s="4" t="s">
        <v>2511</v>
      </c>
      <c r="E2778" s="4" t="s">
        <v>2512</v>
      </c>
      <c r="F2778" s="4" t="s">
        <v>2511</v>
      </c>
    </row>
    <row r="2779" spans="1:6" ht="14.4" thickBot="1" x14ac:dyDescent="0.35">
      <c r="A2779" s="4" t="s">
        <v>863</v>
      </c>
      <c r="B2779" s="4" t="s">
        <v>864</v>
      </c>
      <c r="C2779" s="4" t="s">
        <v>863</v>
      </c>
      <c r="D2779" s="4" t="s">
        <v>4701</v>
      </c>
      <c r="E2779" s="4" t="s">
        <v>4662</v>
      </c>
      <c r="F2779" s="4" t="s">
        <v>4701</v>
      </c>
    </row>
    <row r="2780" spans="1:6" ht="14.4" thickBot="1" x14ac:dyDescent="0.35">
      <c r="A2780" s="4" t="s">
        <v>863</v>
      </c>
      <c r="B2780" s="4" t="s">
        <v>864</v>
      </c>
      <c r="C2780" s="4" t="s">
        <v>863</v>
      </c>
      <c r="D2780" s="4" t="s">
        <v>328</v>
      </c>
      <c r="E2780" s="4" t="s">
        <v>6089</v>
      </c>
      <c r="F2780" s="4" t="s">
        <v>328</v>
      </c>
    </row>
    <row r="2781" spans="1:6" ht="14.4" thickBot="1" x14ac:dyDescent="0.35">
      <c r="A2781" s="4" t="s">
        <v>863</v>
      </c>
      <c r="B2781" s="4" t="s">
        <v>864</v>
      </c>
      <c r="C2781" s="4" t="s">
        <v>863</v>
      </c>
      <c r="D2781" s="4" t="s">
        <v>873</v>
      </c>
      <c r="E2781" s="4" t="s">
        <v>874</v>
      </c>
      <c r="F2781" s="4" t="s">
        <v>873</v>
      </c>
    </row>
    <row r="2782" spans="1:6" ht="14.4" thickBot="1" x14ac:dyDescent="0.35">
      <c r="A2782" s="4" t="s">
        <v>863</v>
      </c>
      <c r="B2782" s="4" t="s">
        <v>864</v>
      </c>
      <c r="C2782" s="4" t="s">
        <v>863</v>
      </c>
      <c r="D2782" s="4" t="s">
        <v>5478</v>
      </c>
      <c r="E2782" s="4" t="s">
        <v>5479</v>
      </c>
      <c r="F2782" s="4" t="s">
        <v>5478</v>
      </c>
    </row>
    <row r="2783" spans="1:6" ht="14.4" thickBot="1" x14ac:dyDescent="0.35">
      <c r="A2783" s="4" t="s">
        <v>863</v>
      </c>
      <c r="B2783" s="4" t="s">
        <v>864</v>
      </c>
      <c r="C2783" s="4" t="s">
        <v>863</v>
      </c>
      <c r="D2783" s="4" t="s">
        <v>3174</v>
      </c>
      <c r="E2783" s="4" t="s">
        <v>3175</v>
      </c>
      <c r="F2783" s="4" t="s">
        <v>3174</v>
      </c>
    </row>
    <row r="2784" spans="1:6" ht="14.4" thickBot="1" x14ac:dyDescent="0.35">
      <c r="A2784" s="4" t="s">
        <v>863</v>
      </c>
      <c r="B2784" s="4" t="s">
        <v>864</v>
      </c>
      <c r="C2784" s="4" t="s">
        <v>863</v>
      </c>
      <c r="D2784" s="4" t="s">
        <v>4790</v>
      </c>
      <c r="E2784" s="4" t="s">
        <v>4791</v>
      </c>
      <c r="F2784" s="4" t="s">
        <v>4790</v>
      </c>
    </row>
    <row r="2785" spans="1:6" ht="14.4" thickBot="1" x14ac:dyDescent="0.35">
      <c r="A2785" s="4" t="s">
        <v>863</v>
      </c>
      <c r="B2785" s="4" t="s">
        <v>864</v>
      </c>
      <c r="C2785" s="4" t="s">
        <v>863</v>
      </c>
      <c r="D2785" s="4" t="s">
        <v>867</v>
      </c>
      <c r="E2785" s="4" t="s">
        <v>868</v>
      </c>
      <c r="F2785" s="4" t="s">
        <v>867</v>
      </c>
    </row>
    <row r="2786" spans="1:6" ht="14.4" thickBot="1" x14ac:dyDescent="0.35">
      <c r="A2786" s="4" t="s">
        <v>863</v>
      </c>
      <c r="B2786" s="4" t="s">
        <v>864</v>
      </c>
      <c r="C2786" s="4" t="s">
        <v>863</v>
      </c>
      <c r="D2786" s="4" t="s">
        <v>5397</v>
      </c>
      <c r="E2786" s="4" t="s">
        <v>5398</v>
      </c>
      <c r="F2786" s="4" t="s">
        <v>5397</v>
      </c>
    </row>
    <row r="2787" spans="1:6" ht="14.4" thickBot="1" x14ac:dyDescent="0.35">
      <c r="A2787" s="4" t="s">
        <v>863</v>
      </c>
      <c r="B2787" s="4" t="s">
        <v>864</v>
      </c>
      <c r="C2787" s="4" t="s">
        <v>863</v>
      </c>
      <c r="D2787" s="4" t="s">
        <v>879</v>
      </c>
      <c r="E2787" s="4" t="s">
        <v>880</v>
      </c>
      <c r="F2787" s="4" t="s">
        <v>879</v>
      </c>
    </row>
    <row r="2788" spans="1:6" ht="14.4" thickBot="1" x14ac:dyDescent="0.35">
      <c r="A2788" s="4" t="s">
        <v>863</v>
      </c>
      <c r="B2788" s="4" t="s">
        <v>864</v>
      </c>
      <c r="C2788" s="4" t="s">
        <v>863</v>
      </c>
      <c r="D2788" s="4" t="s">
        <v>3176</v>
      </c>
      <c r="E2788" s="4" t="s">
        <v>3177</v>
      </c>
      <c r="F2788" s="4" t="s">
        <v>3176</v>
      </c>
    </row>
    <row r="2789" spans="1:6" ht="14.4" thickBot="1" x14ac:dyDescent="0.35">
      <c r="A2789" s="4" t="s">
        <v>863</v>
      </c>
      <c r="B2789" s="4" t="s">
        <v>864</v>
      </c>
      <c r="C2789" s="4" t="s">
        <v>863</v>
      </c>
      <c r="D2789" s="4" t="s">
        <v>3168</v>
      </c>
      <c r="E2789" s="4" t="s">
        <v>3169</v>
      </c>
      <c r="F2789" s="4" t="s">
        <v>3168</v>
      </c>
    </row>
    <row r="2790" spans="1:6" ht="14.4" thickBot="1" x14ac:dyDescent="0.35">
      <c r="A2790" s="4" t="s">
        <v>863</v>
      </c>
      <c r="B2790" s="4" t="s">
        <v>864</v>
      </c>
      <c r="C2790" s="4" t="s">
        <v>863</v>
      </c>
      <c r="D2790" s="4" t="s">
        <v>4699</v>
      </c>
      <c r="E2790" s="4" t="s">
        <v>4700</v>
      </c>
      <c r="F2790" s="4" t="s">
        <v>4699</v>
      </c>
    </row>
    <row r="2791" spans="1:6" ht="14.4" thickBot="1" x14ac:dyDescent="0.35">
      <c r="A2791" s="4" t="s">
        <v>863</v>
      </c>
      <c r="B2791" s="4" t="s">
        <v>864</v>
      </c>
      <c r="C2791" s="4" t="s">
        <v>863</v>
      </c>
      <c r="D2791" s="4" t="s">
        <v>1746</v>
      </c>
      <c r="E2791" s="4" t="s">
        <v>1747</v>
      </c>
      <c r="F2791" s="4" t="s">
        <v>1746</v>
      </c>
    </row>
    <row r="2792" spans="1:6" ht="14.4" thickBot="1" x14ac:dyDescent="0.35">
      <c r="A2792" s="4" t="s">
        <v>863</v>
      </c>
      <c r="B2792" s="4" t="s">
        <v>864</v>
      </c>
      <c r="C2792" s="4" t="s">
        <v>863</v>
      </c>
      <c r="D2792" s="4" t="s">
        <v>2433</v>
      </c>
      <c r="E2792" s="4" t="s">
        <v>2434</v>
      </c>
      <c r="F2792" s="4" t="s">
        <v>2433</v>
      </c>
    </row>
    <row r="2793" spans="1:6" ht="14.4" thickBot="1" x14ac:dyDescent="0.35">
      <c r="A2793" s="4" t="s">
        <v>863</v>
      </c>
      <c r="B2793" s="4" t="s">
        <v>864</v>
      </c>
      <c r="C2793" s="4" t="s">
        <v>863</v>
      </c>
      <c r="D2793" s="4" t="s">
        <v>4084</v>
      </c>
      <c r="E2793" s="4" t="s">
        <v>4085</v>
      </c>
      <c r="F2793" s="4" t="s">
        <v>4084</v>
      </c>
    </row>
    <row r="2794" spans="1:6" ht="14.4" thickBot="1" x14ac:dyDescent="0.35">
      <c r="A2794" s="4" t="s">
        <v>863</v>
      </c>
      <c r="B2794" s="4" t="s">
        <v>864</v>
      </c>
      <c r="C2794" s="4" t="s">
        <v>863</v>
      </c>
      <c r="D2794" s="4" t="s">
        <v>5476</v>
      </c>
      <c r="E2794" s="4" t="s">
        <v>5477</v>
      </c>
      <c r="F2794" s="4" t="s">
        <v>5476</v>
      </c>
    </row>
    <row r="2795" spans="1:6" ht="14.4" thickBot="1" x14ac:dyDescent="0.35">
      <c r="A2795" s="4" t="s">
        <v>863</v>
      </c>
      <c r="B2795" s="4" t="s">
        <v>864</v>
      </c>
      <c r="C2795" s="4" t="s">
        <v>863</v>
      </c>
      <c r="D2795" s="4" t="s">
        <v>6190</v>
      </c>
      <c r="E2795" s="4" t="s">
        <v>1527</v>
      </c>
      <c r="F2795" s="4" t="s">
        <v>6190</v>
      </c>
    </row>
    <row r="2796" spans="1:6" ht="14.4" thickBot="1" x14ac:dyDescent="0.35">
      <c r="A2796" s="4" t="s">
        <v>863</v>
      </c>
      <c r="B2796" s="4" t="s">
        <v>864</v>
      </c>
      <c r="C2796" s="4" t="s">
        <v>863</v>
      </c>
      <c r="D2796" s="4" t="s">
        <v>2431</v>
      </c>
      <c r="E2796" s="4" t="s">
        <v>2432</v>
      </c>
      <c r="F2796" s="4" t="s">
        <v>2431</v>
      </c>
    </row>
    <row r="2797" spans="1:6" ht="14.4" thickBot="1" x14ac:dyDescent="0.35">
      <c r="A2797" s="4" t="s">
        <v>863</v>
      </c>
      <c r="B2797" s="4" t="s">
        <v>864</v>
      </c>
      <c r="C2797" s="4" t="s">
        <v>863</v>
      </c>
      <c r="D2797" s="4" t="s">
        <v>6087</v>
      </c>
      <c r="E2797" s="4" t="s">
        <v>6088</v>
      </c>
      <c r="F2797" s="4" t="s">
        <v>6087</v>
      </c>
    </row>
    <row r="2798" spans="1:6" ht="14.4" thickBot="1" x14ac:dyDescent="0.35">
      <c r="A2798" s="4" t="s">
        <v>863</v>
      </c>
      <c r="B2798" s="4" t="s">
        <v>864</v>
      </c>
      <c r="C2798" s="4" t="s">
        <v>863</v>
      </c>
      <c r="D2798" s="4" t="s">
        <v>1744</v>
      </c>
      <c r="E2798" s="4" t="s">
        <v>1745</v>
      </c>
      <c r="F2798" s="4" t="s">
        <v>1744</v>
      </c>
    </row>
    <row r="2799" spans="1:6" ht="14.4" thickBot="1" x14ac:dyDescent="0.35">
      <c r="A2799" s="4" t="s">
        <v>863</v>
      </c>
      <c r="B2799" s="4" t="s">
        <v>864</v>
      </c>
      <c r="C2799" s="4" t="s">
        <v>863</v>
      </c>
      <c r="D2799" s="4" t="s">
        <v>4082</v>
      </c>
      <c r="E2799" s="4" t="s">
        <v>4083</v>
      </c>
      <c r="F2799" s="4" t="s">
        <v>4082</v>
      </c>
    </row>
    <row r="2800" spans="1:6" ht="14.4" thickBot="1" x14ac:dyDescent="0.35">
      <c r="A2800" s="4" t="s">
        <v>863</v>
      </c>
      <c r="B2800" s="4" t="s">
        <v>864</v>
      </c>
      <c r="C2800" s="4" t="s">
        <v>863</v>
      </c>
      <c r="D2800" s="4" t="s">
        <v>6188</v>
      </c>
      <c r="E2800" s="4" t="s">
        <v>6189</v>
      </c>
      <c r="F2800" s="4" t="s">
        <v>6188</v>
      </c>
    </row>
    <row r="2801" spans="1:6" ht="14.4" thickBot="1" x14ac:dyDescent="0.35">
      <c r="A2801" s="4" t="s">
        <v>863</v>
      </c>
      <c r="B2801" s="4" t="s">
        <v>864</v>
      </c>
      <c r="C2801" s="4" t="s">
        <v>863</v>
      </c>
      <c r="D2801" s="4" t="s">
        <v>4786</v>
      </c>
      <c r="E2801" s="4" t="s">
        <v>4787</v>
      </c>
      <c r="F2801" s="4" t="s">
        <v>4786</v>
      </c>
    </row>
    <row r="2802" spans="1:6" ht="14.4" thickBot="1" x14ac:dyDescent="0.35">
      <c r="A2802" s="4" t="s">
        <v>863</v>
      </c>
      <c r="B2802" s="4" t="s">
        <v>864</v>
      </c>
      <c r="C2802" s="4" t="s">
        <v>863</v>
      </c>
      <c r="D2802" s="4" t="s">
        <v>977</v>
      </c>
      <c r="E2802" s="4" t="s">
        <v>978</v>
      </c>
      <c r="F2802" s="4" t="s">
        <v>977</v>
      </c>
    </row>
    <row r="2803" spans="1:6" ht="14.4" thickBot="1" x14ac:dyDescent="0.35">
      <c r="A2803" s="4" t="s">
        <v>863</v>
      </c>
      <c r="B2803" s="4" t="s">
        <v>864</v>
      </c>
      <c r="C2803" s="4" t="s">
        <v>863</v>
      </c>
      <c r="D2803" s="4" t="s">
        <v>3998</v>
      </c>
      <c r="E2803" s="4" t="s">
        <v>3774</v>
      </c>
      <c r="F2803" s="4" t="s">
        <v>3998</v>
      </c>
    </row>
    <row r="2804" spans="1:6" ht="14.4" thickBot="1" x14ac:dyDescent="0.35">
      <c r="A2804" s="4" t="s">
        <v>863</v>
      </c>
      <c r="B2804" s="4" t="s">
        <v>864</v>
      </c>
      <c r="C2804" s="4" t="s">
        <v>863</v>
      </c>
      <c r="D2804" s="4" t="s">
        <v>5395</v>
      </c>
      <c r="E2804" s="4" t="s">
        <v>5396</v>
      </c>
      <c r="F2804" s="4" t="s">
        <v>5395</v>
      </c>
    </row>
    <row r="2805" spans="1:6" ht="14.4" thickBot="1" x14ac:dyDescent="0.35">
      <c r="A2805" s="4" t="s">
        <v>863</v>
      </c>
      <c r="B2805" s="4" t="s">
        <v>864</v>
      </c>
      <c r="C2805" s="4" t="s">
        <v>863</v>
      </c>
      <c r="D2805" s="4" t="s">
        <v>3172</v>
      </c>
      <c r="E2805" s="4" t="s">
        <v>3173</v>
      </c>
      <c r="F2805" s="4" t="s">
        <v>3172</v>
      </c>
    </row>
    <row r="2806" spans="1:6" ht="14.4" thickBot="1" x14ac:dyDescent="0.35">
      <c r="A2806" s="4" t="s">
        <v>863</v>
      </c>
      <c r="B2806" s="4" t="s">
        <v>864</v>
      </c>
      <c r="C2806" s="4" t="s">
        <v>863</v>
      </c>
      <c r="D2806" s="4" t="s">
        <v>875</v>
      </c>
      <c r="E2806" s="4" t="s">
        <v>876</v>
      </c>
      <c r="F2806" s="4" t="s">
        <v>875</v>
      </c>
    </row>
    <row r="2807" spans="1:6" ht="14.4" thickBot="1" x14ac:dyDescent="0.35">
      <c r="A2807" s="4" t="s">
        <v>863</v>
      </c>
      <c r="B2807" s="4" t="s">
        <v>864</v>
      </c>
      <c r="C2807" s="4" t="s">
        <v>863</v>
      </c>
      <c r="D2807" s="4" t="s">
        <v>871</v>
      </c>
      <c r="E2807" s="4" t="s">
        <v>872</v>
      </c>
      <c r="F2807" s="4" t="s">
        <v>871</v>
      </c>
    </row>
    <row r="2808" spans="1:6" ht="14.4" thickBot="1" x14ac:dyDescent="0.35">
      <c r="A2808" s="4" t="s">
        <v>863</v>
      </c>
      <c r="B2808" s="4" t="s">
        <v>864</v>
      </c>
      <c r="C2808" s="4" t="s">
        <v>863</v>
      </c>
      <c r="D2808" s="4" t="s">
        <v>3270</v>
      </c>
      <c r="E2808" s="4" t="s">
        <v>3271</v>
      </c>
      <c r="F2808" s="4" t="s">
        <v>3270</v>
      </c>
    </row>
    <row r="2809" spans="1:6" ht="14.4" thickBot="1" x14ac:dyDescent="0.35">
      <c r="A2809" s="4" t="s">
        <v>863</v>
      </c>
      <c r="B2809" s="4" t="s">
        <v>864</v>
      </c>
      <c r="C2809" s="4" t="s">
        <v>863</v>
      </c>
      <c r="D2809" s="4" t="s">
        <v>1854</v>
      </c>
      <c r="E2809" s="4" t="s">
        <v>1855</v>
      </c>
      <c r="F2809" s="4" t="s">
        <v>1854</v>
      </c>
    </row>
    <row r="2810" spans="1:6" ht="14.4" thickBot="1" x14ac:dyDescent="0.35">
      <c r="A2810" s="4" t="s">
        <v>863</v>
      </c>
      <c r="B2810" s="4" t="s">
        <v>864</v>
      </c>
      <c r="C2810" s="4" t="s">
        <v>863</v>
      </c>
      <c r="D2810" s="4" t="s">
        <v>5486</v>
      </c>
      <c r="E2810" s="4" t="s">
        <v>5487</v>
      </c>
      <c r="F2810" s="4" t="s">
        <v>5486</v>
      </c>
    </row>
    <row r="2811" spans="1:6" ht="14.4" thickBot="1" x14ac:dyDescent="0.35">
      <c r="A2811" s="4" t="s">
        <v>863</v>
      </c>
      <c r="B2811" s="4" t="s">
        <v>864</v>
      </c>
      <c r="C2811" s="4" t="s">
        <v>863</v>
      </c>
      <c r="D2811" s="4" t="s">
        <v>2513</v>
      </c>
      <c r="E2811" s="4" t="s">
        <v>2514</v>
      </c>
      <c r="F2811" s="4" t="s">
        <v>2513</v>
      </c>
    </row>
    <row r="2812" spans="1:6" ht="14.4" thickBot="1" x14ac:dyDescent="0.35">
      <c r="A2812" s="4" t="s">
        <v>863</v>
      </c>
      <c r="B2812" s="4" t="s">
        <v>864</v>
      </c>
      <c r="C2812" s="4" t="s">
        <v>863</v>
      </c>
      <c r="D2812" s="4" t="s">
        <v>4080</v>
      </c>
      <c r="E2812" s="4" t="s">
        <v>4081</v>
      </c>
      <c r="F2812" s="4" t="s">
        <v>4080</v>
      </c>
    </row>
    <row r="2813" spans="1:6" ht="14.4" thickBot="1" x14ac:dyDescent="0.35">
      <c r="A2813" s="4" t="s">
        <v>863</v>
      </c>
      <c r="B2813" s="4" t="s">
        <v>864</v>
      </c>
      <c r="C2813" s="4" t="s">
        <v>863</v>
      </c>
      <c r="D2813" s="4" t="s">
        <v>6185</v>
      </c>
      <c r="E2813" s="4" t="s">
        <v>4134</v>
      </c>
      <c r="F2813" s="4" t="s">
        <v>6185</v>
      </c>
    </row>
    <row r="2814" spans="1:6" ht="14.4" thickBot="1" x14ac:dyDescent="0.35">
      <c r="A2814" s="4" t="s">
        <v>863</v>
      </c>
      <c r="B2814" s="4" t="s">
        <v>864</v>
      </c>
      <c r="C2814" s="4" t="s">
        <v>863</v>
      </c>
      <c r="D2814" s="4" t="s">
        <v>2429</v>
      </c>
      <c r="E2814" s="4" t="s">
        <v>2430</v>
      </c>
      <c r="F2814" s="4" t="s">
        <v>2429</v>
      </c>
    </row>
    <row r="2815" spans="1:6" ht="14.4" thickBot="1" x14ac:dyDescent="0.35">
      <c r="A2815" s="4" t="s">
        <v>863</v>
      </c>
      <c r="B2815" s="4" t="s">
        <v>864</v>
      </c>
      <c r="C2815" s="4" t="s">
        <v>863</v>
      </c>
      <c r="D2815" s="4" t="s">
        <v>1856</v>
      </c>
      <c r="E2815" s="4" t="s">
        <v>1857</v>
      </c>
      <c r="F2815" s="4" t="s">
        <v>1856</v>
      </c>
    </row>
    <row r="2816" spans="1:6" ht="14.4" thickBot="1" x14ac:dyDescent="0.35">
      <c r="A2816" s="4" t="s">
        <v>863</v>
      </c>
      <c r="B2816" s="4" t="s">
        <v>864</v>
      </c>
      <c r="C2816" s="4" t="s">
        <v>863</v>
      </c>
      <c r="D2816" s="4" t="s">
        <v>5399</v>
      </c>
      <c r="E2816" s="4" t="s">
        <v>5400</v>
      </c>
      <c r="F2816" s="4" t="s">
        <v>5399</v>
      </c>
    </row>
    <row r="2817" spans="1:6" ht="14.4" thickBot="1" x14ac:dyDescent="0.35">
      <c r="A2817" s="4" t="s">
        <v>863</v>
      </c>
      <c r="B2817" s="4" t="s">
        <v>864</v>
      </c>
      <c r="C2817" s="4" t="s">
        <v>863</v>
      </c>
      <c r="D2817" s="4" t="s">
        <v>2428</v>
      </c>
      <c r="E2817" s="4" t="s">
        <v>629</v>
      </c>
      <c r="F2817" s="4" t="s">
        <v>2428</v>
      </c>
    </row>
    <row r="2818" spans="1:6" ht="14.4" thickBot="1" x14ac:dyDescent="0.35">
      <c r="A2818" s="4" t="s">
        <v>863</v>
      </c>
      <c r="B2818" s="4" t="s">
        <v>864</v>
      </c>
      <c r="C2818" s="4" t="s">
        <v>863</v>
      </c>
      <c r="D2818" s="4" t="s">
        <v>3999</v>
      </c>
      <c r="E2818" s="4" t="s">
        <v>4000</v>
      </c>
      <c r="F2818" s="4" t="s">
        <v>3999</v>
      </c>
    </row>
    <row r="2819" spans="1:6" ht="14.4" thickBot="1" x14ac:dyDescent="0.35">
      <c r="A2819" s="4" t="s">
        <v>863</v>
      </c>
      <c r="B2819" s="4" t="s">
        <v>864</v>
      </c>
      <c r="C2819" s="4" t="s">
        <v>863</v>
      </c>
      <c r="D2819" s="4" t="s">
        <v>1742</v>
      </c>
      <c r="E2819" s="4" t="s">
        <v>1743</v>
      </c>
      <c r="F2819" s="4" t="s">
        <v>1742</v>
      </c>
    </row>
    <row r="2820" spans="1:6" ht="14.4" thickBot="1" x14ac:dyDescent="0.35">
      <c r="A2820" s="4" t="s">
        <v>863</v>
      </c>
      <c r="B2820" s="4" t="s">
        <v>864</v>
      </c>
      <c r="C2820" s="4" t="s">
        <v>863</v>
      </c>
      <c r="D2820" s="4" t="s">
        <v>5488</v>
      </c>
      <c r="E2820" s="4" t="s">
        <v>5489</v>
      </c>
      <c r="F2820" s="4" t="s">
        <v>5488</v>
      </c>
    </row>
    <row r="2821" spans="1:6" ht="14.4" thickBot="1" x14ac:dyDescent="0.35">
      <c r="A2821" s="4" t="s">
        <v>863</v>
      </c>
      <c r="B2821" s="4" t="s">
        <v>864</v>
      </c>
      <c r="C2821" s="4" t="s">
        <v>863</v>
      </c>
      <c r="D2821" s="4" t="s">
        <v>865</v>
      </c>
      <c r="E2821" s="4" t="s">
        <v>866</v>
      </c>
      <c r="F2821" s="4" t="s">
        <v>865</v>
      </c>
    </row>
    <row r="2822" spans="1:6" ht="14.4" thickBot="1" x14ac:dyDescent="0.35">
      <c r="A2822" s="4" t="s">
        <v>863</v>
      </c>
      <c r="B2822" s="4" t="s">
        <v>864</v>
      </c>
      <c r="C2822" s="4" t="s">
        <v>863</v>
      </c>
      <c r="D2822" s="4" t="s">
        <v>4788</v>
      </c>
      <c r="E2822" s="4" t="s">
        <v>4789</v>
      </c>
      <c r="F2822" s="4" t="s">
        <v>4788</v>
      </c>
    </row>
    <row r="2823" spans="1:6" ht="14.4" thickBot="1" x14ac:dyDescent="0.35">
      <c r="A2823" s="4" t="s">
        <v>863</v>
      </c>
      <c r="B2823" s="4" t="s">
        <v>864</v>
      </c>
      <c r="C2823" s="4" t="s">
        <v>863</v>
      </c>
      <c r="D2823" s="4" t="s">
        <v>869</v>
      </c>
      <c r="E2823" s="4" t="s">
        <v>870</v>
      </c>
      <c r="F2823" s="4" t="s">
        <v>869</v>
      </c>
    </row>
    <row r="2824" spans="1:6" ht="14.4" thickBot="1" x14ac:dyDescent="0.35">
      <c r="A2824" s="4" t="s">
        <v>863</v>
      </c>
      <c r="B2824" s="4" t="s">
        <v>864</v>
      </c>
      <c r="C2824" s="4" t="s">
        <v>863</v>
      </c>
      <c r="D2824" s="4" t="s">
        <v>5490</v>
      </c>
      <c r="E2824" s="4" t="s">
        <v>5491</v>
      </c>
      <c r="F2824" s="4" t="s">
        <v>5490</v>
      </c>
    </row>
    <row r="2825" spans="1:6" ht="14.4" thickBot="1" x14ac:dyDescent="0.35">
      <c r="A2825" s="4" t="s">
        <v>1429</v>
      </c>
      <c r="B2825" s="4" t="s">
        <v>1430</v>
      </c>
      <c r="C2825" s="4" t="s">
        <v>1429</v>
      </c>
      <c r="D2825" s="4" t="s">
        <v>5156</v>
      </c>
      <c r="E2825" s="4" t="s">
        <v>5157</v>
      </c>
      <c r="F2825" s="4" t="s">
        <v>5156</v>
      </c>
    </row>
    <row r="2826" spans="1:6" ht="14.4" thickBot="1" x14ac:dyDescent="0.35">
      <c r="A2826" s="4" t="s">
        <v>1429</v>
      </c>
      <c r="B2826" s="4" t="s">
        <v>1430</v>
      </c>
      <c r="C2826" s="4" t="s">
        <v>1429</v>
      </c>
      <c r="D2826" s="4" t="s">
        <v>3005</v>
      </c>
      <c r="E2826" s="4" t="s">
        <v>3006</v>
      </c>
      <c r="F2826" s="4" t="s">
        <v>3005</v>
      </c>
    </row>
    <row r="2827" spans="1:6" ht="14.4" thickBot="1" x14ac:dyDescent="0.35">
      <c r="A2827" s="4" t="s">
        <v>1429</v>
      </c>
      <c r="B2827" s="4" t="s">
        <v>1430</v>
      </c>
      <c r="C2827" s="4" t="s">
        <v>1429</v>
      </c>
      <c r="D2827" s="4" t="s">
        <v>4450</v>
      </c>
      <c r="E2827" s="4" t="s">
        <v>4451</v>
      </c>
      <c r="F2827" s="4" t="s">
        <v>4450</v>
      </c>
    </row>
    <row r="2828" spans="1:6" ht="14.4" thickBot="1" x14ac:dyDescent="0.35">
      <c r="A2828" s="4" t="s">
        <v>1429</v>
      </c>
      <c r="B2828" s="4" t="s">
        <v>1430</v>
      </c>
      <c r="C2828" s="4" t="s">
        <v>1429</v>
      </c>
      <c r="D2828" s="4" t="s">
        <v>1431</v>
      </c>
      <c r="E2828" s="4" t="s">
        <v>1432</v>
      </c>
      <c r="F2828" s="4" t="s">
        <v>1431</v>
      </c>
    </row>
    <row r="2829" spans="1:6" ht="14.4" thickBot="1" x14ac:dyDescent="0.35">
      <c r="A2829" s="4" t="s">
        <v>1433</v>
      </c>
      <c r="B2829" s="4" t="s">
        <v>1434</v>
      </c>
      <c r="C2829" s="4" t="s">
        <v>1433</v>
      </c>
      <c r="D2829" s="4" t="s">
        <v>1435</v>
      </c>
      <c r="E2829" s="4" t="s">
        <v>1436</v>
      </c>
      <c r="F2829" s="4" t="s">
        <v>1435</v>
      </c>
    </row>
    <row r="2830" spans="1:6" ht="14.4" thickBot="1" x14ac:dyDescent="0.35">
      <c r="A2830" s="4" t="s">
        <v>1433</v>
      </c>
      <c r="B2830" s="4" t="s">
        <v>1434</v>
      </c>
      <c r="C2830" s="4" t="s">
        <v>1433</v>
      </c>
      <c r="D2830" s="4" t="s">
        <v>855</v>
      </c>
      <c r="E2830" s="4" t="s">
        <v>3674</v>
      </c>
      <c r="F2830" s="4" t="s">
        <v>855</v>
      </c>
    </row>
    <row r="2831" spans="1:6" ht="14.4" thickBot="1" x14ac:dyDescent="0.35">
      <c r="A2831" s="4" t="s">
        <v>1433</v>
      </c>
      <c r="B2831" s="4" t="s">
        <v>1434</v>
      </c>
      <c r="C2831" s="4" t="s">
        <v>1433</v>
      </c>
      <c r="D2831" s="4" t="s">
        <v>4452</v>
      </c>
      <c r="E2831" s="4" t="s">
        <v>4453</v>
      </c>
      <c r="F2831" s="4" t="s">
        <v>4452</v>
      </c>
    </row>
    <row r="2832" spans="1:6" ht="14.4" thickBot="1" x14ac:dyDescent="0.35">
      <c r="A2832" s="4" t="s">
        <v>1433</v>
      </c>
      <c r="B2832" s="4" t="s">
        <v>1434</v>
      </c>
      <c r="C2832" s="4" t="s">
        <v>1433</v>
      </c>
      <c r="D2832" s="4" t="s">
        <v>2252</v>
      </c>
      <c r="E2832" s="4" t="s">
        <v>2253</v>
      </c>
      <c r="F2832" s="4" t="s">
        <v>2252</v>
      </c>
    </row>
    <row r="2833" spans="1:6" ht="14.4" thickBot="1" x14ac:dyDescent="0.35">
      <c r="A2833" s="4" t="s">
        <v>1433</v>
      </c>
      <c r="B2833" s="4" t="s">
        <v>1434</v>
      </c>
      <c r="C2833" s="4" t="s">
        <v>1433</v>
      </c>
      <c r="D2833" s="4" t="s">
        <v>5202</v>
      </c>
      <c r="E2833" s="4" t="s">
        <v>5203</v>
      </c>
      <c r="F2833" s="4" t="s">
        <v>5202</v>
      </c>
    </row>
    <row r="2834" spans="1:6" ht="14.4" thickBot="1" x14ac:dyDescent="0.35">
      <c r="A2834" s="4" t="s">
        <v>1433</v>
      </c>
      <c r="B2834" s="4" t="s">
        <v>1434</v>
      </c>
      <c r="C2834" s="4" t="s">
        <v>1433</v>
      </c>
      <c r="D2834" s="4" t="s">
        <v>2195</v>
      </c>
      <c r="E2834" s="4" t="s">
        <v>2196</v>
      </c>
      <c r="F2834" s="4" t="s">
        <v>2195</v>
      </c>
    </row>
    <row r="2835" spans="1:6" ht="14.4" thickBot="1" x14ac:dyDescent="0.35">
      <c r="A2835" s="4" t="s">
        <v>1433</v>
      </c>
      <c r="B2835" s="4" t="s">
        <v>1434</v>
      </c>
      <c r="C2835" s="4" t="s">
        <v>1433</v>
      </c>
      <c r="D2835" s="4" t="s">
        <v>5827</v>
      </c>
      <c r="E2835" s="4" t="s">
        <v>5828</v>
      </c>
      <c r="F2835" s="4" t="s">
        <v>5827</v>
      </c>
    </row>
    <row r="2836" spans="1:6" ht="14.4" thickBot="1" x14ac:dyDescent="0.35">
      <c r="A2836" s="4" t="s">
        <v>1433</v>
      </c>
      <c r="B2836" s="4" t="s">
        <v>1434</v>
      </c>
      <c r="C2836" s="4" t="s">
        <v>1433</v>
      </c>
      <c r="D2836" s="4" t="s">
        <v>2929</v>
      </c>
      <c r="E2836" s="4" t="s">
        <v>2930</v>
      </c>
      <c r="F2836" s="4" t="s">
        <v>2929</v>
      </c>
    </row>
    <row r="2837" spans="1:6" ht="14.4" thickBot="1" x14ac:dyDescent="0.35">
      <c r="A2837" s="4" t="s">
        <v>491</v>
      </c>
      <c r="B2837" s="4" t="s">
        <v>492</v>
      </c>
      <c r="C2837" s="4" t="s">
        <v>491</v>
      </c>
      <c r="D2837" s="4" t="s">
        <v>3007</v>
      </c>
      <c r="E2837" s="4" t="s">
        <v>3008</v>
      </c>
      <c r="F2837" s="4" t="s">
        <v>3007</v>
      </c>
    </row>
    <row r="2838" spans="1:6" ht="14.4" thickBot="1" x14ac:dyDescent="0.35">
      <c r="A2838" s="4" t="s">
        <v>491</v>
      </c>
      <c r="B2838" s="4" t="s">
        <v>492</v>
      </c>
      <c r="C2838" s="4" t="s">
        <v>491</v>
      </c>
      <c r="D2838" s="4" t="s">
        <v>5158</v>
      </c>
      <c r="E2838" s="4" t="s">
        <v>1359</v>
      </c>
      <c r="F2838" s="4" t="s">
        <v>5158</v>
      </c>
    </row>
    <row r="2839" spans="1:6" ht="14.4" thickBot="1" x14ac:dyDescent="0.35">
      <c r="A2839" s="4" t="s">
        <v>491</v>
      </c>
      <c r="B2839" s="4" t="s">
        <v>492</v>
      </c>
      <c r="C2839" s="4" t="s">
        <v>491</v>
      </c>
      <c r="D2839" s="4" t="s">
        <v>493</v>
      </c>
      <c r="E2839" s="4" t="s">
        <v>494</v>
      </c>
      <c r="F2839" s="4" t="s">
        <v>493</v>
      </c>
    </row>
    <row r="2840" spans="1:6" ht="14.4" thickBot="1" x14ac:dyDescent="0.35">
      <c r="A2840" s="4" t="s">
        <v>491</v>
      </c>
      <c r="B2840" s="4" t="s">
        <v>492</v>
      </c>
      <c r="C2840" s="4" t="s">
        <v>491</v>
      </c>
      <c r="D2840" s="4" t="s">
        <v>2197</v>
      </c>
      <c r="E2840" s="4" t="s">
        <v>2198</v>
      </c>
      <c r="F2840" s="4" t="s">
        <v>2197</v>
      </c>
    </row>
    <row r="2841" spans="1:6" ht="14.4" thickBot="1" x14ac:dyDescent="0.35">
      <c r="A2841" s="4" t="s">
        <v>3178</v>
      </c>
      <c r="B2841" s="4" t="s">
        <v>3179</v>
      </c>
      <c r="C2841" s="4" t="s">
        <v>3178</v>
      </c>
      <c r="D2841" s="4" t="s">
        <v>4001</v>
      </c>
      <c r="E2841" s="4" t="s">
        <v>4002</v>
      </c>
      <c r="F2841" s="4" t="s">
        <v>4001</v>
      </c>
    </row>
    <row r="2842" spans="1:6" ht="14.4" thickBot="1" x14ac:dyDescent="0.35">
      <c r="A2842" s="4" t="s">
        <v>3178</v>
      </c>
      <c r="B2842" s="4" t="s">
        <v>3179</v>
      </c>
      <c r="C2842" s="4" t="s">
        <v>3178</v>
      </c>
      <c r="D2842" s="4" t="s">
        <v>3180</v>
      </c>
      <c r="E2842" s="4" t="s">
        <v>3181</v>
      </c>
      <c r="F2842" s="4" t="s">
        <v>3180</v>
      </c>
    </row>
    <row r="2843" spans="1:6" ht="14.4" thickBot="1" x14ac:dyDescent="0.35">
      <c r="A2843" s="4" t="s">
        <v>1437</v>
      </c>
      <c r="B2843" s="4" t="s">
        <v>1438</v>
      </c>
      <c r="C2843" s="4" t="s">
        <v>1437</v>
      </c>
      <c r="D2843" s="4" t="s">
        <v>2931</v>
      </c>
      <c r="E2843" s="4" t="s">
        <v>2932</v>
      </c>
      <c r="F2843" s="4" t="s">
        <v>2931</v>
      </c>
    </row>
    <row r="2844" spans="1:6" ht="14.4" thickBot="1" x14ac:dyDescent="0.35">
      <c r="A2844" s="4" t="s">
        <v>1437</v>
      </c>
      <c r="B2844" s="4" t="s">
        <v>1438</v>
      </c>
      <c r="C2844" s="4" t="s">
        <v>1437</v>
      </c>
      <c r="D2844" s="4" t="s">
        <v>1439</v>
      </c>
      <c r="E2844" s="4" t="s">
        <v>1440</v>
      </c>
      <c r="F2844" s="4" t="s">
        <v>1439</v>
      </c>
    </row>
    <row r="2845" spans="1:6" ht="14.4" thickBot="1" x14ac:dyDescent="0.35">
      <c r="A2845" s="4" t="s">
        <v>1441</v>
      </c>
      <c r="B2845" s="4" t="s">
        <v>1442</v>
      </c>
      <c r="C2845" s="4" t="s">
        <v>1441</v>
      </c>
      <c r="D2845" s="4" t="s">
        <v>1443</v>
      </c>
      <c r="E2845" s="4" t="s">
        <v>1444</v>
      </c>
      <c r="F2845" s="4" t="s">
        <v>1443</v>
      </c>
    </row>
    <row r="2846" spans="1:6" ht="14.4" thickBot="1" x14ac:dyDescent="0.35">
      <c r="A2846" s="4" t="s">
        <v>2515</v>
      </c>
      <c r="B2846" s="4" t="s">
        <v>2516</v>
      </c>
      <c r="C2846" s="4" t="s">
        <v>2515</v>
      </c>
      <c r="D2846" s="4" t="s">
        <v>4702</v>
      </c>
      <c r="E2846" s="4" t="s">
        <v>4703</v>
      </c>
      <c r="F2846" s="4" t="s">
        <v>4702</v>
      </c>
    </row>
    <row r="2847" spans="1:6" ht="14.4" thickBot="1" x14ac:dyDescent="0.35">
      <c r="A2847" s="4" t="s">
        <v>2515</v>
      </c>
      <c r="B2847" s="4" t="s">
        <v>2516</v>
      </c>
      <c r="C2847" s="4" t="s">
        <v>2515</v>
      </c>
      <c r="D2847" s="4" t="s">
        <v>6191</v>
      </c>
      <c r="E2847" s="4" t="s">
        <v>6192</v>
      </c>
      <c r="F2847" s="4" t="s">
        <v>6191</v>
      </c>
    </row>
    <row r="2848" spans="1:6" ht="14.4" thickBot="1" x14ac:dyDescent="0.35">
      <c r="A2848" s="4" t="s">
        <v>2515</v>
      </c>
      <c r="B2848" s="4" t="s">
        <v>2516</v>
      </c>
      <c r="C2848" s="4" t="s">
        <v>2515</v>
      </c>
      <c r="D2848" s="4" t="s">
        <v>5401</v>
      </c>
      <c r="E2848" s="4" t="s">
        <v>5402</v>
      </c>
      <c r="F2848" s="4" t="s">
        <v>5401</v>
      </c>
    </row>
    <row r="2849" spans="1:6" ht="14.4" thickBot="1" x14ac:dyDescent="0.35">
      <c r="A2849" s="4" t="s">
        <v>2515</v>
      </c>
      <c r="B2849" s="4" t="s">
        <v>2516</v>
      </c>
      <c r="C2849" s="4" t="s">
        <v>2515</v>
      </c>
      <c r="D2849" s="4" t="s">
        <v>2517</v>
      </c>
      <c r="E2849" s="4" t="s">
        <v>2518</v>
      </c>
      <c r="F2849" s="4" t="s">
        <v>2517</v>
      </c>
    </row>
    <row r="2850" spans="1:6" ht="14.4" thickBot="1" x14ac:dyDescent="0.35">
      <c r="A2850" s="4" t="s">
        <v>2515</v>
      </c>
      <c r="B2850" s="4" t="s">
        <v>2516</v>
      </c>
      <c r="C2850" s="4" t="s">
        <v>2515</v>
      </c>
      <c r="D2850" s="4" t="s">
        <v>6092</v>
      </c>
      <c r="E2850" s="4" t="s">
        <v>6093</v>
      </c>
      <c r="F2850" s="4" t="s">
        <v>6092</v>
      </c>
    </row>
    <row r="2851" spans="1:6" ht="14.4" thickBot="1" x14ac:dyDescent="0.35">
      <c r="A2851" s="4" t="s">
        <v>2515</v>
      </c>
      <c r="B2851" s="4" t="s">
        <v>2516</v>
      </c>
      <c r="C2851" s="4" t="s">
        <v>2515</v>
      </c>
      <c r="D2851" s="4" t="s">
        <v>6090</v>
      </c>
      <c r="E2851" s="4" t="s">
        <v>6091</v>
      </c>
      <c r="F2851" s="4" t="s">
        <v>6090</v>
      </c>
    </row>
    <row r="2852" spans="1:6" ht="14.4" thickBot="1" x14ac:dyDescent="0.35">
      <c r="A2852" s="4" t="s">
        <v>3272</v>
      </c>
      <c r="B2852" s="4" t="s">
        <v>3273</v>
      </c>
      <c r="C2852" s="4" t="s">
        <v>3272</v>
      </c>
      <c r="D2852" s="4" t="s">
        <v>3274</v>
      </c>
      <c r="E2852" s="4" t="s">
        <v>3275</v>
      </c>
      <c r="F2852" s="4" t="s">
        <v>3274</v>
      </c>
    </row>
    <row r="2853" spans="1:6" ht="14.4" thickBot="1" x14ac:dyDescent="0.35">
      <c r="A2853" s="4" t="s">
        <v>3272</v>
      </c>
      <c r="B2853" s="4" t="s">
        <v>3273</v>
      </c>
      <c r="C2853" s="4" t="s">
        <v>3272</v>
      </c>
      <c r="D2853" s="4" t="s">
        <v>5403</v>
      </c>
      <c r="E2853" s="4" t="s">
        <v>5404</v>
      </c>
      <c r="F2853" s="4" t="s">
        <v>5403</v>
      </c>
    </row>
    <row r="2854" spans="1:6" ht="14.4" thickBot="1" x14ac:dyDescent="0.35">
      <c r="A2854" s="4" t="s">
        <v>3272</v>
      </c>
      <c r="B2854" s="4" t="s">
        <v>3273</v>
      </c>
      <c r="C2854" s="4" t="s">
        <v>3272</v>
      </c>
      <c r="D2854" s="4" t="s">
        <v>4003</v>
      </c>
      <c r="E2854" s="4" t="s">
        <v>4004</v>
      </c>
      <c r="F2854" s="4" t="s">
        <v>4003</v>
      </c>
    </row>
    <row r="2855" spans="1:6" ht="14.4" thickBot="1" x14ac:dyDescent="0.35">
      <c r="A2855" s="4" t="s">
        <v>886</v>
      </c>
      <c r="B2855" s="4" t="s">
        <v>887</v>
      </c>
      <c r="C2855" s="4" t="s">
        <v>886</v>
      </c>
      <c r="D2855" s="4" t="s">
        <v>4704</v>
      </c>
      <c r="E2855" s="4" t="s">
        <v>4705</v>
      </c>
      <c r="F2855" s="4" t="s">
        <v>4704</v>
      </c>
    </row>
    <row r="2856" spans="1:6" ht="14.4" thickBot="1" x14ac:dyDescent="0.35">
      <c r="A2856" s="4" t="s">
        <v>886</v>
      </c>
      <c r="B2856" s="4" t="s">
        <v>887</v>
      </c>
      <c r="C2856" s="4" t="s">
        <v>886</v>
      </c>
      <c r="D2856" s="4" t="s">
        <v>888</v>
      </c>
      <c r="E2856" s="4" t="s">
        <v>889</v>
      </c>
      <c r="F2856" s="4" t="s">
        <v>888</v>
      </c>
    </row>
    <row r="2857" spans="1:6" ht="14.4" thickBot="1" x14ac:dyDescent="0.35">
      <c r="A2857" s="4" t="s">
        <v>882</v>
      </c>
      <c r="B2857" s="4" t="s">
        <v>883</v>
      </c>
      <c r="C2857" s="4" t="s">
        <v>882</v>
      </c>
      <c r="D2857" s="4" t="s">
        <v>884</v>
      </c>
      <c r="E2857" s="4" t="s">
        <v>885</v>
      </c>
      <c r="F2857" s="4" t="s">
        <v>884</v>
      </c>
    </row>
    <row r="2858" spans="1:6" ht="14.4" thickBot="1" x14ac:dyDescent="0.35">
      <c r="A2858" s="4" t="s">
        <v>979</v>
      </c>
      <c r="B2858" s="4" t="s">
        <v>980</v>
      </c>
      <c r="C2858" s="4" t="s">
        <v>979</v>
      </c>
      <c r="D2858" s="4" t="s">
        <v>6193</v>
      </c>
      <c r="E2858" s="4" t="s">
        <v>6194</v>
      </c>
      <c r="F2858" s="4" t="s">
        <v>6193</v>
      </c>
    </row>
    <row r="2859" spans="1:6" ht="14.4" thickBot="1" x14ac:dyDescent="0.35">
      <c r="A2859" s="4" t="s">
        <v>979</v>
      </c>
      <c r="B2859" s="4" t="s">
        <v>980</v>
      </c>
      <c r="C2859" s="4" t="s">
        <v>979</v>
      </c>
      <c r="D2859" s="4" t="s">
        <v>4792</v>
      </c>
      <c r="E2859" s="4" t="s">
        <v>4793</v>
      </c>
      <c r="F2859" s="4" t="s">
        <v>4792</v>
      </c>
    </row>
    <row r="2860" spans="1:6" ht="14.4" thickBot="1" x14ac:dyDescent="0.35">
      <c r="A2860" s="4" t="s">
        <v>979</v>
      </c>
      <c r="B2860" s="4" t="s">
        <v>980</v>
      </c>
      <c r="C2860" s="4" t="s">
        <v>979</v>
      </c>
      <c r="D2860" s="4" t="s">
        <v>1865</v>
      </c>
      <c r="E2860" s="4" t="s">
        <v>1866</v>
      </c>
      <c r="F2860" s="4" t="s">
        <v>1865</v>
      </c>
    </row>
    <row r="2861" spans="1:6" ht="14.4" thickBot="1" x14ac:dyDescent="0.35">
      <c r="A2861" s="4" t="s">
        <v>979</v>
      </c>
      <c r="B2861" s="4" t="s">
        <v>980</v>
      </c>
      <c r="C2861" s="4" t="s">
        <v>979</v>
      </c>
      <c r="D2861" s="4" t="s">
        <v>5492</v>
      </c>
      <c r="E2861" s="4" t="s">
        <v>5493</v>
      </c>
      <c r="F2861" s="4" t="s">
        <v>5492</v>
      </c>
    </row>
    <row r="2862" spans="1:6" ht="14.4" thickBot="1" x14ac:dyDescent="0.35">
      <c r="A2862" s="4" t="s">
        <v>979</v>
      </c>
      <c r="B2862" s="4" t="s">
        <v>980</v>
      </c>
      <c r="C2862" s="4" t="s">
        <v>979</v>
      </c>
      <c r="D2862" s="4" t="s">
        <v>6201</v>
      </c>
      <c r="E2862" s="4" t="s">
        <v>6202</v>
      </c>
      <c r="F2862" s="4" t="s">
        <v>6201</v>
      </c>
    </row>
    <row r="2863" spans="1:6" ht="14.4" thickBot="1" x14ac:dyDescent="0.35">
      <c r="A2863" s="4" t="s">
        <v>979</v>
      </c>
      <c r="B2863" s="4" t="s">
        <v>980</v>
      </c>
      <c r="C2863" s="4" t="s">
        <v>979</v>
      </c>
      <c r="D2863" s="4" t="s">
        <v>3290</v>
      </c>
      <c r="E2863" s="4" t="s">
        <v>3291</v>
      </c>
      <c r="F2863" s="4" t="s">
        <v>3290</v>
      </c>
    </row>
    <row r="2864" spans="1:6" ht="14.4" thickBot="1" x14ac:dyDescent="0.35">
      <c r="A2864" s="4" t="s">
        <v>979</v>
      </c>
      <c r="B2864" s="4" t="s">
        <v>980</v>
      </c>
      <c r="C2864" s="4" t="s">
        <v>979</v>
      </c>
      <c r="D2864" s="4" t="s">
        <v>4796</v>
      </c>
      <c r="E2864" s="4" t="s">
        <v>4797</v>
      </c>
      <c r="F2864" s="4" t="s">
        <v>4796</v>
      </c>
    </row>
    <row r="2865" spans="1:6" ht="14.4" thickBot="1" x14ac:dyDescent="0.35">
      <c r="A2865" s="4" t="s">
        <v>979</v>
      </c>
      <c r="B2865" s="4" t="s">
        <v>980</v>
      </c>
      <c r="C2865" s="4" t="s">
        <v>979</v>
      </c>
      <c r="D2865" s="4" t="s">
        <v>4092</v>
      </c>
      <c r="E2865" s="4" t="s">
        <v>4093</v>
      </c>
      <c r="F2865" s="4" t="s">
        <v>4092</v>
      </c>
    </row>
    <row r="2866" spans="1:6" ht="14.4" thickBot="1" x14ac:dyDescent="0.35">
      <c r="A2866" s="4" t="s">
        <v>979</v>
      </c>
      <c r="B2866" s="4" t="s">
        <v>980</v>
      </c>
      <c r="C2866" s="4" t="s">
        <v>979</v>
      </c>
      <c r="D2866" s="4" t="s">
        <v>4094</v>
      </c>
      <c r="E2866" s="4" t="s">
        <v>4095</v>
      </c>
      <c r="F2866" s="4" t="s">
        <v>4094</v>
      </c>
    </row>
    <row r="2867" spans="1:6" ht="14.4" thickBot="1" x14ac:dyDescent="0.35">
      <c r="A2867" s="4" t="s">
        <v>979</v>
      </c>
      <c r="B2867" s="4" t="s">
        <v>980</v>
      </c>
      <c r="C2867" s="4" t="s">
        <v>979</v>
      </c>
      <c r="D2867" s="4" t="s">
        <v>4086</v>
      </c>
      <c r="E2867" s="4" t="s">
        <v>4087</v>
      </c>
      <c r="F2867" s="4" t="s">
        <v>4086</v>
      </c>
    </row>
    <row r="2868" spans="1:6" ht="14.4" thickBot="1" x14ac:dyDescent="0.35">
      <c r="A2868" s="4" t="s">
        <v>979</v>
      </c>
      <c r="B2868" s="4" t="s">
        <v>980</v>
      </c>
      <c r="C2868" s="4" t="s">
        <v>979</v>
      </c>
      <c r="D2868" s="4" t="s">
        <v>6195</v>
      </c>
      <c r="E2868" s="4" t="s">
        <v>6196</v>
      </c>
      <c r="F2868" s="4" t="s">
        <v>6195</v>
      </c>
    </row>
    <row r="2869" spans="1:6" ht="14.4" thickBot="1" x14ac:dyDescent="0.35">
      <c r="A2869" s="4" t="s">
        <v>979</v>
      </c>
      <c r="B2869" s="4" t="s">
        <v>980</v>
      </c>
      <c r="C2869" s="4" t="s">
        <v>979</v>
      </c>
      <c r="D2869" s="4" t="s">
        <v>4088</v>
      </c>
      <c r="E2869" s="4" t="s">
        <v>4089</v>
      </c>
      <c r="F2869" s="4" t="s">
        <v>4088</v>
      </c>
    </row>
    <row r="2870" spans="1:6" ht="14.4" thickBot="1" x14ac:dyDescent="0.35">
      <c r="A2870" s="4" t="s">
        <v>979</v>
      </c>
      <c r="B2870" s="4" t="s">
        <v>980</v>
      </c>
      <c r="C2870" s="4" t="s">
        <v>979</v>
      </c>
      <c r="D2870" s="4" t="s">
        <v>2519</v>
      </c>
      <c r="E2870" s="4" t="s">
        <v>2520</v>
      </c>
      <c r="F2870" s="4" t="s">
        <v>2519</v>
      </c>
    </row>
    <row r="2871" spans="1:6" ht="14.4" thickBot="1" x14ac:dyDescent="0.35">
      <c r="A2871" s="4" t="s">
        <v>979</v>
      </c>
      <c r="B2871" s="4" t="s">
        <v>980</v>
      </c>
      <c r="C2871" s="4" t="s">
        <v>979</v>
      </c>
      <c r="D2871" s="4" t="s">
        <v>6199</v>
      </c>
      <c r="E2871" s="4" t="s">
        <v>6200</v>
      </c>
      <c r="F2871" s="4" t="s">
        <v>6199</v>
      </c>
    </row>
    <row r="2872" spans="1:6" ht="14.4" thickBot="1" x14ac:dyDescent="0.35">
      <c r="A2872" s="4" t="s">
        <v>979</v>
      </c>
      <c r="B2872" s="4" t="s">
        <v>980</v>
      </c>
      <c r="C2872" s="4" t="s">
        <v>979</v>
      </c>
      <c r="D2872" s="4" t="s">
        <v>5498</v>
      </c>
      <c r="E2872" s="4" t="s">
        <v>5499</v>
      </c>
      <c r="F2872" s="4" t="s">
        <v>5498</v>
      </c>
    </row>
    <row r="2873" spans="1:6" ht="14.4" thickBot="1" x14ac:dyDescent="0.35">
      <c r="A2873" s="4" t="s">
        <v>979</v>
      </c>
      <c r="B2873" s="4" t="s">
        <v>980</v>
      </c>
      <c r="C2873" s="4" t="s">
        <v>979</v>
      </c>
      <c r="D2873" s="4" t="s">
        <v>994</v>
      </c>
      <c r="E2873" s="4" t="s">
        <v>995</v>
      </c>
      <c r="F2873" s="4" t="s">
        <v>994</v>
      </c>
    </row>
    <row r="2874" spans="1:6" ht="14.4" thickBot="1" x14ac:dyDescent="0.35">
      <c r="A2874" s="4" t="s">
        <v>979</v>
      </c>
      <c r="B2874" s="4" t="s">
        <v>980</v>
      </c>
      <c r="C2874" s="4" t="s">
        <v>979</v>
      </c>
      <c r="D2874" s="4" t="s">
        <v>4096</v>
      </c>
      <c r="E2874" s="4" t="s">
        <v>4097</v>
      </c>
      <c r="F2874" s="4" t="s">
        <v>4096</v>
      </c>
    </row>
    <row r="2875" spans="1:6" ht="14.4" thickBot="1" x14ac:dyDescent="0.35">
      <c r="A2875" s="4" t="s">
        <v>979</v>
      </c>
      <c r="B2875" s="4" t="s">
        <v>980</v>
      </c>
      <c r="C2875" s="4" t="s">
        <v>979</v>
      </c>
      <c r="D2875" s="4" t="s">
        <v>1871</v>
      </c>
      <c r="E2875" s="4" t="s">
        <v>1872</v>
      </c>
      <c r="F2875" s="4" t="s">
        <v>1871</v>
      </c>
    </row>
    <row r="2876" spans="1:6" ht="14.4" thickBot="1" x14ac:dyDescent="0.35">
      <c r="A2876" s="4" t="s">
        <v>979</v>
      </c>
      <c r="B2876" s="4" t="s">
        <v>980</v>
      </c>
      <c r="C2876" s="4" t="s">
        <v>979</v>
      </c>
      <c r="D2876" s="4" t="s">
        <v>3288</v>
      </c>
      <c r="E2876" s="4" t="s">
        <v>3289</v>
      </c>
      <c r="F2876" s="4" t="s">
        <v>3288</v>
      </c>
    </row>
    <row r="2877" spans="1:6" ht="14.4" thickBot="1" x14ac:dyDescent="0.35">
      <c r="A2877" s="4" t="s">
        <v>979</v>
      </c>
      <c r="B2877" s="4" t="s">
        <v>980</v>
      </c>
      <c r="C2877" s="4" t="s">
        <v>979</v>
      </c>
      <c r="D2877" s="4" t="s">
        <v>992</v>
      </c>
      <c r="E2877" s="4" t="s">
        <v>993</v>
      </c>
      <c r="F2877" s="4" t="s">
        <v>992</v>
      </c>
    </row>
    <row r="2878" spans="1:6" ht="14.4" thickBot="1" x14ac:dyDescent="0.35">
      <c r="A2878" s="4" t="s">
        <v>979</v>
      </c>
      <c r="B2878" s="4" t="s">
        <v>980</v>
      </c>
      <c r="C2878" s="4" t="s">
        <v>979</v>
      </c>
      <c r="D2878" s="4" t="s">
        <v>1875</v>
      </c>
      <c r="E2878" s="4" t="s">
        <v>1876</v>
      </c>
      <c r="F2878" s="4" t="s">
        <v>1875</v>
      </c>
    </row>
    <row r="2879" spans="1:6" ht="14.4" thickBot="1" x14ac:dyDescent="0.35">
      <c r="A2879" s="4" t="s">
        <v>979</v>
      </c>
      <c r="B2879" s="4" t="s">
        <v>980</v>
      </c>
      <c r="C2879" s="4" t="s">
        <v>979</v>
      </c>
      <c r="D2879" s="4" t="s">
        <v>3284</v>
      </c>
      <c r="E2879" s="4" t="s">
        <v>3285</v>
      </c>
      <c r="F2879" s="4" t="s">
        <v>3284</v>
      </c>
    </row>
    <row r="2880" spans="1:6" ht="14.4" thickBot="1" x14ac:dyDescent="0.35">
      <c r="A2880" s="4" t="s">
        <v>979</v>
      </c>
      <c r="B2880" s="4" t="s">
        <v>980</v>
      </c>
      <c r="C2880" s="4" t="s">
        <v>979</v>
      </c>
      <c r="D2880" s="4" t="s">
        <v>990</v>
      </c>
      <c r="E2880" s="4" t="s">
        <v>991</v>
      </c>
      <c r="F2880" s="4" t="s">
        <v>990</v>
      </c>
    </row>
    <row r="2881" spans="1:6" ht="14.4" thickBot="1" x14ac:dyDescent="0.35">
      <c r="A2881" s="4" t="s">
        <v>979</v>
      </c>
      <c r="B2881" s="4" t="s">
        <v>980</v>
      </c>
      <c r="C2881" s="4" t="s">
        <v>979</v>
      </c>
      <c r="D2881" s="4" t="s">
        <v>5496</v>
      </c>
      <c r="E2881" s="4" t="s">
        <v>5497</v>
      </c>
      <c r="F2881" s="4" t="s">
        <v>5496</v>
      </c>
    </row>
    <row r="2882" spans="1:6" ht="14.4" thickBot="1" x14ac:dyDescent="0.35">
      <c r="A2882" s="4" t="s">
        <v>979</v>
      </c>
      <c r="B2882" s="4" t="s">
        <v>980</v>
      </c>
      <c r="C2882" s="4" t="s">
        <v>979</v>
      </c>
      <c r="D2882" s="4" t="s">
        <v>986</v>
      </c>
      <c r="E2882" s="4" t="s">
        <v>987</v>
      </c>
      <c r="F2882" s="4" t="s">
        <v>986</v>
      </c>
    </row>
    <row r="2883" spans="1:6" ht="14.4" thickBot="1" x14ac:dyDescent="0.35">
      <c r="A2883" s="4" t="s">
        <v>979</v>
      </c>
      <c r="B2883" s="4" t="s">
        <v>980</v>
      </c>
      <c r="C2883" s="4" t="s">
        <v>979</v>
      </c>
      <c r="D2883" s="4" t="s">
        <v>4090</v>
      </c>
      <c r="E2883" s="4" t="s">
        <v>4091</v>
      </c>
      <c r="F2883" s="4" t="s">
        <v>4090</v>
      </c>
    </row>
    <row r="2884" spans="1:6" ht="14.4" thickBot="1" x14ac:dyDescent="0.35">
      <c r="A2884" s="4" t="s">
        <v>979</v>
      </c>
      <c r="B2884" s="4" t="s">
        <v>980</v>
      </c>
      <c r="C2884" s="4" t="s">
        <v>979</v>
      </c>
      <c r="D2884" s="4" t="s">
        <v>3276</v>
      </c>
      <c r="E2884" s="4" t="s">
        <v>3277</v>
      </c>
      <c r="F2884" s="4" t="s">
        <v>3276</v>
      </c>
    </row>
    <row r="2885" spans="1:6" ht="14.4" thickBot="1" x14ac:dyDescent="0.35">
      <c r="A2885" s="4" t="s">
        <v>979</v>
      </c>
      <c r="B2885" s="4" t="s">
        <v>980</v>
      </c>
      <c r="C2885" s="4" t="s">
        <v>979</v>
      </c>
      <c r="D2885" s="4" t="s">
        <v>3286</v>
      </c>
      <c r="E2885" s="4" t="s">
        <v>3287</v>
      </c>
      <c r="F2885" s="4" t="s">
        <v>3286</v>
      </c>
    </row>
    <row r="2886" spans="1:6" ht="14.4" thickBot="1" x14ac:dyDescent="0.35">
      <c r="A2886" s="4" t="s">
        <v>979</v>
      </c>
      <c r="B2886" s="4" t="s">
        <v>980</v>
      </c>
      <c r="C2886" s="4" t="s">
        <v>979</v>
      </c>
      <c r="D2886" s="4" t="s">
        <v>1877</v>
      </c>
      <c r="E2886" s="4" t="s">
        <v>1878</v>
      </c>
      <c r="F2886" s="4" t="s">
        <v>1877</v>
      </c>
    </row>
    <row r="2887" spans="1:6" ht="14.4" thickBot="1" x14ac:dyDescent="0.35">
      <c r="A2887" s="4" t="s">
        <v>979</v>
      </c>
      <c r="B2887" s="4" t="s">
        <v>980</v>
      </c>
      <c r="C2887" s="4" t="s">
        <v>979</v>
      </c>
      <c r="D2887" s="4" t="s">
        <v>2521</v>
      </c>
      <c r="E2887" s="4" t="s">
        <v>2522</v>
      </c>
      <c r="F2887" s="4" t="s">
        <v>2521</v>
      </c>
    </row>
    <row r="2888" spans="1:6" ht="14.4" thickBot="1" x14ac:dyDescent="0.35">
      <c r="A2888" s="4" t="s">
        <v>979</v>
      </c>
      <c r="B2888" s="4" t="s">
        <v>980</v>
      </c>
      <c r="C2888" s="4" t="s">
        <v>979</v>
      </c>
      <c r="D2888" s="4" t="s">
        <v>984</v>
      </c>
      <c r="E2888" s="4" t="s">
        <v>985</v>
      </c>
      <c r="F2888" s="4" t="s">
        <v>984</v>
      </c>
    </row>
    <row r="2889" spans="1:6" ht="14.4" thickBot="1" x14ac:dyDescent="0.35">
      <c r="A2889" s="4" t="s">
        <v>979</v>
      </c>
      <c r="B2889" s="4" t="s">
        <v>980</v>
      </c>
      <c r="C2889" s="4" t="s">
        <v>979</v>
      </c>
      <c r="D2889" s="4" t="s">
        <v>981</v>
      </c>
      <c r="E2889" s="4" t="s">
        <v>982</v>
      </c>
      <c r="F2889" s="4" t="s">
        <v>981</v>
      </c>
    </row>
    <row r="2890" spans="1:6" ht="14.4" thickBot="1" x14ac:dyDescent="0.35">
      <c r="A2890" s="4" t="s">
        <v>979</v>
      </c>
      <c r="B2890" s="4" t="s">
        <v>980</v>
      </c>
      <c r="C2890" s="4" t="s">
        <v>979</v>
      </c>
      <c r="D2890" s="4" t="s">
        <v>1873</v>
      </c>
      <c r="E2890" s="4" t="s">
        <v>1874</v>
      </c>
      <c r="F2890" s="4" t="s">
        <v>1873</v>
      </c>
    </row>
    <row r="2891" spans="1:6" ht="14.4" thickBot="1" x14ac:dyDescent="0.35">
      <c r="A2891" s="4" t="s">
        <v>979</v>
      </c>
      <c r="B2891" s="4" t="s">
        <v>980</v>
      </c>
      <c r="C2891" s="4" t="s">
        <v>979</v>
      </c>
      <c r="D2891" s="4" t="s">
        <v>3280</v>
      </c>
      <c r="E2891" s="4" t="s">
        <v>3281</v>
      </c>
      <c r="F2891" s="4" t="s">
        <v>3280</v>
      </c>
    </row>
    <row r="2892" spans="1:6" ht="14.4" thickBot="1" x14ac:dyDescent="0.35">
      <c r="A2892" s="4" t="s">
        <v>979</v>
      </c>
      <c r="B2892" s="4" t="s">
        <v>980</v>
      </c>
      <c r="C2892" s="4" t="s">
        <v>979</v>
      </c>
      <c r="D2892" s="4" t="s">
        <v>1863</v>
      </c>
      <c r="E2892" s="4" t="s">
        <v>1864</v>
      </c>
      <c r="F2892" s="4" t="s">
        <v>1863</v>
      </c>
    </row>
    <row r="2893" spans="1:6" ht="14.4" thickBot="1" x14ac:dyDescent="0.35">
      <c r="A2893" s="4" t="s">
        <v>979</v>
      </c>
      <c r="B2893" s="4" t="s">
        <v>980</v>
      </c>
      <c r="C2893" s="4" t="s">
        <v>979</v>
      </c>
      <c r="D2893" s="4" t="s">
        <v>4794</v>
      </c>
      <c r="E2893" s="4" t="s">
        <v>4795</v>
      </c>
      <c r="F2893" s="4" t="s">
        <v>4794</v>
      </c>
    </row>
    <row r="2894" spans="1:6" ht="14.4" thickBot="1" x14ac:dyDescent="0.35">
      <c r="A2894" s="4" t="s">
        <v>979</v>
      </c>
      <c r="B2894" s="4" t="s">
        <v>980</v>
      </c>
      <c r="C2894" s="4" t="s">
        <v>979</v>
      </c>
      <c r="D2894" s="4" t="s">
        <v>5494</v>
      </c>
      <c r="E2894" s="4" t="s">
        <v>5495</v>
      </c>
      <c r="F2894" s="4" t="s">
        <v>5494</v>
      </c>
    </row>
    <row r="2895" spans="1:6" ht="14.4" thickBot="1" x14ac:dyDescent="0.35">
      <c r="A2895" s="4" t="s">
        <v>979</v>
      </c>
      <c r="B2895" s="4" t="s">
        <v>980</v>
      </c>
      <c r="C2895" s="4" t="s">
        <v>979</v>
      </c>
      <c r="D2895" s="4" t="s">
        <v>1869</v>
      </c>
      <c r="E2895" s="4" t="s">
        <v>1870</v>
      </c>
      <c r="F2895" s="4" t="s">
        <v>1869</v>
      </c>
    </row>
    <row r="2896" spans="1:6" ht="14.4" thickBot="1" x14ac:dyDescent="0.35">
      <c r="A2896" s="4" t="s">
        <v>979</v>
      </c>
      <c r="B2896" s="4" t="s">
        <v>980</v>
      </c>
      <c r="C2896" s="4" t="s">
        <v>979</v>
      </c>
      <c r="D2896" s="4" t="s">
        <v>1867</v>
      </c>
      <c r="E2896" s="4" t="s">
        <v>1868</v>
      </c>
      <c r="F2896" s="4" t="s">
        <v>1867</v>
      </c>
    </row>
    <row r="2897" spans="1:6" ht="14.4" thickBot="1" x14ac:dyDescent="0.35">
      <c r="A2897" s="4" t="s">
        <v>979</v>
      </c>
      <c r="B2897" s="4" t="s">
        <v>980</v>
      </c>
      <c r="C2897" s="4" t="s">
        <v>979</v>
      </c>
      <c r="D2897" s="4" t="s">
        <v>988</v>
      </c>
      <c r="E2897" s="4" t="s">
        <v>989</v>
      </c>
      <c r="F2897" s="4" t="s">
        <v>988</v>
      </c>
    </row>
    <row r="2898" spans="1:6" ht="14.4" thickBot="1" x14ac:dyDescent="0.35">
      <c r="A2898" s="4" t="s">
        <v>979</v>
      </c>
      <c r="B2898" s="4" t="s">
        <v>980</v>
      </c>
      <c r="C2898" s="4" t="s">
        <v>979</v>
      </c>
      <c r="D2898" s="4" t="s">
        <v>4798</v>
      </c>
      <c r="E2898" s="4" t="s">
        <v>1781</v>
      </c>
      <c r="F2898" s="4" t="s">
        <v>4798</v>
      </c>
    </row>
    <row r="2899" spans="1:6" ht="14.4" thickBot="1" x14ac:dyDescent="0.35">
      <c r="A2899" s="4" t="s">
        <v>979</v>
      </c>
      <c r="B2899" s="4" t="s">
        <v>980</v>
      </c>
      <c r="C2899" s="4" t="s">
        <v>979</v>
      </c>
      <c r="D2899" s="4" t="s">
        <v>6197</v>
      </c>
      <c r="E2899" s="4" t="s">
        <v>6198</v>
      </c>
      <c r="F2899" s="4" t="s">
        <v>6197</v>
      </c>
    </row>
    <row r="2900" spans="1:6" ht="14.4" thickBot="1" x14ac:dyDescent="0.35">
      <c r="A2900" s="4" t="s">
        <v>979</v>
      </c>
      <c r="B2900" s="4" t="s">
        <v>980</v>
      </c>
      <c r="C2900" s="4" t="s">
        <v>979</v>
      </c>
      <c r="D2900" s="4" t="s">
        <v>3282</v>
      </c>
      <c r="E2900" s="4" t="s">
        <v>3283</v>
      </c>
      <c r="F2900" s="4" t="s">
        <v>3282</v>
      </c>
    </row>
    <row r="2901" spans="1:6" ht="14.4" thickBot="1" x14ac:dyDescent="0.35">
      <c r="A2901" s="4" t="s">
        <v>979</v>
      </c>
      <c r="B2901" s="4" t="s">
        <v>980</v>
      </c>
      <c r="C2901" s="4" t="s">
        <v>979</v>
      </c>
      <c r="D2901" s="4" t="s">
        <v>1879</v>
      </c>
      <c r="E2901" s="4" t="s">
        <v>1880</v>
      </c>
      <c r="F2901" s="4" t="s">
        <v>1879</v>
      </c>
    </row>
    <row r="2902" spans="1:6" ht="14.4" thickBot="1" x14ac:dyDescent="0.35">
      <c r="A2902" s="4" t="s">
        <v>979</v>
      </c>
      <c r="B2902" s="4" t="s">
        <v>980</v>
      </c>
      <c r="C2902" s="4" t="s">
        <v>979</v>
      </c>
      <c r="D2902" s="4" t="s">
        <v>3278</v>
      </c>
      <c r="E2902" s="4" t="s">
        <v>3279</v>
      </c>
      <c r="F2902" s="4" t="s">
        <v>3278</v>
      </c>
    </row>
    <row r="2903" spans="1:6" ht="14.4" thickBot="1" x14ac:dyDescent="0.35">
      <c r="A2903" s="4" t="s">
        <v>1007</v>
      </c>
      <c r="B2903" s="4" t="s">
        <v>1008</v>
      </c>
      <c r="C2903" s="4" t="s">
        <v>1007</v>
      </c>
      <c r="D2903" s="4" t="s">
        <v>6219</v>
      </c>
      <c r="E2903" s="4" t="s">
        <v>6220</v>
      </c>
      <c r="F2903" s="4" t="s">
        <v>6219</v>
      </c>
    </row>
    <row r="2904" spans="1:6" ht="14.4" thickBot="1" x14ac:dyDescent="0.35">
      <c r="A2904" s="4" t="s">
        <v>1007</v>
      </c>
      <c r="B2904" s="4" t="s">
        <v>1008</v>
      </c>
      <c r="C2904" s="4" t="s">
        <v>1007</v>
      </c>
      <c r="D2904" s="4" t="s">
        <v>4808</v>
      </c>
      <c r="E2904" s="4" t="s">
        <v>4809</v>
      </c>
      <c r="F2904" s="4" t="s">
        <v>4808</v>
      </c>
    </row>
    <row r="2905" spans="1:6" ht="14.4" thickBot="1" x14ac:dyDescent="0.35">
      <c r="A2905" s="4" t="s">
        <v>1007</v>
      </c>
      <c r="B2905" s="4" t="s">
        <v>1008</v>
      </c>
      <c r="C2905" s="4" t="s">
        <v>1007</v>
      </c>
      <c r="D2905" s="4" t="s">
        <v>5505</v>
      </c>
      <c r="E2905" s="4" t="s">
        <v>5506</v>
      </c>
      <c r="F2905" s="4" t="s">
        <v>5505</v>
      </c>
    </row>
    <row r="2906" spans="1:6" ht="14.4" thickBot="1" x14ac:dyDescent="0.35">
      <c r="A2906" s="4" t="s">
        <v>1007</v>
      </c>
      <c r="B2906" s="4" t="s">
        <v>1008</v>
      </c>
      <c r="C2906" s="4" t="s">
        <v>1007</v>
      </c>
      <c r="D2906" s="4" t="s">
        <v>4113</v>
      </c>
      <c r="E2906" s="4" t="s">
        <v>4114</v>
      </c>
      <c r="F2906" s="4" t="s">
        <v>4113</v>
      </c>
    </row>
    <row r="2907" spans="1:6" ht="14.4" thickBot="1" x14ac:dyDescent="0.35">
      <c r="A2907" s="4" t="s">
        <v>1007</v>
      </c>
      <c r="B2907" s="4" t="s">
        <v>1008</v>
      </c>
      <c r="C2907" s="4" t="s">
        <v>1007</v>
      </c>
      <c r="D2907" s="4" t="s">
        <v>3301</v>
      </c>
      <c r="E2907" s="4" t="s">
        <v>3302</v>
      </c>
      <c r="F2907" s="4" t="s">
        <v>3301</v>
      </c>
    </row>
    <row r="2908" spans="1:6" ht="14.4" thickBot="1" x14ac:dyDescent="0.35">
      <c r="A2908" s="4" t="s">
        <v>1007</v>
      </c>
      <c r="B2908" s="4" t="s">
        <v>1008</v>
      </c>
      <c r="C2908" s="4" t="s">
        <v>1007</v>
      </c>
      <c r="D2908" s="4" t="s">
        <v>1011</v>
      </c>
      <c r="E2908" s="4" t="s">
        <v>1012</v>
      </c>
      <c r="F2908" s="4" t="s">
        <v>1011</v>
      </c>
    </row>
    <row r="2909" spans="1:6" ht="14.4" thickBot="1" x14ac:dyDescent="0.35">
      <c r="A2909" s="4" t="s">
        <v>1007</v>
      </c>
      <c r="B2909" s="4" t="s">
        <v>1008</v>
      </c>
      <c r="C2909" s="4" t="s">
        <v>1007</v>
      </c>
      <c r="D2909" s="4" t="s">
        <v>1017</v>
      </c>
      <c r="E2909" s="4" t="s">
        <v>1018</v>
      </c>
      <c r="F2909" s="4" t="s">
        <v>1017</v>
      </c>
    </row>
    <row r="2910" spans="1:6" ht="14.4" thickBot="1" x14ac:dyDescent="0.35">
      <c r="A2910" s="4" t="s">
        <v>1007</v>
      </c>
      <c r="B2910" s="4" t="s">
        <v>1008</v>
      </c>
      <c r="C2910" s="4" t="s">
        <v>1007</v>
      </c>
      <c r="D2910" s="4" t="s">
        <v>5515</v>
      </c>
      <c r="E2910" s="4" t="s">
        <v>5516</v>
      </c>
      <c r="F2910" s="4" t="s">
        <v>5515</v>
      </c>
    </row>
    <row r="2911" spans="1:6" ht="14.4" thickBot="1" x14ac:dyDescent="0.35">
      <c r="A2911" s="4" t="s">
        <v>1007</v>
      </c>
      <c r="B2911" s="4" t="s">
        <v>1008</v>
      </c>
      <c r="C2911" s="4" t="s">
        <v>1007</v>
      </c>
      <c r="D2911" s="4" t="s">
        <v>1889</v>
      </c>
      <c r="E2911" s="4" t="s">
        <v>1890</v>
      </c>
      <c r="F2911" s="4" t="s">
        <v>1889</v>
      </c>
    </row>
    <row r="2912" spans="1:6" ht="14.4" thickBot="1" x14ac:dyDescent="0.35">
      <c r="A2912" s="4" t="s">
        <v>1007</v>
      </c>
      <c r="B2912" s="4" t="s">
        <v>1008</v>
      </c>
      <c r="C2912" s="4" t="s">
        <v>1007</v>
      </c>
      <c r="D2912" s="4" t="s">
        <v>4125</v>
      </c>
      <c r="E2912" s="4" t="s">
        <v>4126</v>
      </c>
      <c r="F2912" s="4" t="s">
        <v>4125</v>
      </c>
    </row>
    <row r="2913" spans="1:6" ht="14.4" thickBot="1" x14ac:dyDescent="0.35">
      <c r="A2913" s="4" t="s">
        <v>1007</v>
      </c>
      <c r="B2913" s="4" t="s">
        <v>1008</v>
      </c>
      <c r="C2913" s="4" t="s">
        <v>1007</v>
      </c>
      <c r="D2913" s="4" t="s">
        <v>6211</v>
      </c>
      <c r="E2913" s="4" t="s">
        <v>6212</v>
      </c>
      <c r="F2913" s="4" t="s">
        <v>6211</v>
      </c>
    </row>
    <row r="2914" spans="1:6" ht="14.4" thickBot="1" x14ac:dyDescent="0.35">
      <c r="A2914" s="4" t="s">
        <v>1007</v>
      </c>
      <c r="B2914" s="4" t="s">
        <v>1008</v>
      </c>
      <c r="C2914" s="4" t="s">
        <v>1007</v>
      </c>
      <c r="D2914" s="4" t="s">
        <v>4111</v>
      </c>
      <c r="E2914" s="4" t="s">
        <v>4112</v>
      </c>
      <c r="F2914" s="4" t="s">
        <v>4111</v>
      </c>
    </row>
    <row r="2915" spans="1:6" ht="14.4" thickBot="1" x14ac:dyDescent="0.35">
      <c r="A2915" s="4" t="s">
        <v>1007</v>
      </c>
      <c r="B2915" s="4" t="s">
        <v>1008</v>
      </c>
      <c r="C2915" s="4" t="s">
        <v>1007</v>
      </c>
      <c r="D2915" s="4" t="s">
        <v>2528</v>
      </c>
      <c r="E2915" s="4" t="s">
        <v>2529</v>
      </c>
      <c r="F2915" s="4" t="s">
        <v>2528</v>
      </c>
    </row>
    <row r="2916" spans="1:6" ht="14.4" thickBot="1" x14ac:dyDescent="0.35">
      <c r="A2916" s="4" t="s">
        <v>1007</v>
      </c>
      <c r="B2916" s="4" t="s">
        <v>1008</v>
      </c>
      <c r="C2916" s="4" t="s">
        <v>1007</v>
      </c>
      <c r="D2916" s="4" t="s">
        <v>4117</v>
      </c>
      <c r="E2916" s="4" t="s">
        <v>4118</v>
      </c>
      <c r="F2916" s="4" t="s">
        <v>4117</v>
      </c>
    </row>
    <row r="2917" spans="1:6" ht="14.4" thickBot="1" x14ac:dyDescent="0.35">
      <c r="A2917" s="4" t="s">
        <v>1007</v>
      </c>
      <c r="B2917" s="4" t="s">
        <v>1008</v>
      </c>
      <c r="C2917" s="4" t="s">
        <v>1007</v>
      </c>
      <c r="D2917" s="4" t="s">
        <v>5507</v>
      </c>
      <c r="E2917" s="4" t="s">
        <v>5508</v>
      </c>
      <c r="F2917" s="4" t="s">
        <v>5507</v>
      </c>
    </row>
    <row r="2918" spans="1:6" ht="14.4" thickBot="1" x14ac:dyDescent="0.35">
      <c r="A2918" s="4" t="s">
        <v>1007</v>
      </c>
      <c r="B2918" s="4" t="s">
        <v>1008</v>
      </c>
      <c r="C2918" s="4" t="s">
        <v>1007</v>
      </c>
      <c r="D2918" s="4" t="s">
        <v>5513</v>
      </c>
      <c r="E2918" s="4" t="s">
        <v>5514</v>
      </c>
      <c r="F2918" s="4" t="s">
        <v>5513</v>
      </c>
    </row>
    <row r="2919" spans="1:6" ht="14.4" thickBot="1" x14ac:dyDescent="0.35">
      <c r="A2919" s="4" t="s">
        <v>1007</v>
      </c>
      <c r="B2919" s="4" t="s">
        <v>1008</v>
      </c>
      <c r="C2919" s="4" t="s">
        <v>1007</v>
      </c>
      <c r="D2919" s="4" t="s">
        <v>2530</v>
      </c>
      <c r="E2919" s="4" t="s">
        <v>2531</v>
      </c>
      <c r="F2919" s="4" t="s">
        <v>2530</v>
      </c>
    </row>
    <row r="2920" spans="1:6" ht="14.4" thickBot="1" x14ac:dyDescent="0.35">
      <c r="A2920" s="4" t="s">
        <v>1007</v>
      </c>
      <c r="B2920" s="4" t="s">
        <v>1008</v>
      </c>
      <c r="C2920" s="4" t="s">
        <v>1007</v>
      </c>
      <c r="D2920" s="4" t="s">
        <v>124</v>
      </c>
      <c r="E2920" s="4" t="s">
        <v>1893</v>
      </c>
      <c r="F2920" s="4" t="s">
        <v>124</v>
      </c>
    </row>
    <row r="2921" spans="1:6" ht="14.4" thickBot="1" x14ac:dyDescent="0.35">
      <c r="A2921" s="4" t="s">
        <v>1007</v>
      </c>
      <c r="B2921" s="4" t="s">
        <v>1008</v>
      </c>
      <c r="C2921" s="4" t="s">
        <v>1007</v>
      </c>
      <c r="D2921" s="4" t="s">
        <v>2532</v>
      </c>
      <c r="E2921" s="4" t="s">
        <v>2533</v>
      </c>
      <c r="F2921" s="4" t="s">
        <v>2532</v>
      </c>
    </row>
    <row r="2922" spans="1:6" ht="14.4" thickBot="1" x14ac:dyDescent="0.35">
      <c r="A2922" s="4" t="s">
        <v>1007</v>
      </c>
      <c r="B2922" s="4" t="s">
        <v>1008</v>
      </c>
      <c r="C2922" s="4" t="s">
        <v>1007</v>
      </c>
      <c r="D2922" s="4" t="s">
        <v>3303</v>
      </c>
      <c r="E2922" s="4" t="s">
        <v>3304</v>
      </c>
      <c r="F2922" s="4" t="s">
        <v>3303</v>
      </c>
    </row>
    <row r="2923" spans="1:6" ht="14.4" thickBot="1" x14ac:dyDescent="0.35">
      <c r="A2923" s="4" t="s">
        <v>1007</v>
      </c>
      <c r="B2923" s="4" t="s">
        <v>1008</v>
      </c>
      <c r="C2923" s="4" t="s">
        <v>1007</v>
      </c>
      <c r="D2923" s="4" t="s">
        <v>4810</v>
      </c>
      <c r="E2923" s="4" t="s">
        <v>4811</v>
      </c>
      <c r="F2923" s="4" t="s">
        <v>4810</v>
      </c>
    </row>
    <row r="2924" spans="1:6" ht="14.4" thickBot="1" x14ac:dyDescent="0.35">
      <c r="A2924" s="4" t="s">
        <v>1007</v>
      </c>
      <c r="B2924" s="4" t="s">
        <v>1008</v>
      </c>
      <c r="C2924" s="4" t="s">
        <v>1007</v>
      </c>
      <c r="D2924" s="4" t="s">
        <v>4119</v>
      </c>
      <c r="E2924" s="4" t="s">
        <v>4120</v>
      </c>
      <c r="F2924" s="4" t="s">
        <v>4119</v>
      </c>
    </row>
    <row r="2925" spans="1:6" ht="14.4" thickBot="1" x14ac:dyDescent="0.35">
      <c r="A2925" s="4" t="s">
        <v>1007</v>
      </c>
      <c r="B2925" s="4" t="s">
        <v>1008</v>
      </c>
      <c r="C2925" s="4" t="s">
        <v>1007</v>
      </c>
      <c r="D2925" s="4" t="s">
        <v>1015</v>
      </c>
      <c r="E2925" s="4" t="s">
        <v>1016</v>
      </c>
      <c r="F2925" s="4" t="s">
        <v>1015</v>
      </c>
    </row>
    <row r="2926" spans="1:6" ht="14.4" thickBot="1" x14ac:dyDescent="0.35">
      <c r="A2926" s="4" t="s">
        <v>1007</v>
      </c>
      <c r="B2926" s="4" t="s">
        <v>1008</v>
      </c>
      <c r="C2926" s="4" t="s">
        <v>1007</v>
      </c>
      <c r="D2926" s="4" t="s">
        <v>5509</v>
      </c>
      <c r="E2926" s="4" t="s">
        <v>5510</v>
      </c>
      <c r="F2926" s="4" t="s">
        <v>5509</v>
      </c>
    </row>
    <row r="2927" spans="1:6" ht="14.4" thickBot="1" x14ac:dyDescent="0.35">
      <c r="A2927" s="4" t="s">
        <v>1007</v>
      </c>
      <c r="B2927" s="4" t="s">
        <v>1008</v>
      </c>
      <c r="C2927" s="4" t="s">
        <v>1007</v>
      </c>
      <c r="D2927" s="4" t="s">
        <v>4115</v>
      </c>
      <c r="E2927" s="4" t="s">
        <v>4116</v>
      </c>
      <c r="F2927" s="4" t="s">
        <v>4115</v>
      </c>
    </row>
    <row r="2928" spans="1:6" ht="14.4" thickBot="1" x14ac:dyDescent="0.35">
      <c r="A2928" s="4" t="s">
        <v>1007</v>
      </c>
      <c r="B2928" s="4" t="s">
        <v>1008</v>
      </c>
      <c r="C2928" s="4" t="s">
        <v>1007</v>
      </c>
      <c r="D2928" s="4" t="s">
        <v>4121</v>
      </c>
      <c r="E2928" s="4" t="s">
        <v>4122</v>
      </c>
      <c r="F2928" s="4" t="s">
        <v>4121</v>
      </c>
    </row>
    <row r="2929" spans="1:6" ht="14.4" thickBot="1" x14ac:dyDescent="0.35">
      <c r="A2929" s="4" t="s">
        <v>1007</v>
      </c>
      <c r="B2929" s="4" t="s">
        <v>1008</v>
      </c>
      <c r="C2929" s="4" t="s">
        <v>1007</v>
      </c>
      <c r="D2929" s="4" t="s">
        <v>4800</v>
      </c>
      <c r="E2929" s="4" t="s">
        <v>4801</v>
      </c>
      <c r="F2929" s="4" t="s">
        <v>4800</v>
      </c>
    </row>
    <row r="2930" spans="1:6" ht="14.4" thickBot="1" x14ac:dyDescent="0.35">
      <c r="A2930" s="4" t="s">
        <v>1007</v>
      </c>
      <c r="B2930" s="4" t="s">
        <v>1008</v>
      </c>
      <c r="C2930" s="4" t="s">
        <v>1007</v>
      </c>
      <c r="D2930" s="4" t="s">
        <v>1013</v>
      </c>
      <c r="E2930" s="4" t="s">
        <v>1014</v>
      </c>
      <c r="F2930" s="4" t="s">
        <v>1013</v>
      </c>
    </row>
    <row r="2931" spans="1:6" ht="14.4" thickBot="1" x14ac:dyDescent="0.35">
      <c r="A2931" s="4" t="s">
        <v>1007</v>
      </c>
      <c r="B2931" s="4" t="s">
        <v>1008</v>
      </c>
      <c r="C2931" s="4" t="s">
        <v>1007</v>
      </c>
      <c r="D2931" s="4" t="s">
        <v>6213</v>
      </c>
      <c r="E2931" s="4" t="s">
        <v>6214</v>
      </c>
      <c r="F2931" s="4" t="s">
        <v>6213</v>
      </c>
    </row>
    <row r="2932" spans="1:6" ht="14.4" thickBot="1" x14ac:dyDescent="0.35">
      <c r="A2932" s="4" t="s">
        <v>1007</v>
      </c>
      <c r="B2932" s="4" t="s">
        <v>1008</v>
      </c>
      <c r="C2932" s="4" t="s">
        <v>1007</v>
      </c>
      <c r="D2932" s="4" t="s">
        <v>4123</v>
      </c>
      <c r="E2932" s="4" t="s">
        <v>4124</v>
      </c>
      <c r="F2932" s="4" t="s">
        <v>4123</v>
      </c>
    </row>
    <row r="2933" spans="1:6" ht="14.4" thickBot="1" x14ac:dyDescent="0.35">
      <c r="A2933" s="4" t="s">
        <v>1007</v>
      </c>
      <c r="B2933" s="4" t="s">
        <v>1008</v>
      </c>
      <c r="C2933" s="4" t="s">
        <v>1007</v>
      </c>
      <c r="D2933" s="4" t="s">
        <v>1887</v>
      </c>
      <c r="E2933" s="4" t="s">
        <v>1888</v>
      </c>
      <c r="F2933" s="4" t="s">
        <v>1887</v>
      </c>
    </row>
    <row r="2934" spans="1:6" ht="14.4" thickBot="1" x14ac:dyDescent="0.35">
      <c r="A2934" s="4" t="s">
        <v>1007</v>
      </c>
      <c r="B2934" s="4" t="s">
        <v>1008</v>
      </c>
      <c r="C2934" s="4" t="s">
        <v>1007</v>
      </c>
      <c r="D2934" s="4" t="s">
        <v>6215</v>
      </c>
      <c r="E2934" s="4" t="s">
        <v>6216</v>
      </c>
      <c r="F2934" s="4" t="s">
        <v>6215</v>
      </c>
    </row>
    <row r="2935" spans="1:6" ht="14.4" thickBot="1" x14ac:dyDescent="0.35">
      <c r="A2935" s="4" t="s">
        <v>1007</v>
      </c>
      <c r="B2935" s="4" t="s">
        <v>1008</v>
      </c>
      <c r="C2935" s="4" t="s">
        <v>1007</v>
      </c>
      <c r="D2935" s="4" t="s">
        <v>3305</v>
      </c>
      <c r="E2935" s="4" t="s">
        <v>3306</v>
      </c>
      <c r="F2935" s="4" t="s">
        <v>3305</v>
      </c>
    </row>
    <row r="2936" spans="1:6" ht="14.4" thickBot="1" x14ac:dyDescent="0.35">
      <c r="A2936" s="4" t="s">
        <v>1007</v>
      </c>
      <c r="B2936" s="4" t="s">
        <v>1008</v>
      </c>
      <c r="C2936" s="4" t="s">
        <v>1007</v>
      </c>
      <c r="D2936" s="4" t="s">
        <v>5519</v>
      </c>
      <c r="E2936" s="4" t="s">
        <v>5520</v>
      </c>
      <c r="F2936" s="4" t="s">
        <v>5519</v>
      </c>
    </row>
    <row r="2937" spans="1:6" ht="14.4" thickBot="1" x14ac:dyDescent="0.35">
      <c r="A2937" s="4" t="s">
        <v>1007</v>
      </c>
      <c r="B2937" s="4" t="s">
        <v>1008</v>
      </c>
      <c r="C2937" s="4" t="s">
        <v>1007</v>
      </c>
      <c r="D2937" s="4" t="s">
        <v>1009</v>
      </c>
      <c r="E2937" s="4" t="s">
        <v>1010</v>
      </c>
      <c r="F2937" s="4" t="s">
        <v>1009</v>
      </c>
    </row>
    <row r="2938" spans="1:6" ht="14.4" thickBot="1" x14ac:dyDescent="0.35">
      <c r="A2938" s="4" t="s">
        <v>1007</v>
      </c>
      <c r="B2938" s="4" t="s">
        <v>1008</v>
      </c>
      <c r="C2938" s="4" t="s">
        <v>1007</v>
      </c>
      <c r="D2938" s="4" t="s">
        <v>3307</v>
      </c>
      <c r="E2938" s="4" t="s">
        <v>3308</v>
      </c>
      <c r="F2938" s="4" t="s">
        <v>3307</v>
      </c>
    </row>
    <row r="2939" spans="1:6" ht="14.4" thickBot="1" x14ac:dyDescent="0.35">
      <c r="A2939" s="4" t="s">
        <v>1007</v>
      </c>
      <c r="B2939" s="4" t="s">
        <v>1008</v>
      </c>
      <c r="C2939" s="4" t="s">
        <v>1007</v>
      </c>
      <c r="D2939" s="4" t="s">
        <v>6217</v>
      </c>
      <c r="E2939" s="4" t="s">
        <v>6218</v>
      </c>
      <c r="F2939" s="4" t="s">
        <v>6217</v>
      </c>
    </row>
    <row r="2940" spans="1:6" ht="14.4" thickBot="1" x14ac:dyDescent="0.35">
      <c r="A2940" s="4" t="s">
        <v>1007</v>
      </c>
      <c r="B2940" s="4" t="s">
        <v>1008</v>
      </c>
      <c r="C2940" s="4" t="s">
        <v>1007</v>
      </c>
      <c r="D2940" s="4" t="s">
        <v>5517</v>
      </c>
      <c r="E2940" s="4" t="s">
        <v>5518</v>
      </c>
      <c r="F2940" s="4" t="s">
        <v>5517</v>
      </c>
    </row>
    <row r="2941" spans="1:6" ht="14.4" thickBot="1" x14ac:dyDescent="0.35">
      <c r="A2941" s="4" t="s">
        <v>1007</v>
      </c>
      <c r="B2941" s="4" t="s">
        <v>1008</v>
      </c>
      <c r="C2941" s="4" t="s">
        <v>1007</v>
      </c>
      <c r="D2941" s="4" t="s">
        <v>1891</v>
      </c>
      <c r="E2941" s="4" t="s">
        <v>1892</v>
      </c>
      <c r="F2941" s="4" t="s">
        <v>1891</v>
      </c>
    </row>
    <row r="2942" spans="1:6" ht="14.4" thickBot="1" x14ac:dyDescent="0.35">
      <c r="A2942" s="4" t="s">
        <v>1007</v>
      </c>
      <c r="B2942" s="4" t="s">
        <v>1008</v>
      </c>
      <c r="C2942" s="4" t="s">
        <v>1007</v>
      </c>
      <c r="D2942" s="4" t="s">
        <v>4802</v>
      </c>
      <c r="E2942" s="4" t="s">
        <v>4803</v>
      </c>
      <c r="F2942" s="4" t="s">
        <v>4802</v>
      </c>
    </row>
    <row r="2943" spans="1:6" ht="14.4" thickBot="1" x14ac:dyDescent="0.35">
      <c r="A2943" s="4" t="s">
        <v>1007</v>
      </c>
      <c r="B2943" s="4" t="s">
        <v>1008</v>
      </c>
      <c r="C2943" s="4" t="s">
        <v>1007</v>
      </c>
      <c r="D2943" s="4" t="s">
        <v>5511</v>
      </c>
      <c r="E2943" s="4" t="s">
        <v>5512</v>
      </c>
      <c r="F2943" s="4" t="s">
        <v>5511</v>
      </c>
    </row>
    <row r="2944" spans="1:6" ht="14.4" thickBot="1" x14ac:dyDescent="0.35">
      <c r="A2944" s="4" t="s">
        <v>1007</v>
      </c>
      <c r="B2944" s="4" t="s">
        <v>1008</v>
      </c>
      <c r="C2944" s="4" t="s">
        <v>1007</v>
      </c>
      <c r="D2944" s="4" t="s">
        <v>4804</v>
      </c>
      <c r="E2944" s="4" t="s">
        <v>4805</v>
      </c>
      <c r="F2944" s="4" t="s">
        <v>4804</v>
      </c>
    </row>
    <row r="2945" spans="1:6" ht="14.4" thickBot="1" x14ac:dyDescent="0.35">
      <c r="A2945" s="4" t="s">
        <v>1007</v>
      </c>
      <c r="B2945" s="4" t="s">
        <v>1008</v>
      </c>
      <c r="C2945" s="4" t="s">
        <v>1007</v>
      </c>
      <c r="D2945" s="4" t="s">
        <v>4806</v>
      </c>
      <c r="E2945" s="4" t="s">
        <v>4807</v>
      </c>
      <c r="F2945" s="4" t="s">
        <v>4806</v>
      </c>
    </row>
    <row r="2946" spans="1:6" ht="14.4" thickBot="1" x14ac:dyDescent="0.35">
      <c r="A2946" s="4" t="s">
        <v>3292</v>
      </c>
      <c r="B2946" s="4" t="s">
        <v>3293</v>
      </c>
      <c r="C2946" s="4" t="s">
        <v>3292</v>
      </c>
      <c r="D2946" s="4" t="s">
        <v>3294</v>
      </c>
      <c r="E2946" s="4" t="s">
        <v>3295</v>
      </c>
      <c r="F2946" s="4" t="s">
        <v>3294</v>
      </c>
    </row>
    <row r="2947" spans="1:6" ht="14.4" thickBot="1" x14ac:dyDescent="0.35">
      <c r="A2947" s="4" t="s">
        <v>4098</v>
      </c>
      <c r="B2947" s="4" t="s">
        <v>4099</v>
      </c>
      <c r="C2947" s="4" t="s">
        <v>4098</v>
      </c>
      <c r="D2947" s="4" t="s">
        <v>4799</v>
      </c>
      <c r="E2947" s="4" t="s">
        <v>4099</v>
      </c>
      <c r="F2947" s="4" t="s">
        <v>4799</v>
      </c>
    </row>
    <row r="2948" spans="1:6" ht="14.4" thickBot="1" x14ac:dyDescent="0.35">
      <c r="A2948" s="4" t="s">
        <v>4098</v>
      </c>
      <c r="B2948" s="4" t="s">
        <v>4099</v>
      </c>
      <c r="C2948" s="4" t="s">
        <v>4098</v>
      </c>
      <c r="D2948" s="4" t="s">
        <v>4100</v>
      </c>
      <c r="E2948" s="4" t="s">
        <v>4101</v>
      </c>
      <c r="F2948" s="4" t="s">
        <v>4100</v>
      </c>
    </row>
    <row r="2949" spans="1:6" ht="14.4" thickBot="1" x14ac:dyDescent="0.35">
      <c r="A2949" s="4" t="s">
        <v>4098</v>
      </c>
      <c r="B2949" s="4" t="s">
        <v>4099</v>
      </c>
      <c r="C2949" s="4" t="s">
        <v>4098</v>
      </c>
      <c r="D2949" s="4" t="s">
        <v>5500</v>
      </c>
      <c r="E2949" s="4" t="s">
        <v>5501</v>
      </c>
      <c r="F2949" s="4" t="s">
        <v>5500</v>
      </c>
    </row>
    <row r="2950" spans="1:6" ht="14.4" thickBot="1" x14ac:dyDescent="0.35">
      <c r="A2950" s="4" t="s">
        <v>4098</v>
      </c>
      <c r="B2950" s="4" t="s">
        <v>4099</v>
      </c>
      <c r="C2950" s="4" t="s">
        <v>4098</v>
      </c>
      <c r="D2950" s="4" t="s">
        <v>85</v>
      </c>
      <c r="E2950" s="4" t="s">
        <v>180</v>
      </c>
      <c r="F2950" s="4" t="s">
        <v>85</v>
      </c>
    </row>
    <row r="2951" spans="1:6" ht="14.4" thickBot="1" x14ac:dyDescent="0.35">
      <c r="A2951" s="4" t="s">
        <v>4098</v>
      </c>
      <c r="B2951" s="4" t="s">
        <v>4099</v>
      </c>
      <c r="C2951" s="4" t="s">
        <v>4098</v>
      </c>
      <c r="D2951" s="4" t="s">
        <v>6205</v>
      </c>
      <c r="E2951" s="4" t="s">
        <v>6206</v>
      </c>
      <c r="F2951" s="4" t="s">
        <v>6205</v>
      </c>
    </row>
    <row r="2952" spans="1:6" ht="14.4" thickBot="1" x14ac:dyDescent="0.35">
      <c r="A2952" s="4" t="s">
        <v>4098</v>
      </c>
      <c r="B2952" s="4" t="s">
        <v>4099</v>
      </c>
      <c r="C2952" s="4" t="s">
        <v>4098</v>
      </c>
      <c r="D2952" s="4" t="s">
        <v>5502</v>
      </c>
      <c r="E2952" s="4" t="s">
        <v>5491</v>
      </c>
      <c r="F2952" s="4" t="s">
        <v>5502</v>
      </c>
    </row>
    <row r="2953" spans="1:6" ht="14.4" thickBot="1" x14ac:dyDescent="0.35">
      <c r="A2953" s="4" t="s">
        <v>4098</v>
      </c>
      <c r="B2953" s="4" t="s">
        <v>4099</v>
      </c>
      <c r="C2953" s="4" t="s">
        <v>4098</v>
      </c>
      <c r="D2953" s="4" t="s">
        <v>6203</v>
      </c>
      <c r="E2953" s="4" t="s">
        <v>6204</v>
      </c>
      <c r="F2953" s="4" t="s">
        <v>6203</v>
      </c>
    </row>
    <row r="2954" spans="1:6" ht="14.4" thickBot="1" x14ac:dyDescent="0.35">
      <c r="A2954" s="4" t="s">
        <v>4106</v>
      </c>
      <c r="B2954" s="4" t="s">
        <v>4107</v>
      </c>
      <c r="C2954" s="4" t="s">
        <v>4106</v>
      </c>
      <c r="D2954" s="4" t="s">
        <v>4108</v>
      </c>
      <c r="E2954" s="4" t="s">
        <v>4107</v>
      </c>
      <c r="F2954" s="4" t="s">
        <v>4108</v>
      </c>
    </row>
    <row r="2955" spans="1:6" ht="14.4" thickBot="1" x14ac:dyDescent="0.35">
      <c r="A2955" s="4" t="s">
        <v>932</v>
      </c>
      <c r="B2955" s="4" t="s">
        <v>1002</v>
      </c>
      <c r="C2955" s="4" t="s">
        <v>932</v>
      </c>
      <c r="D2955" s="4" t="s">
        <v>4109</v>
      </c>
      <c r="E2955" s="4" t="s">
        <v>4110</v>
      </c>
      <c r="F2955" s="4" t="s">
        <v>4109</v>
      </c>
    </row>
    <row r="2956" spans="1:6" ht="14.4" thickBot="1" x14ac:dyDescent="0.35">
      <c r="A2956" s="4" t="s">
        <v>932</v>
      </c>
      <c r="B2956" s="4" t="s">
        <v>1002</v>
      </c>
      <c r="C2956" s="4" t="s">
        <v>932</v>
      </c>
      <c r="D2956" s="4" t="s">
        <v>1003</v>
      </c>
      <c r="E2956" s="4" t="s">
        <v>1004</v>
      </c>
      <c r="F2956" s="4" t="s">
        <v>1003</v>
      </c>
    </row>
    <row r="2957" spans="1:6" ht="14.4" thickBot="1" x14ac:dyDescent="0.35">
      <c r="A2957" s="4" t="s">
        <v>3297</v>
      </c>
      <c r="B2957" s="4" t="s">
        <v>3298</v>
      </c>
      <c r="C2957" s="4" t="s">
        <v>3297</v>
      </c>
      <c r="D2957" s="4" t="s">
        <v>3299</v>
      </c>
      <c r="E2957" s="4" t="s">
        <v>3300</v>
      </c>
      <c r="F2957" s="4" t="s">
        <v>3299</v>
      </c>
    </row>
    <row r="2958" spans="1:6" ht="14.4" thickBot="1" x14ac:dyDescent="0.35">
      <c r="A2958" s="4" t="s">
        <v>1726</v>
      </c>
      <c r="B2958" s="4" t="s">
        <v>4102</v>
      </c>
      <c r="C2958" s="4" t="s">
        <v>1726</v>
      </c>
      <c r="D2958" s="4" t="s">
        <v>850</v>
      </c>
      <c r="E2958" s="4" t="s">
        <v>4103</v>
      </c>
      <c r="F2958" s="4" t="s">
        <v>850</v>
      </c>
    </row>
    <row r="2959" spans="1:6" ht="14.4" thickBot="1" x14ac:dyDescent="0.35">
      <c r="A2959" s="4" t="s">
        <v>997</v>
      </c>
      <c r="B2959" s="4" t="s">
        <v>998</v>
      </c>
      <c r="C2959" s="4" t="s">
        <v>997</v>
      </c>
      <c r="D2959" s="4" t="s">
        <v>6209</v>
      </c>
      <c r="E2959" s="4" t="s">
        <v>6210</v>
      </c>
      <c r="F2959" s="4" t="s">
        <v>6209</v>
      </c>
    </row>
    <row r="2960" spans="1:6" ht="14.4" thickBot="1" x14ac:dyDescent="0.35">
      <c r="A2960" s="4" t="s">
        <v>997</v>
      </c>
      <c r="B2960" s="4" t="s">
        <v>998</v>
      </c>
      <c r="C2960" s="4" t="s">
        <v>997</v>
      </c>
      <c r="D2960" s="4" t="s">
        <v>5503</v>
      </c>
      <c r="E2960" s="4" t="s">
        <v>5504</v>
      </c>
      <c r="F2960" s="4" t="s">
        <v>5503</v>
      </c>
    </row>
    <row r="2961" spans="1:6" ht="14.4" thickBot="1" x14ac:dyDescent="0.35">
      <c r="A2961" s="4" t="s">
        <v>997</v>
      </c>
      <c r="B2961" s="4" t="s">
        <v>998</v>
      </c>
      <c r="C2961" s="4" t="s">
        <v>997</v>
      </c>
      <c r="D2961" s="4" t="s">
        <v>214</v>
      </c>
      <c r="E2961" s="4" t="s">
        <v>3296</v>
      </c>
      <c r="F2961" s="4" t="s">
        <v>214</v>
      </c>
    </row>
    <row r="2962" spans="1:6" ht="14.4" thickBot="1" x14ac:dyDescent="0.35">
      <c r="A2962" s="4" t="s">
        <v>997</v>
      </c>
      <c r="B2962" s="4" t="s">
        <v>998</v>
      </c>
      <c r="C2962" s="4" t="s">
        <v>997</v>
      </c>
      <c r="D2962" s="4" t="s">
        <v>1000</v>
      </c>
      <c r="E2962" s="4" t="s">
        <v>1001</v>
      </c>
      <c r="F2962" s="4" t="s">
        <v>1000</v>
      </c>
    </row>
    <row r="2963" spans="1:6" ht="14.4" thickBot="1" x14ac:dyDescent="0.35">
      <c r="A2963" s="4" t="s">
        <v>997</v>
      </c>
      <c r="B2963" s="4" t="s">
        <v>998</v>
      </c>
      <c r="C2963" s="4" t="s">
        <v>997</v>
      </c>
      <c r="D2963" s="4" t="s">
        <v>1881</v>
      </c>
      <c r="E2963" s="4" t="s">
        <v>1882</v>
      </c>
      <c r="F2963" s="4" t="s">
        <v>1881</v>
      </c>
    </row>
    <row r="2964" spans="1:6" ht="14.4" thickBot="1" x14ac:dyDescent="0.35">
      <c r="A2964" s="4" t="s">
        <v>1883</v>
      </c>
      <c r="B2964" s="4" t="s">
        <v>1884</v>
      </c>
      <c r="C2964" s="4" t="s">
        <v>1883</v>
      </c>
      <c r="D2964" s="4" t="s">
        <v>1885</v>
      </c>
      <c r="E2964" s="4" t="s">
        <v>1886</v>
      </c>
      <c r="F2964" s="4" t="s">
        <v>1885</v>
      </c>
    </row>
    <row r="2965" spans="1:6" ht="14.4" thickBot="1" x14ac:dyDescent="0.35">
      <c r="A2965" s="4" t="s">
        <v>2524</v>
      </c>
      <c r="B2965" s="4" t="s">
        <v>2525</v>
      </c>
      <c r="C2965" s="4" t="s">
        <v>2524</v>
      </c>
      <c r="D2965" s="4" t="s">
        <v>2526</v>
      </c>
      <c r="E2965" s="4" t="s">
        <v>2527</v>
      </c>
      <c r="F2965" s="4" t="s">
        <v>2526</v>
      </c>
    </row>
    <row r="2966" spans="1:6" ht="14.4" thickBot="1" x14ac:dyDescent="0.35">
      <c r="A2966" s="4" t="s">
        <v>2524</v>
      </c>
      <c r="B2966" s="4" t="s">
        <v>2525</v>
      </c>
      <c r="C2966" s="4" t="s">
        <v>2524</v>
      </c>
      <c r="D2966" s="4" t="s">
        <v>4104</v>
      </c>
      <c r="E2966" s="4" t="s">
        <v>4105</v>
      </c>
      <c r="F2966" s="4" t="s">
        <v>4104</v>
      </c>
    </row>
    <row r="2967" spans="1:6" ht="14.4" thickBot="1" x14ac:dyDescent="0.35">
      <c r="A2967" s="4" t="s">
        <v>2524</v>
      </c>
      <c r="B2967" s="4" t="s">
        <v>2525</v>
      </c>
      <c r="C2967" s="4" t="s">
        <v>2524</v>
      </c>
      <c r="D2967" s="4" t="s">
        <v>6207</v>
      </c>
      <c r="E2967" s="4" t="s">
        <v>6208</v>
      </c>
      <c r="F2967" s="4" t="s">
        <v>6207</v>
      </c>
    </row>
  </sheetData>
  <autoFilter ref="A1:F1" xr:uid="{00000000-0009-0000-0000-000007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957"/>
  <sheetViews>
    <sheetView topLeftCell="D1" zoomScale="71" zoomScaleNormal="90" workbookViewId="0">
      <pane ySplit="4" topLeftCell="A486" activePane="bottomLeft" state="frozen"/>
      <selection pane="bottomLeft" activeCell="D499" sqref="D499"/>
    </sheetView>
  </sheetViews>
  <sheetFormatPr defaultColWidth="0" defaultRowHeight="13.8" zeroHeight="1" x14ac:dyDescent="0.3"/>
  <cols>
    <col min="1" max="2" width="13.88671875" style="83" hidden="1" customWidth="1"/>
    <col min="3" max="3" width="29.109375" style="83" hidden="1" customWidth="1"/>
    <col min="4" max="4" width="17.33203125" style="83" bestFit="1" customWidth="1"/>
    <col min="5" max="5" width="39.44140625" style="83" bestFit="1" customWidth="1"/>
    <col min="6" max="6" width="68.88671875" style="112" bestFit="1" customWidth="1"/>
    <col min="7" max="7" width="42.5546875" style="83" bestFit="1" customWidth="1"/>
    <col min="8" max="8" width="15.44140625" style="83" bestFit="1" customWidth="1"/>
    <col min="9" max="9" width="1.21875" style="83" hidden="1" customWidth="1"/>
    <col min="10" max="10" width="16.109375" style="83" bestFit="1" customWidth="1"/>
    <col min="11" max="11" width="31.109375" style="83" hidden="1" customWidth="1"/>
    <col min="12" max="12" width="20.44140625" style="83" hidden="1" customWidth="1"/>
    <col min="13" max="13" width="5.44140625" style="83" hidden="1" customWidth="1"/>
    <col min="14" max="14" width="8.44140625" style="113" hidden="1" customWidth="1"/>
    <col min="15" max="15" width="22.44140625" style="114" bestFit="1" customWidth="1"/>
    <col min="16" max="16" width="58.44140625" style="83" customWidth="1"/>
    <col min="17" max="17" width="2" style="83" customWidth="1"/>
    <col min="18" max="16384" width="8.5546875" style="83" hidden="1"/>
  </cols>
  <sheetData>
    <row r="1" spans="1:16" ht="15.75" customHeight="1" x14ac:dyDescent="0.35">
      <c r="A1" s="182" t="s">
        <v>6519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4"/>
    </row>
    <row r="2" spans="1:16" ht="15.75" customHeight="1" x14ac:dyDescent="0.35">
      <c r="A2" s="84"/>
      <c r="B2" s="85"/>
      <c r="C2" s="85"/>
      <c r="D2" s="185" t="s">
        <v>6520</v>
      </c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6"/>
    </row>
    <row r="3" spans="1:16" ht="26.4" customHeight="1" thickBot="1" x14ac:dyDescent="0.55000000000000004"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  <c r="M3" s="88"/>
      <c r="N3" s="89"/>
      <c r="O3" s="90">
        <f>SUM(O5:O1048576)</f>
        <v>0</v>
      </c>
      <c r="P3" s="91" t="s">
        <v>6521</v>
      </c>
    </row>
    <row r="4" spans="1:16" s="96" customFormat="1" ht="14.4" thickBot="1" x14ac:dyDescent="0.35">
      <c r="A4" s="92" t="s">
        <v>0</v>
      </c>
      <c r="B4" s="93"/>
      <c r="C4" s="94" t="s">
        <v>1</v>
      </c>
      <c r="D4" s="94" t="s">
        <v>2</v>
      </c>
      <c r="E4" s="94" t="s">
        <v>3</v>
      </c>
      <c r="F4" s="94" t="s">
        <v>6525</v>
      </c>
      <c r="G4" s="94" t="s">
        <v>4</v>
      </c>
      <c r="H4" s="94" t="s">
        <v>6524</v>
      </c>
      <c r="I4" s="94"/>
      <c r="J4" s="94" t="s">
        <v>5</v>
      </c>
      <c r="K4" s="94"/>
      <c r="L4" s="94" t="s">
        <v>6</v>
      </c>
      <c r="M4" s="115"/>
      <c r="N4" s="115" t="s">
        <v>6489</v>
      </c>
      <c r="O4" s="116" t="s">
        <v>6522</v>
      </c>
      <c r="P4" s="95" t="s">
        <v>6540</v>
      </c>
    </row>
    <row r="5" spans="1:16" x14ac:dyDescent="0.3">
      <c r="A5" s="97" t="e">
        <f>'Cover Page'!$D$5</f>
        <v>#N/A</v>
      </c>
      <c r="B5" s="98" t="str">
        <f>IFERROR(VLOOKUP(A5,'District Codes'!D:F,3,FALSE),"")</f>
        <v/>
      </c>
      <c r="C5" s="99" t="str">
        <f>IFERROR(VLOOKUP(A5,'District Codes'!A:B,2,FALSE),"")</f>
        <v/>
      </c>
      <c r="D5" s="104"/>
      <c r="E5" s="203" t="str">
        <f>IFERROR(VLOOKUP(D5, 'School Codes'!D:E,2,FALSE),"")</f>
        <v/>
      </c>
      <c r="F5" s="100"/>
      <c r="G5" s="100"/>
      <c r="H5" s="100"/>
      <c r="I5" s="100"/>
      <c r="J5" s="100"/>
      <c r="K5" s="100"/>
      <c r="L5" s="100"/>
      <c r="M5" s="100"/>
      <c r="N5" s="102"/>
      <c r="O5" s="103"/>
      <c r="P5" s="105"/>
    </row>
    <row r="6" spans="1:16" x14ac:dyDescent="0.3">
      <c r="A6" s="97" t="e">
        <f>'Cover Page'!$D$5</f>
        <v>#N/A</v>
      </c>
      <c r="B6" s="98" t="str">
        <f>IFERROR(VLOOKUP(A6,'District Codes'!D:F,3,FALSE),"")</f>
        <v/>
      </c>
      <c r="C6" s="99" t="str">
        <f>IFERROR(VLOOKUP(A6,'District Codes'!A:B,2,FALSE),"")</f>
        <v/>
      </c>
      <c r="D6" s="104"/>
      <c r="E6" s="203" t="str">
        <f>IFERROR(VLOOKUP(D6, 'School Codes'!D:E,2,FALSE),"")</f>
        <v/>
      </c>
      <c r="F6" s="100"/>
      <c r="G6" s="100"/>
      <c r="H6" s="100"/>
      <c r="I6" s="100"/>
      <c r="J6" s="100"/>
      <c r="K6" s="100"/>
      <c r="L6" s="100"/>
      <c r="M6" s="100"/>
      <c r="N6" s="102"/>
      <c r="O6" s="103"/>
      <c r="P6" s="105"/>
    </row>
    <row r="7" spans="1:16" x14ac:dyDescent="0.3">
      <c r="A7" s="97" t="e">
        <f>'Cover Page'!$D$5</f>
        <v>#N/A</v>
      </c>
      <c r="B7" s="98" t="str">
        <f>IFERROR(VLOOKUP(A7,'District Codes'!D:F,3,FALSE),"")</f>
        <v/>
      </c>
      <c r="C7" s="99" t="str">
        <f>IFERROR(VLOOKUP(A7,'District Codes'!A:B,2,FALSE),"")</f>
        <v/>
      </c>
      <c r="D7" s="104"/>
      <c r="E7" s="203" t="str">
        <f>IFERROR(VLOOKUP(D7, 'School Codes'!D:E,2,FALSE),"")</f>
        <v/>
      </c>
      <c r="F7" s="100"/>
      <c r="G7" s="100"/>
      <c r="H7" s="100"/>
      <c r="I7" s="100"/>
      <c r="J7" s="100"/>
      <c r="K7" s="100"/>
      <c r="L7" s="100"/>
      <c r="M7" s="100"/>
      <c r="N7" s="102"/>
      <c r="O7" s="103"/>
      <c r="P7" s="105"/>
    </row>
    <row r="8" spans="1:16" x14ac:dyDescent="0.3">
      <c r="A8" s="97" t="e">
        <f>'Cover Page'!$D$5</f>
        <v>#N/A</v>
      </c>
      <c r="B8" s="98" t="str">
        <f>IFERROR(VLOOKUP(A8,'District Codes'!D:F,3,FALSE),"")</f>
        <v/>
      </c>
      <c r="C8" s="99" t="str">
        <f>IFERROR(VLOOKUP(A8,'District Codes'!A:B,2,FALSE),"")</f>
        <v/>
      </c>
      <c r="D8" s="104"/>
      <c r="E8" s="203" t="str">
        <f>IFERROR(VLOOKUP(D8, 'School Codes'!D:E,2,FALSE),"")</f>
        <v/>
      </c>
      <c r="F8" s="100"/>
      <c r="G8" s="100"/>
      <c r="H8" s="100"/>
      <c r="I8" s="100"/>
      <c r="J8" s="100"/>
      <c r="K8" s="100"/>
      <c r="L8" s="100"/>
      <c r="M8" s="100"/>
      <c r="N8" s="102"/>
      <c r="O8" s="103"/>
      <c r="P8" s="105"/>
    </row>
    <row r="9" spans="1:16" x14ac:dyDescent="0.3">
      <c r="A9" s="97" t="e">
        <f>'Cover Page'!$D$5</f>
        <v>#N/A</v>
      </c>
      <c r="B9" s="98" t="str">
        <f>IFERROR(VLOOKUP(A9,'District Codes'!D:F,3,FALSE),"")</f>
        <v/>
      </c>
      <c r="C9" s="99" t="str">
        <f>IFERROR(VLOOKUP(A9,'District Codes'!A:B,2,FALSE),"")</f>
        <v/>
      </c>
      <c r="D9" s="104"/>
      <c r="E9" s="203" t="str">
        <f>IFERROR(VLOOKUP(D9, 'School Codes'!D:E,2,FALSE),"")</f>
        <v/>
      </c>
      <c r="F9" s="100"/>
      <c r="G9" s="100"/>
      <c r="H9" s="100"/>
      <c r="I9" s="100"/>
      <c r="J9" s="100"/>
      <c r="K9" s="100"/>
      <c r="L9" s="100"/>
      <c r="M9" s="100"/>
      <c r="N9" s="102"/>
      <c r="O9" s="103"/>
      <c r="P9" s="105"/>
    </row>
    <row r="10" spans="1:16" x14ac:dyDescent="0.3">
      <c r="A10" s="97" t="e">
        <f>'Cover Page'!$D$5</f>
        <v>#N/A</v>
      </c>
      <c r="B10" s="98" t="str">
        <f>IFERROR(VLOOKUP(A10,'District Codes'!D:F,3,FALSE),"")</f>
        <v/>
      </c>
      <c r="C10" s="99" t="str">
        <f>IFERROR(VLOOKUP(A10,'District Codes'!A:B,2,FALSE),"")</f>
        <v/>
      </c>
      <c r="D10" s="104"/>
      <c r="E10" s="203" t="str">
        <f>IFERROR(VLOOKUP(D10, 'School Codes'!D:E,2,FALSE),"")</f>
        <v/>
      </c>
      <c r="F10" s="100"/>
      <c r="G10" s="100"/>
      <c r="H10" s="100"/>
      <c r="I10" s="100"/>
      <c r="J10" s="100"/>
      <c r="K10" s="100"/>
      <c r="L10" s="100"/>
      <c r="M10" s="100"/>
      <c r="N10" s="102"/>
      <c r="O10" s="103"/>
      <c r="P10" s="105"/>
    </row>
    <row r="11" spans="1:16" x14ac:dyDescent="0.3">
      <c r="A11" s="97" t="e">
        <f>'Cover Page'!$D$5</f>
        <v>#N/A</v>
      </c>
      <c r="B11" s="98" t="str">
        <f>IFERROR(VLOOKUP(A11,'District Codes'!D:F,3,FALSE),"")</f>
        <v/>
      </c>
      <c r="C11" s="99" t="str">
        <f>IFERROR(VLOOKUP(A11,'District Codes'!A:B,2,FALSE),"")</f>
        <v/>
      </c>
      <c r="D11" s="104"/>
      <c r="E11" s="203" t="str">
        <f>IFERROR(VLOOKUP(D11, 'School Codes'!D:E,2,FALSE),"")</f>
        <v/>
      </c>
      <c r="F11" s="100"/>
      <c r="G11" s="100"/>
      <c r="H11" s="100"/>
      <c r="I11" s="100"/>
      <c r="J11" s="100"/>
      <c r="K11" s="100"/>
      <c r="L11" s="100"/>
      <c r="M11" s="100"/>
      <c r="N11" s="102"/>
      <c r="O11" s="103"/>
      <c r="P11" s="105"/>
    </row>
    <row r="12" spans="1:16" x14ac:dyDescent="0.3">
      <c r="A12" s="97" t="e">
        <f>'Cover Page'!$D$5</f>
        <v>#N/A</v>
      </c>
      <c r="B12" s="98" t="str">
        <f>IFERROR(VLOOKUP(A12,'District Codes'!D:F,3,FALSE),"")</f>
        <v/>
      </c>
      <c r="C12" s="99" t="str">
        <f>IFERROR(VLOOKUP(A12,'District Codes'!A:B,2,FALSE),"")</f>
        <v/>
      </c>
      <c r="D12" s="106"/>
      <c r="E12" s="203" t="str">
        <f>IFERROR(VLOOKUP(D12, 'School Codes'!D:E,2,FALSE),"")</f>
        <v/>
      </c>
      <c r="F12" s="100"/>
      <c r="G12" s="100"/>
      <c r="H12" s="100"/>
      <c r="I12" s="100"/>
      <c r="J12" s="100"/>
      <c r="K12" s="100"/>
      <c r="L12" s="100"/>
      <c r="M12" s="100"/>
      <c r="N12" s="102"/>
      <c r="O12" s="103"/>
      <c r="P12" s="105"/>
    </row>
    <row r="13" spans="1:16" x14ac:dyDescent="0.3">
      <c r="A13" s="97" t="e">
        <f>'Cover Page'!$D$5</f>
        <v>#N/A</v>
      </c>
      <c r="B13" s="98" t="str">
        <f>IFERROR(VLOOKUP(A13,'District Codes'!D:F,3,FALSE),"")</f>
        <v/>
      </c>
      <c r="C13" s="99" t="str">
        <f>IFERROR(VLOOKUP(A13,'District Codes'!A:B,2,FALSE),"")</f>
        <v/>
      </c>
      <c r="D13" s="106"/>
      <c r="E13" s="203" t="str">
        <f>IFERROR(VLOOKUP(D13, 'School Codes'!D:E,2,FALSE),"")</f>
        <v/>
      </c>
      <c r="F13" s="100"/>
      <c r="G13" s="100"/>
      <c r="H13" s="100"/>
      <c r="I13" s="100"/>
      <c r="J13" s="100"/>
      <c r="K13" s="100"/>
      <c r="L13" s="100"/>
      <c r="M13" s="100"/>
      <c r="N13" s="102"/>
      <c r="O13" s="103"/>
      <c r="P13" s="105"/>
    </row>
    <row r="14" spans="1:16" x14ac:dyDescent="0.3">
      <c r="A14" s="97" t="e">
        <f>'Cover Page'!$D$5</f>
        <v>#N/A</v>
      </c>
      <c r="B14" s="98" t="str">
        <f>IFERROR(VLOOKUP(A14,'District Codes'!D:F,3,FALSE),"")</f>
        <v/>
      </c>
      <c r="C14" s="99" t="str">
        <f>IFERROR(VLOOKUP(A14,'District Codes'!A:B,2,FALSE),"")</f>
        <v/>
      </c>
      <c r="D14" s="106"/>
      <c r="E14" s="203" t="str">
        <f>IFERROR(VLOOKUP(D14, 'School Codes'!D:E,2,FALSE),"")</f>
        <v/>
      </c>
      <c r="F14" s="100"/>
      <c r="G14" s="100"/>
      <c r="H14" s="100"/>
      <c r="I14" s="100"/>
      <c r="J14" s="100"/>
      <c r="K14" s="100"/>
      <c r="L14" s="100"/>
      <c r="M14" s="100"/>
      <c r="N14" s="102"/>
      <c r="O14" s="103"/>
      <c r="P14" s="105"/>
    </row>
    <row r="15" spans="1:16" ht="14.4" thickBot="1" x14ac:dyDescent="0.35">
      <c r="A15" s="97" t="e">
        <f>'Cover Page'!$D$5</f>
        <v>#N/A</v>
      </c>
      <c r="B15" s="98" t="str">
        <f>IFERROR(VLOOKUP(A15,'District Codes'!D:F,3,FALSE),"")</f>
        <v/>
      </c>
      <c r="C15" s="99" t="str">
        <f>IFERROR(VLOOKUP(A15,'District Codes'!A:B,2,FALSE),"")</f>
        <v/>
      </c>
      <c r="D15" s="104"/>
      <c r="E15" s="203" t="str">
        <f>IFERROR(VLOOKUP(D15, 'School Codes'!D:E,2,FALSE),"")</f>
        <v/>
      </c>
      <c r="F15" s="100"/>
      <c r="G15" s="100"/>
      <c r="H15" s="100"/>
      <c r="I15" s="100"/>
      <c r="J15" s="100"/>
      <c r="K15" s="100"/>
      <c r="L15" s="100"/>
      <c r="M15" s="100"/>
      <c r="N15" s="102"/>
      <c r="O15" s="103"/>
      <c r="P15" s="105"/>
    </row>
    <row r="16" spans="1:16" x14ac:dyDescent="0.3">
      <c r="A16" s="97" t="e">
        <f>'Cover Page'!$D$5</f>
        <v>#N/A</v>
      </c>
      <c r="B16" s="98" t="str">
        <f>IFERROR(VLOOKUP(A16,'District Codes'!D:F,3,FALSE),"")</f>
        <v/>
      </c>
      <c r="C16" s="99" t="str">
        <f>IFERROR(VLOOKUP(A16,'District Codes'!A:B,2,FALSE),"")</f>
        <v/>
      </c>
      <c r="D16" s="104"/>
      <c r="E16" s="203" t="str">
        <f>IFERROR(VLOOKUP(D16, 'School Codes'!D:E,2,FALSE),"")</f>
        <v/>
      </c>
      <c r="F16" s="100"/>
      <c r="G16" s="100"/>
      <c r="H16" s="100"/>
      <c r="I16" s="101"/>
      <c r="J16" s="100"/>
      <c r="K16" s="100"/>
      <c r="L16" s="100"/>
      <c r="M16" s="100"/>
      <c r="N16" s="102"/>
      <c r="O16" s="103"/>
      <c r="P16" s="105"/>
    </row>
    <row r="17" spans="1:16" x14ac:dyDescent="0.3">
      <c r="A17" s="97" t="e">
        <f>'Cover Page'!$D$5</f>
        <v>#N/A</v>
      </c>
      <c r="B17" s="98" t="str">
        <f>IFERROR(VLOOKUP(A17,'District Codes'!D:F,3,FALSE),"")</f>
        <v/>
      </c>
      <c r="C17" s="99" t="str">
        <f>IFERROR(VLOOKUP(A17,'District Codes'!A:B,2,FALSE),"")</f>
        <v/>
      </c>
      <c r="D17" s="104"/>
      <c r="E17" s="203" t="str">
        <f>IFERROR(VLOOKUP(D17, 'School Codes'!D:E,2,FALSE),"")</f>
        <v/>
      </c>
      <c r="F17" s="100"/>
      <c r="G17" s="100"/>
      <c r="H17" s="100"/>
      <c r="I17" s="100"/>
      <c r="J17" s="100"/>
      <c r="K17" s="100"/>
      <c r="L17" s="100"/>
      <c r="M17" s="100"/>
      <c r="N17" s="102"/>
      <c r="O17" s="103"/>
      <c r="P17" s="105"/>
    </row>
    <row r="18" spans="1:16" x14ac:dyDescent="0.3">
      <c r="A18" s="97" t="e">
        <f>'Cover Page'!$D$5</f>
        <v>#N/A</v>
      </c>
      <c r="B18" s="98" t="str">
        <f>IFERROR(VLOOKUP(A18,'District Codes'!D:F,3,FALSE),"")</f>
        <v/>
      </c>
      <c r="C18" s="99" t="str">
        <f>IFERROR(VLOOKUP(A18,'District Codes'!A:B,2,FALSE),"")</f>
        <v/>
      </c>
      <c r="D18" s="104"/>
      <c r="E18" s="203" t="str">
        <f>IFERROR(VLOOKUP(D18, 'School Codes'!D:E,2,FALSE),"")</f>
        <v/>
      </c>
      <c r="F18" s="100"/>
      <c r="G18" s="100"/>
      <c r="H18" s="100"/>
      <c r="I18" s="100"/>
      <c r="J18" s="100"/>
      <c r="K18" s="100"/>
      <c r="L18" s="100"/>
      <c r="M18" s="100"/>
      <c r="N18" s="102"/>
      <c r="O18" s="103"/>
      <c r="P18" s="105"/>
    </row>
    <row r="19" spans="1:16" x14ac:dyDescent="0.3">
      <c r="A19" s="97" t="e">
        <f>'Cover Page'!$D$5</f>
        <v>#N/A</v>
      </c>
      <c r="B19" s="98" t="str">
        <f>IFERROR(VLOOKUP(A19,'District Codes'!D:F,3,FALSE),"")</f>
        <v/>
      </c>
      <c r="C19" s="99" t="str">
        <f>IFERROR(VLOOKUP(A19,'District Codes'!A:B,2,FALSE),"")</f>
        <v/>
      </c>
      <c r="D19" s="104"/>
      <c r="E19" s="203" t="str">
        <f>IFERROR(VLOOKUP(D19, 'School Codes'!D:E,2,FALSE),"")</f>
        <v/>
      </c>
      <c r="F19" s="100"/>
      <c r="G19" s="100"/>
      <c r="H19" s="100"/>
      <c r="I19" s="100"/>
      <c r="J19" s="100"/>
      <c r="K19" s="100"/>
      <c r="L19" s="100"/>
      <c r="M19" s="100"/>
      <c r="N19" s="102"/>
      <c r="O19" s="103"/>
      <c r="P19" s="105"/>
    </row>
    <row r="20" spans="1:16" x14ac:dyDescent="0.3">
      <c r="A20" s="97" t="e">
        <f>'Cover Page'!$D$5</f>
        <v>#N/A</v>
      </c>
      <c r="B20" s="98" t="str">
        <f>IFERROR(VLOOKUP(A20,'District Codes'!D:F,3,FALSE),"")</f>
        <v/>
      </c>
      <c r="C20" s="99" t="str">
        <f>IFERROR(VLOOKUP(A20,'District Codes'!A:B,2,FALSE),"")</f>
        <v/>
      </c>
      <c r="D20" s="104"/>
      <c r="E20" s="203" t="str">
        <f>IFERROR(VLOOKUP(D20, 'School Codes'!D:E,2,FALSE),"")</f>
        <v/>
      </c>
      <c r="F20" s="100"/>
      <c r="G20" s="100"/>
      <c r="H20" s="100"/>
      <c r="I20" s="100"/>
      <c r="J20" s="100"/>
      <c r="K20" s="100"/>
      <c r="L20" s="100"/>
      <c r="M20" s="100"/>
      <c r="N20" s="102"/>
      <c r="O20" s="103"/>
      <c r="P20" s="105"/>
    </row>
    <row r="21" spans="1:16" x14ac:dyDescent="0.3">
      <c r="A21" s="97" t="e">
        <f>'Cover Page'!$D$5</f>
        <v>#N/A</v>
      </c>
      <c r="B21" s="98" t="str">
        <f>IFERROR(VLOOKUP(A21,'District Codes'!D:F,3,FALSE),"")</f>
        <v/>
      </c>
      <c r="C21" s="99" t="str">
        <f>IFERROR(VLOOKUP(A21,'District Codes'!A:B,2,FALSE),"")</f>
        <v/>
      </c>
      <c r="D21" s="104"/>
      <c r="E21" s="203" t="str">
        <f>IFERROR(VLOOKUP(D21, 'School Codes'!D:E,2,FALSE),"")</f>
        <v/>
      </c>
      <c r="F21" s="100"/>
      <c r="G21" s="100"/>
      <c r="H21" s="100"/>
      <c r="I21" s="100"/>
      <c r="J21" s="100"/>
      <c r="K21" s="100"/>
      <c r="L21" s="100"/>
      <c r="M21" s="100"/>
      <c r="N21" s="102"/>
      <c r="O21" s="103"/>
      <c r="P21" s="105"/>
    </row>
    <row r="22" spans="1:16" x14ac:dyDescent="0.3">
      <c r="A22" s="97" t="e">
        <f>'Cover Page'!$D$5</f>
        <v>#N/A</v>
      </c>
      <c r="B22" s="98" t="str">
        <f>IFERROR(VLOOKUP(A22,'District Codes'!D:F,3,FALSE),"")</f>
        <v/>
      </c>
      <c r="C22" s="99" t="str">
        <f>IFERROR(VLOOKUP(A22,'District Codes'!A:B,2,FALSE),"")</f>
        <v/>
      </c>
      <c r="D22" s="104"/>
      <c r="E22" s="203" t="str">
        <f>IFERROR(VLOOKUP(D22, 'School Codes'!D:E,2,FALSE),"")</f>
        <v/>
      </c>
      <c r="F22" s="100"/>
      <c r="G22" s="100"/>
      <c r="H22" s="100"/>
      <c r="I22" s="100"/>
      <c r="J22" s="100"/>
      <c r="K22" s="100"/>
      <c r="L22" s="100"/>
      <c r="M22" s="100"/>
      <c r="N22" s="102"/>
      <c r="O22" s="103"/>
      <c r="P22" s="105"/>
    </row>
    <row r="23" spans="1:16" x14ac:dyDescent="0.3">
      <c r="A23" s="97" t="e">
        <f>'Cover Page'!$D$5</f>
        <v>#N/A</v>
      </c>
      <c r="B23" s="98" t="str">
        <f>IFERROR(VLOOKUP(A23,'District Codes'!D:F,3,FALSE),"")</f>
        <v/>
      </c>
      <c r="C23" s="99" t="str">
        <f>IFERROR(VLOOKUP(A23,'District Codes'!A:B,2,FALSE),"")</f>
        <v/>
      </c>
      <c r="D23" s="104"/>
      <c r="E23" s="203" t="str">
        <f>IFERROR(VLOOKUP(D23, 'School Codes'!D:E,2,FALSE),"")</f>
        <v/>
      </c>
      <c r="F23" s="100"/>
      <c r="G23" s="100"/>
      <c r="H23" s="100"/>
      <c r="I23" s="100"/>
      <c r="J23" s="100"/>
      <c r="K23" s="100"/>
      <c r="L23" s="100"/>
      <c r="M23" s="100"/>
      <c r="N23" s="102"/>
      <c r="O23" s="103"/>
      <c r="P23" s="105"/>
    </row>
    <row r="24" spans="1:16" x14ac:dyDescent="0.3">
      <c r="A24" s="97" t="e">
        <f>'Cover Page'!$D$5</f>
        <v>#N/A</v>
      </c>
      <c r="B24" s="98" t="str">
        <f>IFERROR(VLOOKUP(A24,'District Codes'!D:F,3,FALSE),"")</f>
        <v/>
      </c>
      <c r="C24" s="99" t="str">
        <f>IFERROR(VLOOKUP(A24,'District Codes'!A:B,2,FALSE),"")</f>
        <v/>
      </c>
      <c r="D24" s="104"/>
      <c r="E24" s="203" t="str">
        <f>IFERROR(VLOOKUP(D24, 'School Codes'!D:E,2,FALSE),"")</f>
        <v/>
      </c>
      <c r="F24" s="100"/>
      <c r="G24" s="100"/>
      <c r="H24" s="100"/>
      <c r="I24" s="100"/>
      <c r="J24" s="100"/>
      <c r="K24" s="100"/>
      <c r="L24" s="100"/>
      <c r="M24" s="100"/>
      <c r="N24" s="102"/>
      <c r="O24" s="103"/>
      <c r="P24" s="105"/>
    </row>
    <row r="25" spans="1:16" x14ac:dyDescent="0.3">
      <c r="A25" s="97" t="e">
        <f>'Cover Page'!$D$5</f>
        <v>#N/A</v>
      </c>
      <c r="B25" s="98" t="str">
        <f>IFERROR(VLOOKUP(A25,'District Codes'!D:F,3,FALSE),"")</f>
        <v/>
      </c>
      <c r="C25" s="99" t="str">
        <f>IFERROR(VLOOKUP(A25,'District Codes'!A:B,2,FALSE),"")</f>
        <v/>
      </c>
      <c r="D25" s="104"/>
      <c r="E25" s="203" t="str">
        <f>IFERROR(VLOOKUP(D25, 'School Codes'!D:E,2,FALSE),"")</f>
        <v/>
      </c>
      <c r="F25" s="100"/>
      <c r="G25" s="100"/>
      <c r="H25" s="100"/>
      <c r="I25" s="100"/>
      <c r="J25" s="100"/>
      <c r="K25" s="100"/>
      <c r="L25" s="100"/>
      <c r="M25" s="100"/>
      <c r="N25" s="102"/>
      <c r="O25" s="103"/>
      <c r="P25" s="105"/>
    </row>
    <row r="26" spans="1:16" x14ac:dyDescent="0.3">
      <c r="A26" s="97" t="e">
        <f>'Cover Page'!$D$5</f>
        <v>#N/A</v>
      </c>
      <c r="B26" s="98" t="str">
        <f>IFERROR(VLOOKUP(A26,'District Codes'!D:F,3,FALSE),"")</f>
        <v/>
      </c>
      <c r="C26" s="99" t="str">
        <f>IFERROR(VLOOKUP(A26,'District Codes'!A:B,2,FALSE),"")</f>
        <v/>
      </c>
      <c r="D26" s="106"/>
      <c r="E26" s="203" t="str">
        <f>IFERROR(VLOOKUP(D26, 'School Codes'!D:E,2,FALSE),"")</f>
        <v/>
      </c>
      <c r="F26" s="100"/>
      <c r="G26" s="100"/>
      <c r="H26" s="100"/>
      <c r="I26" s="100"/>
      <c r="J26" s="100"/>
      <c r="K26" s="100"/>
      <c r="L26" s="100"/>
      <c r="M26" s="100"/>
      <c r="N26" s="102"/>
      <c r="O26" s="103"/>
      <c r="P26" s="105"/>
    </row>
    <row r="27" spans="1:16" x14ac:dyDescent="0.3">
      <c r="A27" s="97" t="e">
        <f>'Cover Page'!$D$5</f>
        <v>#N/A</v>
      </c>
      <c r="B27" s="98" t="str">
        <f>IFERROR(VLOOKUP(A27,'District Codes'!D:F,3,FALSE),"")</f>
        <v/>
      </c>
      <c r="C27" s="99" t="str">
        <f>IFERROR(VLOOKUP(A27,'District Codes'!A:B,2,FALSE),"")</f>
        <v/>
      </c>
      <c r="D27" s="106"/>
      <c r="E27" s="203" t="str">
        <f>IFERROR(VLOOKUP(D27, 'School Codes'!D:E,2,FALSE),"")</f>
        <v/>
      </c>
      <c r="F27" s="100"/>
      <c r="G27" s="100"/>
      <c r="H27" s="100"/>
      <c r="I27" s="100"/>
      <c r="J27" s="100"/>
      <c r="K27" s="100"/>
      <c r="L27" s="100"/>
      <c r="M27" s="100"/>
      <c r="N27" s="102"/>
      <c r="O27" s="103"/>
      <c r="P27" s="105"/>
    </row>
    <row r="28" spans="1:16" x14ac:dyDescent="0.3">
      <c r="A28" s="97" t="e">
        <f>'Cover Page'!$D$5</f>
        <v>#N/A</v>
      </c>
      <c r="B28" s="98" t="str">
        <f>IFERROR(VLOOKUP(A28,'District Codes'!D:F,3,FALSE),"")</f>
        <v/>
      </c>
      <c r="C28" s="99" t="str">
        <f>IFERROR(VLOOKUP(A28,'District Codes'!A:B,2,FALSE),"")</f>
        <v/>
      </c>
      <c r="D28" s="106"/>
      <c r="E28" s="203" t="str">
        <f>IFERROR(VLOOKUP(D28, 'School Codes'!D:E,2,FALSE),"")</f>
        <v/>
      </c>
      <c r="F28" s="100"/>
      <c r="G28" s="100"/>
      <c r="H28" s="100"/>
      <c r="I28" s="100"/>
      <c r="J28" s="100"/>
      <c r="K28" s="100"/>
      <c r="L28" s="100"/>
      <c r="M28" s="100"/>
      <c r="N28" s="102"/>
      <c r="O28" s="103"/>
      <c r="P28" s="105"/>
    </row>
    <row r="29" spans="1:16" ht="14.4" thickBot="1" x14ac:dyDescent="0.35">
      <c r="A29" s="97" t="e">
        <f>'Cover Page'!$D$5</f>
        <v>#N/A</v>
      </c>
      <c r="B29" s="98" t="str">
        <f>IFERROR(VLOOKUP(A29,'District Codes'!D:F,3,FALSE),"")</f>
        <v/>
      </c>
      <c r="C29" s="99" t="str">
        <f>IFERROR(VLOOKUP(A29,'District Codes'!A:B,2,FALSE),"")</f>
        <v/>
      </c>
      <c r="D29" s="104"/>
      <c r="E29" s="203" t="str">
        <f>IFERROR(VLOOKUP(D29, 'School Codes'!D:E,2,FALSE),"")</f>
        <v/>
      </c>
      <c r="F29" s="100"/>
      <c r="G29" s="100"/>
      <c r="H29" s="100"/>
      <c r="I29" s="100"/>
      <c r="J29" s="100"/>
      <c r="K29" s="100"/>
      <c r="L29" s="100"/>
      <c r="M29" s="100"/>
      <c r="N29" s="102"/>
      <c r="O29" s="103"/>
      <c r="P29" s="105"/>
    </row>
    <row r="30" spans="1:16" x14ac:dyDescent="0.3">
      <c r="A30" s="97" t="e">
        <f>'Cover Page'!$D$5</f>
        <v>#N/A</v>
      </c>
      <c r="B30" s="98" t="str">
        <f>IFERROR(VLOOKUP(A30,'District Codes'!D:F,3,FALSE),"")</f>
        <v/>
      </c>
      <c r="C30" s="99" t="str">
        <f>IFERROR(VLOOKUP(A30,'District Codes'!A:B,2,FALSE),"")</f>
        <v/>
      </c>
      <c r="D30" s="104"/>
      <c r="E30" s="203" t="str">
        <f>IFERROR(VLOOKUP(D30, 'School Codes'!D:E,2,FALSE),"")</f>
        <v/>
      </c>
      <c r="F30" s="100"/>
      <c r="G30" s="100"/>
      <c r="H30" s="100"/>
      <c r="I30" s="101"/>
      <c r="J30" s="100"/>
      <c r="K30" s="100"/>
      <c r="L30" s="100"/>
      <c r="M30" s="100"/>
      <c r="N30" s="102"/>
      <c r="O30" s="103"/>
      <c r="P30" s="105"/>
    </row>
    <row r="31" spans="1:16" x14ac:dyDescent="0.3">
      <c r="A31" s="97" t="e">
        <f>'Cover Page'!$D$5</f>
        <v>#N/A</v>
      </c>
      <c r="B31" s="98" t="str">
        <f>IFERROR(VLOOKUP(A31,'District Codes'!D:F,3,FALSE),"")</f>
        <v/>
      </c>
      <c r="C31" s="99" t="str">
        <f>IFERROR(VLOOKUP(A31,'District Codes'!A:B,2,FALSE),"")</f>
        <v/>
      </c>
      <c r="D31" s="104"/>
      <c r="E31" s="203" t="str">
        <f>IFERROR(VLOOKUP(D31, 'School Codes'!D:E,2,FALSE),"")</f>
        <v/>
      </c>
      <c r="F31" s="100"/>
      <c r="G31" s="100"/>
      <c r="H31" s="100"/>
      <c r="I31" s="100"/>
      <c r="J31" s="100"/>
      <c r="K31" s="100"/>
      <c r="L31" s="100"/>
      <c r="M31" s="100"/>
      <c r="N31" s="102"/>
      <c r="O31" s="103"/>
      <c r="P31" s="105"/>
    </row>
    <row r="32" spans="1:16" x14ac:dyDescent="0.3">
      <c r="A32" s="97" t="e">
        <f>'Cover Page'!$D$5</f>
        <v>#N/A</v>
      </c>
      <c r="B32" s="98" t="str">
        <f>IFERROR(VLOOKUP(A32,'District Codes'!D:F,3,FALSE),"")</f>
        <v/>
      </c>
      <c r="C32" s="99" t="str">
        <f>IFERROR(VLOOKUP(A32,'District Codes'!A:B,2,FALSE),"")</f>
        <v/>
      </c>
      <c r="D32" s="104"/>
      <c r="E32" s="203" t="str">
        <f>IFERROR(VLOOKUP(D32, 'School Codes'!D:E,2,FALSE),"")</f>
        <v/>
      </c>
      <c r="F32" s="100"/>
      <c r="G32" s="100"/>
      <c r="H32" s="100"/>
      <c r="I32" s="100"/>
      <c r="J32" s="100"/>
      <c r="K32" s="100"/>
      <c r="L32" s="100"/>
      <c r="M32" s="100"/>
      <c r="N32" s="102"/>
      <c r="O32" s="103"/>
      <c r="P32" s="105"/>
    </row>
    <row r="33" spans="1:16" x14ac:dyDescent="0.3">
      <c r="A33" s="97" t="e">
        <f>'Cover Page'!$D$5</f>
        <v>#N/A</v>
      </c>
      <c r="B33" s="98" t="str">
        <f>IFERROR(VLOOKUP(A33,'District Codes'!D:F,3,FALSE),"")</f>
        <v/>
      </c>
      <c r="C33" s="99" t="str">
        <f>IFERROR(VLOOKUP(A33,'District Codes'!A:B,2,FALSE),"")</f>
        <v/>
      </c>
      <c r="D33" s="104"/>
      <c r="E33" s="203" t="str">
        <f>IFERROR(VLOOKUP(D33, 'School Codes'!D:E,2,FALSE),"")</f>
        <v/>
      </c>
      <c r="F33" s="100"/>
      <c r="G33" s="100"/>
      <c r="H33" s="100"/>
      <c r="I33" s="100"/>
      <c r="J33" s="100"/>
      <c r="K33" s="100"/>
      <c r="L33" s="100"/>
      <c r="M33" s="100"/>
      <c r="N33" s="102"/>
      <c r="O33" s="103"/>
      <c r="P33" s="105"/>
    </row>
    <row r="34" spans="1:16" x14ac:dyDescent="0.3">
      <c r="A34" s="97" t="e">
        <f>'Cover Page'!$D$5</f>
        <v>#N/A</v>
      </c>
      <c r="B34" s="98" t="str">
        <f>IFERROR(VLOOKUP(A34,'District Codes'!D:F,3,FALSE),"")</f>
        <v/>
      </c>
      <c r="C34" s="99" t="str">
        <f>IFERROR(VLOOKUP(A34,'District Codes'!A:B,2,FALSE),"")</f>
        <v/>
      </c>
      <c r="D34" s="104"/>
      <c r="E34" s="203" t="str">
        <f>IFERROR(VLOOKUP(D34, 'School Codes'!D:E,2,FALSE),"")</f>
        <v/>
      </c>
      <c r="F34" s="100"/>
      <c r="G34" s="100"/>
      <c r="H34" s="100"/>
      <c r="I34" s="100"/>
      <c r="J34" s="100"/>
      <c r="K34" s="100"/>
      <c r="L34" s="100"/>
      <c r="M34" s="100"/>
      <c r="N34" s="102"/>
      <c r="O34" s="103"/>
      <c r="P34" s="105"/>
    </row>
    <row r="35" spans="1:16" x14ac:dyDescent="0.3">
      <c r="A35" s="97" t="e">
        <f>'Cover Page'!$D$5</f>
        <v>#N/A</v>
      </c>
      <c r="B35" s="98" t="str">
        <f>IFERROR(VLOOKUP(A35,'District Codes'!D:F,3,FALSE),"")</f>
        <v/>
      </c>
      <c r="C35" s="99" t="str">
        <f>IFERROR(VLOOKUP(A35,'District Codes'!A:B,2,FALSE),"")</f>
        <v/>
      </c>
      <c r="D35" s="104"/>
      <c r="E35" s="203" t="str">
        <f>IFERROR(VLOOKUP(D35, 'School Codes'!D:E,2,FALSE),"")</f>
        <v/>
      </c>
      <c r="F35" s="100"/>
      <c r="G35" s="100"/>
      <c r="H35" s="100"/>
      <c r="I35" s="100"/>
      <c r="J35" s="100"/>
      <c r="K35" s="100"/>
      <c r="L35" s="100"/>
      <c r="M35" s="100"/>
      <c r="N35" s="102"/>
      <c r="O35" s="103"/>
      <c r="P35" s="105"/>
    </row>
    <row r="36" spans="1:16" x14ac:dyDescent="0.3">
      <c r="A36" s="97" t="e">
        <f>'Cover Page'!$D$5</f>
        <v>#N/A</v>
      </c>
      <c r="B36" s="98" t="str">
        <f>IFERROR(VLOOKUP(A36,'District Codes'!D:F,3,FALSE),"")</f>
        <v/>
      </c>
      <c r="C36" s="99" t="str">
        <f>IFERROR(VLOOKUP(A36,'District Codes'!A:B,2,FALSE),"")</f>
        <v/>
      </c>
      <c r="D36" s="104"/>
      <c r="E36" s="203" t="str">
        <f>IFERROR(VLOOKUP(D36, 'School Codes'!D:E,2,FALSE),"")</f>
        <v/>
      </c>
      <c r="F36" s="100"/>
      <c r="G36" s="100"/>
      <c r="H36" s="100"/>
      <c r="I36" s="100"/>
      <c r="J36" s="100"/>
      <c r="K36" s="100"/>
      <c r="L36" s="100"/>
      <c r="M36" s="100"/>
      <c r="N36" s="102"/>
      <c r="O36" s="103"/>
      <c r="P36" s="105"/>
    </row>
    <row r="37" spans="1:16" x14ac:dyDescent="0.3">
      <c r="A37" s="97" t="e">
        <f>'Cover Page'!$D$5</f>
        <v>#N/A</v>
      </c>
      <c r="B37" s="98" t="str">
        <f>IFERROR(VLOOKUP(A37,'District Codes'!D:F,3,FALSE),"")</f>
        <v/>
      </c>
      <c r="C37" s="99" t="str">
        <f>IFERROR(VLOOKUP(A37,'District Codes'!A:B,2,FALSE),"")</f>
        <v/>
      </c>
      <c r="D37" s="104"/>
      <c r="E37" s="203" t="str">
        <f>IFERROR(VLOOKUP(D37, 'School Codes'!D:E,2,FALSE),"")</f>
        <v/>
      </c>
      <c r="F37" s="100"/>
      <c r="G37" s="100"/>
      <c r="H37" s="100"/>
      <c r="I37" s="100"/>
      <c r="J37" s="100"/>
      <c r="K37" s="100"/>
      <c r="L37" s="100"/>
      <c r="M37" s="100"/>
      <c r="N37" s="102"/>
      <c r="O37" s="103"/>
      <c r="P37" s="105"/>
    </row>
    <row r="38" spans="1:16" x14ac:dyDescent="0.3">
      <c r="A38" s="97" t="e">
        <f>'Cover Page'!$D$5</f>
        <v>#N/A</v>
      </c>
      <c r="B38" s="98" t="str">
        <f>IFERROR(VLOOKUP(A38,'District Codes'!D:F,3,FALSE),"")</f>
        <v/>
      </c>
      <c r="C38" s="99" t="str">
        <f>IFERROR(VLOOKUP(A38,'District Codes'!A:B,2,FALSE),"")</f>
        <v/>
      </c>
      <c r="D38" s="104"/>
      <c r="E38" s="203" t="str">
        <f>IFERROR(VLOOKUP(D38, 'School Codes'!D:E,2,FALSE),"")</f>
        <v/>
      </c>
      <c r="F38" s="100"/>
      <c r="G38" s="100"/>
      <c r="H38" s="100"/>
      <c r="I38" s="100"/>
      <c r="J38" s="100"/>
      <c r="K38" s="100"/>
      <c r="L38" s="100"/>
      <c r="M38" s="100"/>
      <c r="N38" s="102"/>
      <c r="O38" s="103"/>
      <c r="P38" s="105"/>
    </row>
    <row r="39" spans="1:16" x14ac:dyDescent="0.3">
      <c r="A39" s="97" t="e">
        <f>'Cover Page'!$D$5</f>
        <v>#N/A</v>
      </c>
      <c r="B39" s="98" t="str">
        <f>IFERROR(VLOOKUP(A39,'District Codes'!D:F,3,FALSE),"")</f>
        <v/>
      </c>
      <c r="C39" s="99" t="str">
        <f>IFERROR(VLOOKUP(A39,'District Codes'!A:B,2,FALSE),"")</f>
        <v/>
      </c>
      <c r="D39" s="106"/>
      <c r="E39" s="203" t="str">
        <f>IFERROR(VLOOKUP(D39, 'School Codes'!D:E,2,FALSE),"")</f>
        <v/>
      </c>
      <c r="F39" s="100"/>
      <c r="G39" s="100"/>
      <c r="H39" s="100"/>
      <c r="I39" s="100"/>
      <c r="J39" s="100"/>
      <c r="K39" s="100"/>
      <c r="L39" s="100"/>
      <c r="M39" s="100"/>
      <c r="N39" s="102"/>
      <c r="O39" s="103"/>
      <c r="P39" s="105"/>
    </row>
    <row r="40" spans="1:16" x14ac:dyDescent="0.3">
      <c r="A40" s="97" t="e">
        <f>'Cover Page'!$D$5</f>
        <v>#N/A</v>
      </c>
      <c r="B40" s="98" t="str">
        <f>IFERROR(VLOOKUP(A40,'District Codes'!D:F,3,FALSE),"")</f>
        <v/>
      </c>
      <c r="C40" s="99" t="str">
        <f>IFERROR(VLOOKUP(A40,'District Codes'!A:B,2,FALSE),"")</f>
        <v/>
      </c>
      <c r="D40" s="106"/>
      <c r="E40" s="203" t="str">
        <f>IFERROR(VLOOKUP(D40, 'School Codes'!D:E,2,FALSE),"")</f>
        <v/>
      </c>
      <c r="F40" s="100"/>
      <c r="G40" s="100"/>
      <c r="H40" s="100"/>
      <c r="I40" s="100"/>
      <c r="J40" s="100"/>
      <c r="K40" s="100"/>
      <c r="L40" s="100"/>
      <c r="M40" s="100"/>
      <c r="N40" s="102"/>
      <c r="O40" s="103"/>
      <c r="P40" s="105"/>
    </row>
    <row r="41" spans="1:16" x14ac:dyDescent="0.3">
      <c r="A41" s="97" t="e">
        <f>'Cover Page'!$D$5</f>
        <v>#N/A</v>
      </c>
      <c r="B41" s="98" t="str">
        <f>IFERROR(VLOOKUP(A41,'District Codes'!D:F,3,FALSE),"")</f>
        <v/>
      </c>
      <c r="C41" s="99" t="str">
        <f>IFERROR(VLOOKUP(A41,'District Codes'!A:B,2,FALSE),"")</f>
        <v/>
      </c>
      <c r="D41" s="106"/>
      <c r="E41" s="203" t="str">
        <f>IFERROR(VLOOKUP(D41, 'School Codes'!D:E,2,FALSE),"")</f>
        <v/>
      </c>
      <c r="F41" s="100"/>
      <c r="G41" s="100"/>
      <c r="H41" s="100"/>
      <c r="I41" s="100"/>
      <c r="J41" s="100"/>
      <c r="K41" s="100"/>
      <c r="L41" s="100"/>
      <c r="M41" s="100"/>
      <c r="N41" s="102"/>
      <c r="O41" s="103"/>
      <c r="P41" s="105"/>
    </row>
    <row r="42" spans="1:16" ht="14.4" thickBot="1" x14ac:dyDescent="0.35">
      <c r="A42" s="97" t="e">
        <f>'Cover Page'!$D$5</f>
        <v>#N/A</v>
      </c>
      <c r="B42" s="98" t="str">
        <f>IFERROR(VLOOKUP(A42,'District Codes'!D:F,3,FALSE),"")</f>
        <v/>
      </c>
      <c r="C42" s="99" t="str">
        <f>IFERROR(VLOOKUP(A42,'District Codes'!A:B,2,FALSE),"")</f>
        <v/>
      </c>
      <c r="D42" s="104"/>
      <c r="E42" s="203" t="str">
        <f>IFERROR(VLOOKUP(D42, 'School Codes'!D:E,2,FALSE),"")</f>
        <v/>
      </c>
      <c r="F42" s="100"/>
      <c r="G42" s="100"/>
      <c r="H42" s="100"/>
      <c r="I42" s="100"/>
      <c r="J42" s="100"/>
      <c r="K42" s="100"/>
      <c r="L42" s="100"/>
      <c r="M42" s="100"/>
      <c r="N42" s="102"/>
      <c r="O42" s="103"/>
      <c r="P42" s="105"/>
    </row>
    <row r="43" spans="1:16" x14ac:dyDescent="0.3">
      <c r="A43" s="97" t="e">
        <f>'Cover Page'!$D$5</f>
        <v>#N/A</v>
      </c>
      <c r="B43" s="98" t="str">
        <f>IFERROR(VLOOKUP(A43,'District Codes'!D:F,3,FALSE),"")</f>
        <v/>
      </c>
      <c r="C43" s="99" t="str">
        <f>IFERROR(VLOOKUP(A43,'District Codes'!A:B,2,FALSE),"")</f>
        <v/>
      </c>
      <c r="D43" s="104"/>
      <c r="E43" s="203" t="str">
        <f>IFERROR(VLOOKUP(D43, 'School Codes'!D:E,2,FALSE),"")</f>
        <v/>
      </c>
      <c r="F43" s="100"/>
      <c r="G43" s="100"/>
      <c r="H43" s="100"/>
      <c r="I43" s="101"/>
      <c r="J43" s="100"/>
      <c r="K43" s="100"/>
      <c r="L43" s="100"/>
      <c r="M43" s="100"/>
      <c r="N43" s="102"/>
      <c r="O43" s="103"/>
      <c r="P43" s="105"/>
    </row>
    <row r="44" spans="1:16" x14ac:dyDescent="0.3">
      <c r="A44" s="97" t="e">
        <f>'Cover Page'!$D$5</f>
        <v>#N/A</v>
      </c>
      <c r="B44" s="98" t="str">
        <f>IFERROR(VLOOKUP(A44,'District Codes'!D:F,3,FALSE),"")</f>
        <v/>
      </c>
      <c r="C44" s="99" t="str">
        <f>IFERROR(VLOOKUP(A44,'District Codes'!A:B,2,FALSE),"")</f>
        <v/>
      </c>
      <c r="D44" s="104"/>
      <c r="E44" s="203" t="str">
        <f>IFERROR(VLOOKUP(D44, 'School Codes'!D:E,2,FALSE),"")</f>
        <v/>
      </c>
      <c r="F44" s="100"/>
      <c r="G44" s="100"/>
      <c r="H44" s="100"/>
      <c r="I44" s="100"/>
      <c r="J44" s="100"/>
      <c r="K44" s="100"/>
      <c r="L44" s="100"/>
      <c r="M44" s="100"/>
      <c r="N44" s="102"/>
      <c r="O44" s="103"/>
      <c r="P44" s="105"/>
    </row>
    <row r="45" spans="1:16" x14ac:dyDescent="0.3">
      <c r="A45" s="97" t="e">
        <f>'Cover Page'!$D$5</f>
        <v>#N/A</v>
      </c>
      <c r="B45" s="98" t="str">
        <f>IFERROR(VLOOKUP(A45,'District Codes'!D:F,3,FALSE),"")</f>
        <v/>
      </c>
      <c r="C45" s="99" t="str">
        <f>IFERROR(VLOOKUP(A45,'District Codes'!A:B,2,FALSE),"")</f>
        <v/>
      </c>
      <c r="D45" s="104"/>
      <c r="E45" s="203" t="str">
        <f>IFERROR(VLOOKUP(D45, 'School Codes'!D:E,2,FALSE),"")</f>
        <v/>
      </c>
      <c r="F45" s="100"/>
      <c r="G45" s="100"/>
      <c r="H45" s="100"/>
      <c r="I45" s="100"/>
      <c r="J45" s="100"/>
      <c r="K45" s="100"/>
      <c r="L45" s="100"/>
      <c r="M45" s="100"/>
      <c r="N45" s="102"/>
      <c r="O45" s="103"/>
      <c r="P45" s="105"/>
    </row>
    <row r="46" spans="1:16" x14ac:dyDescent="0.3">
      <c r="A46" s="97" t="e">
        <f>'Cover Page'!$D$5</f>
        <v>#N/A</v>
      </c>
      <c r="B46" s="98" t="str">
        <f>IFERROR(VLOOKUP(A46,'District Codes'!D:F,3,FALSE),"")</f>
        <v/>
      </c>
      <c r="C46" s="99" t="str">
        <f>IFERROR(VLOOKUP(A46,'District Codes'!A:B,2,FALSE),"")</f>
        <v/>
      </c>
      <c r="D46" s="104"/>
      <c r="E46" s="203" t="str">
        <f>IFERROR(VLOOKUP(D46, 'School Codes'!D:E,2,FALSE),"")</f>
        <v/>
      </c>
      <c r="F46" s="100"/>
      <c r="G46" s="100"/>
      <c r="H46" s="100"/>
      <c r="I46" s="100"/>
      <c r="J46" s="100"/>
      <c r="K46" s="100"/>
      <c r="L46" s="100"/>
      <c r="M46" s="100"/>
      <c r="N46" s="102"/>
      <c r="O46" s="103"/>
      <c r="P46" s="105"/>
    </row>
    <row r="47" spans="1:16" x14ac:dyDescent="0.3">
      <c r="A47" s="97" t="e">
        <f>'Cover Page'!$D$5</f>
        <v>#N/A</v>
      </c>
      <c r="B47" s="98" t="str">
        <f>IFERROR(VLOOKUP(A47,'District Codes'!D:F,3,FALSE),"")</f>
        <v/>
      </c>
      <c r="C47" s="99" t="str">
        <f>IFERROR(VLOOKUP(A47,'District Codes'!A:B,2,FALSE),"")</f>
        <v/>
      </c>
      <c r="D47" s="104"/>
      <c r="E47" s="203" t="str">
        <f>IFERROR(VLOOKUP(D47, 'School Codes'!D:E,2,FALSE),"")</f>
        <v/>
      </c>
      <c r="F47" s="100"/>
      <c r="G47" s="100"/>
      <c r="H47" s="100"/>
      <c r="I47" s="100"/>
      <c r="J47" s="100"/>
      <c r="K47" s="100"/>
      <c r="L47" s="100"/>
      <c r="M47" s="100"/>
      <c r="N47" s="102"/>
      <c r="O47" s="103"/>
      <c r="P47" s="105"/>
    </row>
    <row r="48" spans="1:16" x14ac:dyDescent="0.3">
      <c r="A48" s="97" t="e">
        <f>'Cover Page'!$D$5</f>
        <v>#N/A</v>
      </c>
      <c r="B48" s="98" t="str">
        <f>IFERROR(VLOOKUP(A48,'District Codes'!D:F,3,FALSE),"")</f>
        <v/>
      </c>
      <c r="C48" s="99" t="str">
        <f>IFERROR(VLOOKUP(A48,'District Codes'!A:B,2,FALSE),"")</f>
        <v/>
      </c>
      <c r="D48" s="104"/>
      <c r="E48" s="203" t="str">
        <f>IFERROR(VLOOKUP(D48, 'School Codes'!D:E,2,FALSE),"")</f>
        <v/>
      </c>
      <c r="F48" s="100"/>
      <c r="G48" s="100"/>
      <c r="H48" s="100"/>
      <c r="I48" s="100"/>
      <c r="J48" s="100"/>
      <c r="K48" s="100"/>
      <c r="L48" s="100"/>
      <c r="M48" s="100"/>
      <c r="N48" s="102"/>
      <c r="O48" s="103"/>
      <c r="P48" s="105"/>
    </row>
    <row r="49" spans="1:16" x14ac:dyDescent="0.3">
      <c r="A49" s="97" t="e">
        <f>'Cover Page'!$D$5</f>
        <v>#N/A</v>
      </c>
      <c r="B49" s="98" t="str">
        <f>IFERROR(VLOOKUP(A49,'District Codes'!D:F,3,FALSE),"")</f>
        <v/>
      </c>
      <c r="C49" s="99" t="str">
        <f>IFERROR(VLOOKUP(A49,'District Codes'!A:B,2,FALSE),"")</f>
        <v/>
      </c>
      <c r="D49" s="104"/>
      <c r="E49" s="203" t="str">
        <f>IFERROR(VLOOKUP(D49, 'School Codes'!D:E,2,FALSE),"")</f>
        <v/>
      </c>
      <c r="F49" s="100"/>
      <c r="G49" s="100"/>
      <c r="H49" s="100"/>
      <c r="I49" s="100"/>
      <c r="J49" s="100"/>
      <c r="K49" s="100"/>
      <c r="L49" s="100"/>
      <c r="M49" s="100"/>
      <c r="N49" s="102"/>
      <c r="O49" s="103"/>
      <c r="P49" s="105"/>
    </row>
    <row r="50" spans="1:16" x14ac:dyDescent="0.3">
      <c r="A50" s="97" t="e">
        <f>'Cover Page'!$D$5</f>
        <v>#N/A</v>
      </c>
      <c r="B50" s="98" t="str">
        <f>IFERROR(VLOOKUP(A50,'District Codes'!D:F,3,FALSE),"")</f>
        <v/>
      </c>
      <c r="C50" s="99" t="str">
        <f>IFERROR(VLOOKUP(A50,'District Codes'!A:B,2,FALSE),"")</f>
        <v/>
      </c>
      <c r="D50" s="104"/>
      <c r="E50" s="203" t="str">
        <f>IFERROR(VLOOKUP(D50, 'School Codes'!D:E,2,FALSE),"")</f>
        <v/>
      </c>
      <c r="F50" s="100"/>
      <c r="G50" s="100"/>
      <c r="H50" s="100"/>
      <c r="I50" s="100"/>
      <c r="J50" s="100"/>
      <c r="K50" s="100"/>
      <c r="L50" s="100"/>
      <c r="M50" s="100"/>
      <c r="N50" s="102"/>
      <c r="O50" s="103"/>
      <c r="P50" s="105"/>
    </row>
    <row r="51" spans="1:16" x14ac:dyDescent="0.3">
      <c r="A51" s="97" t="e">
        <f>'Cover Page'!$D$5</f>
        <v>#N/A</v>
      </c>
      <c r="B51" s="98" t="str">
        <f>IFERROR(VLOOKUP(A51,'District Codes'!D:F,3,FALSE),"")</f>
        <v/>
      </c>
      <c r="C51" s="99" t="str">
        <f>IFERROR(VLOOKUP(A51,'District Codes'!A:B,2,FALSE),"")</f>
        <v/>
      </c>
      <c r="D51" s="104"/>
      <c r="E51" s="203" t="str">
        <f>IFERROR(VLOOKUP(D51, 'School Codes'!D:E,2,FALSE),"")</f>
        <v/>
      </c>
      <c r="F51" s="100"/>
      <c r="G51" s="100"/>
      <c r="H51" s="100"/>
      <c r="I51" s="100"/>
      <c r="J51" s="100"/>
      <c r="K51" s="100"/>
      <c r="L51" s="100"/>
      <c r="M51" s="100"/>
      <c r="N51" s="102"/>
      <c r="O51" s="103"/>
      <c r="P51" s="105"/>
    </row>
    <row r="52" spans="1:16" x14ac:dyDescent="0.3">
      <c r="A52" s="97" t="e">
        <f>'Cover Page'!$D$5</f>
        <v>#N/A</v>
      </c>
      <c r="B52" s="98" t="str">
        <f>IFERROR(VLOOKUP(A52,'District Codes'!D:F,3,FALSE),"")</f>
        <v/>
      </c>
      <c r="C52" s="99" t="str">
        <f>IFERROR(VLOOKUP(A52,'District Codes'!A:B,2,FALSE),"")</f>
        <v/>
      </c>
      <c r="D52" s="106"/>
      <c r="E52" s="203" t="str">
        <f>IFERROR(VLOOKUP(D52, 'School Codes'!D:E,2,FALSE),"")</f>
        <v/>
      </c>
      <c r="F52" s="100"/>
      <c r="G52" s="100"/>
      <c r="H52" s="100"/>
      <c r="I52" s="100"/>
      <c r="J52" s="100"/>
      <c r="K52" s="100"/>
      <c r="L52" s="100"/>
      <c r="M52" s="100"/>
      <c r="N52" s="102"/>
      <c r="O52" s="103"/>
      <c r="P52" s="105"/>
    </row>
    <row r="53" spans="1:16" x14ac:dyDescent="0.3">
      <c r="A53" s="97" t="e">
        <f>'Cover Page'!$D$5</f>
        <v>#N/A</v>
      </c>
      <c r="B53" s="98" t="str">
        <f>IFERROR(VLOOKUP(A53,'District Codes'!D:F,3,FALSE),"")</f>
        <v/>
      </c>
      <c r="C53" s="99" t="str">
        <f>IFERROR(VLOOKUP(A53,'District Codes'!A:B,2,FALSE),"")</f>
        <v/>
      </c>
      <c r="D53" s="106"/>
      <c r="E53" s="203" t="str">
        <f>IFERROR(VLOOKUP(D53, 'School Codes'!D:E,2,FALSE),"")</f>
        <v/>
      </c>
      <c r="F53" s="100"/>
      <c r="G53" s="100"/>
      <c r="H53" s="100"/>
      <c r="I53" s="100"/>
      <c r="J53" s="100"/>
      <c r="K53" s="100"/>
      <c r="L53" s="100"/>
      <c r="M53" s="100"/>
      <c r="N53" s="102"/>
      <c r="O53" s="103"/>
      <c r="P53" s="105"/>
    </row>
    <row r="54" spans="1:16" x14ac:dyDescent="0.3">
      <c r="A54" s="97" t="e">
        <f>'Cover Page'!$D$5</f>
        <v>#N/A</v>
      </c>
      <c r="B54" s="98" t="str">
        <f>IFERROR(VLOOKUP(A54,'District Codes'!D:F,3,FALSE),"")</f>
        <v/>
      </c>
      <c r="C54" s="99" t="str">
        <f>IFERROR(VLOOKUP(A54,'District Codes'!A:B,2,FALSE),"")</f>
        <v/>
      </c>
      <c r="D54" s="106"/>
      <c r="E54" s="203" t="str">
        <f>IFERROR(VLOOKUP(D54, 'School Codes'!D:E,2,FALSE),"")</f>
        <v/>
      </c>
      <c r="F54" s="100"/>
      <c r="G54" s="100"/>
      <c r="H54" s="100"/>
      <c r="I54" s="100"/>
      <c r="J54" s="100"/>
      <c r="K54" s="100"/>
      <c r="L54" s="100"/>
      <c r="M54" s="100"/>
      <c r="N54" s="102"/>
      <c r="O54" s="103"/>
      <c r="P54" s="105"/>
    </row>
    <row r="55" spans="1:16" ht="14.4" thickBot="1" x14ac:dyDescent="0.35">
      <c r="A55" s="97" t="e">
        <f>'Cover Page'!$D$5</f>
        <v>#N/A</v>
      </c>
      <c r="B55" s="98" t="str">
        <f>IFERROR(VLOOKUP(A55,'District Codes'!D:F,3,FALSE),"")</f>
        <v/>
      </c>
      <c r="C55" s="99" t="str">
        <f>IFERROR(VLOOKUP(A55,'District Codes'!A:B,2,FALSE),"")</f>
        <v/>
      </c>
      <c r="D55" s="104"/>
      <c r="E55" s="203" t="str">
        <f>IFERROR(VLOOKUP(D55, 'School Codes'!D:E,2,FALSE),"")</f>
        <v/>
      </c>
      <c r="F55" s="100"/>
      <c r="G55" s="100"/>
      <c r="H55" s="100"/>
      <c r="I55" s="100"/>
      <c r="J55" s="100"/>
      <c r="K55" s="100"/>
      <c r="L55" s="100"/>
      <c r="M55" s="100"/>
      <c r="N55" s="102"/>
      <c r="O55" s="103"/>
      <c r="P55" s="105"/>
    </row>
    <row r="56" spans="1:16" x14ac:dyDescent="0.3">
      <c r="A56" s="97" t="e">
        <f>'Cover Page'!$D$5</f>
        <v>#N/A</v>
      </c>
      <c r="B56" s="98" t="str">
        <f>IFERROR(VLOOKUP(A56,'District Codes'!D:F,3,FALSE),"")</f>
        <v/>
      </c>
      <c r="C56" s="107" t="str">
        <f>IFERROR(VLOOKUP(A56,'District Codes'!A:B,2,FALSE),"")</f>
        <v/>
      </c>
      <c r="D56" s="104"/>
      <c r="E56" s="203" t="str">
        <f>IFERROR(VLOOKUP(D56, 'School Codes'!D:E,2,FALSE),"")</f>
        <v/>
      </c>
      <c r="F56" s="100"/>
      <c r="G56" s="100"/>
      <c r="H56" s="100"/>
      <c r="I56" s="101"/>
      <c r="J56" s="100"/>
      <c r="K56" s="100"/>
      <c r="L56" s="100"/>
      <c r="M56" s="100"/>
      <c r="N56" s="102"/>
      <c r="O56" s="103"/>
      <c r="P56" s="105"/>
    </row>
    <row r="57" spans="1:16" x14ac:dyDescent="0.3">
      <c r="A57" s="97" t="e">
        <f>'Cover Page'!$D$5</f>
        <v>#N/A</v>
      </c>
      <c r="B57" s="98" t="str">
        <f>IFERROR(VLOOKUP(A57,'District Codes'!D:F,3,FALSE),"")</f>
        <v/>
      </c>
      <c r="C57" s="107" t="str">
        <f>IFERROR(VLOOKUP(A57,'District Codes'!A:B,2,FALSE),"")</f>
        <v/>
      </c>
      <c r="D57" s="104"/>
      <c r="E57" s="203" t="str">
        <f>IFERROR(VLOOKUP(D57, 'School Codes'!D:E,2,FALSE),"")</f>
        <v/>
      </c>
      <c r="F57" s="100"/>
      <c r="G57" s="100"/>
      <c r="H57" s="100"/>
      <c r="I57" s="100"/>
      <c r="J57" s="100"/>
      <c r="K57" s="100"/>
      <c r="L57" s="100"/>
      <c r="M57" s="100"/>
      <c r="N57" s="102"/>
      <c r="O57" s="103"/>
      <c r="P57" s="105"/>
    </row>
    <row r="58" spans="1:16" x14ac:dyDescent="0.3">
      <c r="A58" s="97" t="e">
        <f>'Cover Page'!$D$5</f>
        <v>#N/A</v>
      </c>
      <c r="B58" s="98" t="str">
        <f>IFERROR(VLOOKUP(A58,'District Codes'!D:F,3,FALSE),"")</f>
        <v/>
      </c>
      <c r="C58" s="107" t="str">
        <f>IFERROR(VLOOKUP(A58,'District Codes'!A:B,2,FALSE),"")</f>
        <v/>
      </c>
      <c r="D58" s="104"/>
      <c r="E58" s="203" t="str">
        <f>IFERROR(VLOOKUP(D58, 'School Codes'!D:E,2,FALSE),"")</f>
        <v/>
      </c>
      <c r="F58" s="100"/>
      <c r="G58" s="100"/>
      <c r="H58" s="100"/>
      <c r="I58" s="100"/>
      <c r="J58" s="100"/>
      <c r="K58" s="100"/>
      <c r="L58" s="100"/>
      <c r="M58" s="100"/>
      <c r="N58" s="102"/>
      <c r="O58" s="103"/>
      <c r="P58" s="105"/>
    </row>
    <row r="59" spans="1:16" x14ac:dyDescent="0.3">
      <c r="A59" s="97" t="e">
        <f>'Cover Page'!$D$5</f>
        <v>#N/A</v>
      </c>
      <c r="B59" s="98" t="str">
        <f>IFERROR(VLOOKUP(A59,'District Codes'!D:F,3,FALSE),"")</f>
        <v/>
      </c>
      <c r="C59" s="107" t="str">
        <f>IFERROR(VLOOKUP(A59,'District Codes'!A:B,2,FALSE),"")</f>
        <v/>
      </c>
      <c r="D59" s="104"/>
      <c r="E59" s="203" t="str">
        <f>IFERROR(VLOOKUP(D59, 'School Codes'!D:E,2,FALSE),"")</f>
        <v/>
      </c>
      <c r="F59" s="100"/>
      <c r="G59" s="100"/>
      <c r="H59" s="100"/>
      <c r="I59" s="100"/>
      <c r="J59" s="100"/>
      <c r="K59" s="100"/>
      <c r="L59" s="100"/>
      <c r="M59" s="100"/>
      <c r="N59" s="102"/>
      <c r="O59" s="103"/>
      <c r="P59" s="105"/>
    </row>
    <row r="60" spans="1:16" x14ac:dyDescent="0.3">
      <c r="A60" s="97" t="e">
        <f>'Cover Page'!$D$5</f>
        <v>#N/A</v>
      </c>
      <c r="B60" s="98" t="str">
        <f>IFERROR(VLOOKUP(A60,'District Codes'!D:F,3,FALSE),"")</f>
        <v/>
      </c>
      <c r="C60" s="107" t="str">
        <f>IFERROR(VLOOKUP(A60,'District Codes'!A:B,2,FALSE),"")</f>
        <v/>
      </c>
      <c r="D60" s="104"/>
      <c r="E60" s="203" t="str">
        <f>IFERROR(VLOOKUP(D60, 'School Codes'!D:E,2,FALSE),"")</f>
        <v/>
      </c>
      <c r="F60" s="100"/>
      <c r="G60" s="100"/>
      <c r="H60" s="100"/>
      <c r="I60" s="100"/>
      <c r="J60" s="100"/>
      <c r="K60" s="100"/>
      <c r="L60" s="100"/>
      <c r="M60" s="100"/>
      <c r="N60" s="102"/>
      <c r="O60" s="103"/>
      <c r="P60" s="105"/>
    </row>
    <row r="61" spans="1:16" x14ac:dyDescent="0.3">
      <c r="A61" s="97" t="e">
        <f>'Cover Page'!$D$5</f>
        <v>#N/A</v>
      </c>
      <c r="B61" s="98" t="str">
        <f>IFERROR(VLOOKUP(A61,'District Codes'!D:F,3,FALSE),"")</f>
        <v/>
      </c>
      <c r="C61" s="107" t="str">
        <f>IFERROR(VLOOKUP(A61,'District Codes'!A:B,2,FALSE),"")</f>
        <v/>
      </c>
      <c r="D61" s="104"/>
      <c r="E61" s="203" t="str">
        <f>IFERROR(VLOOKUP(D61, 'School Codes'!D:E,2,FALSE),"")</f>
        <v/>
      </c>
      <c r="F61" s="100"/>
      <c r="G61" s="100"/>
      <c r="H61" s="100"/>
      <c r="I61" s="100"/>
      <c r="J61" s="100"/>
      <c r="K61" s="100"/>
      <c r="L61" s="100"/>
      <c r="M61" s="100"/>
      <c r="N61" s="102"/>
      <c r="O61" s="103"/>
      <c r="P61" s="105"/>
    </row>
    <row r="62" spans="1:16" x14ac:dyDescent="0.3">
      <c r="A62" s="97" t="e">
        <f>'Cover Page'!$D$5</f>
        <v>#N/A</v>
      </c>
      <c r="B62" s="98" t="str">
        <f>IFERROR(VLOOKUP(A62,'District Codes'!D:F,3,FALSE),"")</f>
        <v/>
      </c>
      <c r="C62" s="107" t="str">
        <f>IFERROR(VLOOKUP(A62,'District Codes'!A:B,2,FALSE),"")</f>
        <v/>
      </c>
      <c r="D62" s="104"/>
      <c r="E62" s="203" t="str">
        <f>IFERROR(VLOOKUP(D62, 'School Codes'!D:E,2,FALSE),"")</f>
        <v/>
      </c>
      <c r="F62" s="100"/>
      <c r="G62" s="100"/>
      <c r="H62" s="100"/>
      <c r="I62" s="100"/>
      <c r="J62" s="100"/>
      <c r="K62" s="100"/>
      <c r="L62" s="100"/>
      <c r="M62" s="100"/>
      <c r="N62" s="102"/>
      <c r="O62" s="103"/>
      <c r="P62" s="105"/>
    </row>
    <row r="63" spans="1:16" x14ac:dyDescent="0.3">
      <c r="A63" s="97" t="e">
        <f>'Cover Page'!$D$5</f>
        <v>#N/A</v>
      </c>
      <c r="B63" s="98" t="str">
        <f>IFERROR(VLOOKUP(A63,'District Codes'!D:F,3,FALSE),"")</f>
        <v/>
      </c>
      <c r="C63" s="107" t="str">
        <f>IFERROR(VLOOKUP(A63,'District Codes'!A:B,2,FALSE),"")</f>
        <v/>
      </c>
      <c r="D63" s="104"/>
      <c r="E63" s="203" t="str">
        <f>IFERROR(VLOOKUP(D63, 'School Codes'!D:E,2,FALSE),"")</f>
        <v/>
      </c>
      <c r="F63" s="100"/>
      <c r="G63" s="100"/>
      <c r="H63" s="100"/>
      <c r="I63" s="100"/>
      <c r="J63" s="100"/>
      <c r="K63" s="100"/>
      <c r="L63" s="100"/>
      <c r="M63" s="100"/>
      <c r="N63" s="102"/>
      <c r="O63" s="103"/>
      <c r="P63" s="105"/>
    </row>
    <row r="64" spans="1:16" x14ac:dyDescent="0.3">
      <c r="A64" s="97" t="e">
        <f>'Cover Page'!$D$5</f>
        <v>#N/A</v>
      </c>
      <c r="B64" s="98" t="str">
        <f>IFERROR(VLOOKUP(A64,'District Codes'!D:F,3,FALSE),"")</f>
        <v/>
      </c>
      <c r="C64" s="107" t="str">
        <f>IFERROR(VLOOKUP(A64,'District Codes'!A:B,2,FALSE),"")</f>
        <v/>
      </c>
      <c r="D64" s="104"/>
      <c r="E64" s="203" t="str">
        <f>IFERROR(VLOOKUP(D64, 'School Codes'!D:E,2,FALSE),"")</f>
        <v/>
      </c>
      <c r="F64" s="100"/>
      <c r="G64" s="100"/>
      <c r="H64" s="100"/>
      <c r="I64" s="100"/>
      <c r="J64" s="100"/>
      <c r="K64" s="100"/>
      <c r="L64" s="100"/>
      <c r="M64" s="100"/>
      <c r="N64" s="102"/>
      <c r="O64" s="103"/>
      <c r="P64" s="105"/>
    </row>
    <row r="65" spans="1:16" x14ac:dyDescent="0.3">
      <c r="A65" s="97" t="e">
        <f>'Cover Page'!$D$5</f>
        <v>#N/A</v>
      </c>
      <c r="B65" s="98" t="str">
        <f>IFERROR(VLOOKUP(A65,'District Codes'!D:F,3,FALSE),"")</f>
        <v/>
      </c>
      <c r="C65" s="107" t="str">
        <f>IFERROR(VLOOKUP(A65,'District Codes'!A:B,2,FALSE),"")</f>
        <v/>
      </c>
      <c r="D65" s="106"/>
      <c r="E65" s="203" t="str">
        <f>IFERROR(VLOOKUP(D65, 'School Codes'!D:E,2,FALSE),"")</f>
        <v/>
      </c>
      <c r="F65" s="100"/>
      <c r="G65" s="100"/>
      <c r="H65" s="100"/>
      <c r="I65" s="100"/>
      <c r="J65" s="100"/>
      <c r="K65" s="100"/>
      <c r="L65" s="100"/>
      <c r="M65" s="100"/>
      <c r="N65" s="102"/>
      <c r="O65" s="103"/>
      <c r="P65" s="105"/>
    </row>
    <row r="66" spans="1:16" x14ac:dyDescent="0.3">
      <c r="A66" s="97" t="e">
        <f>'Cover Page'!$D$5</f>
        <v>#N/A</v>
      </c>
      <c r="B66" s="98" t="str">
        <f>IFERROR(VLOOKUP(A66,'District Codes'!D:F,3,FALSE),"")</f>
        <v/>
      </c>
      <c r="C66" s="107" t="str">
        <f>IFERROR(VLOOKUP(A66,'District Codes'!A:B,2,FALSE),"")</f>
        <v/>
      </c>
      <c r="D66" s="106"/>
      <c r="E66" s="203" t="str">
        <f>IFERROR(VLOOKUP(D66, 'School Codes'!D:E,2,FALSE),"")</f>
        <v/>
      </c>
      <c r="F66" s="100"/>
      <c r="G66" s="100"/>
      <c r="H66" s="100"/>
      <c r="I66" s="100"/>
      <c r="J66" s="100"/>
      <c r="K66" s="100"/>
      <c r="L66" s="100"/>
      <c r="M66" s="100"/>
      <c r="N66" s="102"/>
      <c r="O66" s="103"/>
      <c r="P66" s="105"/>
    </row>
    <row r="67" spans="1:16" x14ac:dyDescent="0.3">
      <c r="A67" s="97" t="e">
        <f>'Cover Page'!$D$5</f>
        <v>#N/A</v>
      </c>
      <c r="B67" s="98" t="str">
        <f>IFERROR(VLOOKUP(A67,'District Codes'!D:F,3,FALSE),"")</f>
        <v/>
      </c>
      <c r="C67" s="107" t="str">
        <f>IFERROR(VLOOKUP(A67,'District Codes'!A:B,2,FALSE),"")</f>
        <v/>
      </c>
      <c r="D67" s="106"/>
      <c r="E67" s="203" t="str">
        <f>IFERROR(VLOOKUP(D67, 'School Codes'!D:E,2,FALSE),"")</f>
        <v/>
      </c>
      <c r="F67" s="100"/>
      <c r="G67" s="100"/>
      <c r="H67" s="100"/>
      <c r="I67" s="100"/>
      <c r="J67" s="100"/>
      <c r="K67" s="100"/>
      <c r="L67" s="100"/>
      <c r="M67" s="100"/>
      <c r="N67" s="102"/>
      <c r="O67" s="103"/>
      <c r="P67" s="105"/>
    </row>
    <row r="68" spans="1:16" ht="14.4" thickBot="1" x14ac:dyDescent="0.35">
      <c r="A68" s="97" t="e">
        <f>'Cover Page'!$D$5</f>
        <v>#N/A</v>
      </c>
      <c r="B68" s="98" t="str">
        <f>IFERROR(VLOOKUP(A68,'District Codes'!D:F,3,FALSE),"")</f>
        <v/>
      </c>
      <c r="C68" s="107" t="str">
        <f>IFERROR(VLOOKUP(A68,'District Codes'!A:B,2,FALSE),"")</f>
        <v/>
      </c>
      <c r="D68" s="104"/>
      <c r="E68" s="203" t="str">
        <f>IFERROR(VLOOKUP(D68, 'School Codes'!D:E,2,FALSE),"")</f>
        <v/>
      </c>
      <c r="F68" s="100"/>
      <c r="G68" s="100"/>
      <c r="H68" s="100"/>
      <c r="I68" s="100"/>
      <c r="J68" s="100"/>
      <c r="K68" s="100"/>
      <c r="L68" s="100"/>
      <c r="M68" s="100"/>
      <c r="N68" s="102"/>
      <c r="O68" s="103"/>
      <c r="P68" s="105"/>
    </row>
    <row r="69" spans="1:16" x14ac:dyDescent="0.3">
      <c r="A69" s="97" t="e">
        <f>'Cover Page'!$D$5</f>
        <v>#N/A</v>
      </c>
      <c r="B69" s="98" t="str">
        <f>IFERROR(VLOOKUP(A69,'District Codes'!D:F,3,FALSE),"")</f>
        <v/>
      </c>
      <c r="C69" s="107" t="str">
        <f>IFERROR(VLOOKUP(A69,'District Codes'!A:B,2,FALSE),"")</f>
        <v/>
      </c>
      <c r="D69" s="104"/>
      <c r="E69" s="203" t="str">
        <f>IFERROR(VLOOKUP(D69, 'School Codes'!D:E,2,FALSE),"")</f>
        <v/>
      </c>
      <c r="F69" s="100"/>
      <c r="G69" s="100"/>
      <c r="H69" s="100"/>
      <c r="I69" s="101"/>
      <c r="J69" s="100"/>
      <c r="K69" s="100"/>
      <c r="L69" s="100"/>
      <c r="M69" s="100"/>
      <c r="N69" s="102"/>
      <c r="O69" s="103"/>
      <c r="P69" s="105"/>
    </row>
    <row r="70" spans="1:16" x14ac:dyDescent="0.3">
      <c r="A70" s="97" t="e">
        <f>'Cover Page'!$D$5</f>
        <v>#N/A</v>
      </c>
      <c r="B70" s="98" t="str">
        <f>IFERROR(VLOOKUP(A70,'District Codes'!D:F,3,FALSE),"")</f>
        <v/>
      </c>
      <c r="C70" s="107" t="str">
        <f>IFERROR(VLOOKUP(A70,'District Codes'!A:B,2,FALSE),"")</f>
        <v/>
      </c>
      <c r="D70" s="104"/>
      <c r="E70" s="203" t="str">
        <f>IFERROR(VLOOKUP(D70, 'School Codes'!D:E,2,FALSE),"")</f>
        <v/>
      </c>
      <c r="F70" s="100"/>
      <c r="G70" s="100"/>
      <c r="H70" s="100"/>
      <c r="I70" s="100"/>
      <c r="J70" s="100"/>
      <c r="K70" s="100"/>
      <c r="L70" s="100"/>
      <c r="M70" s="100"/>
      <c r="N70" s="102"/>
      <c r="O70" s="103"/>
      <c r="P70" s="105"/>
    </row>
    <row r="71" spans="1:16" x14ac:dyDescent="0.3">
      <c r="A71" s="97" t="e">
        <f>'Cover Page'!$D$5</f>
        <v>#N/A</v>
      </c>
      <c r="B71" s="98" t="str">
        <f>IFERROR(VLOOKUP(A71,'District Codes'!D:F,3,FALSE),"")</f>
        <v/>
      </c>
      <c r="C71" s="107" t="str">
        <f>IFERROR(VLOOKUP(A71,'District Codes'!A:B,2,FALSE),"")</f>
        <v/>
      </c>
      <c r="D71" s="104"/>
      <c r="E71" s="203" t="str">
        <f>IFERROR(VLOOKUP(D71, 'School Codes'!D:E,2,FALSE),"")</f>
        <v/>
      </c>
      <c r="F71" s="100"/>
      <c r="G71" s="100"/>
      <c r="H71" s="100"/>
      <c r="I71" s="100"/>
      <c r="J71" s="100"/>
      <c r="K71" s="100"/>
      <c r="L71" s="100"/>
      <c r="M71" s="100"/>
      <c r="N71" s="102"/>
      <c r="O71" s="103"/>
      <c r="P71" s="105"/>
    </row>
    <row r="72" spans="1:16" x14ac:dyDescent="0.3">
      <c r="A72" s="97" t="e">
        <f>'Cover Page'!$D$5</f>
        <v>#N/A</v>
      </c>
      <c r="B72" s="98" t="str">
        <f>IFERROR(VLOOKUP(A72,'District Codes'!D:F,3,FALSE),"")</f>
        <v/>
      </c>
      <c r="C72" s="107" t="str">
        <f>IFERROR(VLOOKUP(A72,'District Codes'!A:B,2,FALSE),"")</f>
        <v/>
      </c>
      <c r="D72" s="104"/>
      <c r="E72" s="203" t="str">
        <f>IFERROR(VLOOKUP(D72, 'School Codes'!D:E,2,FALSE),"")</f>
        <v/>
      </c>
      <c r="F72" s="100"/>
      <c r="G72" s="100"/>
      <c r="H72" s="100"/>
      <c r="I72" s="100"/>
      <c r="J72" s="100"/>
      <c r="K72" s="100"/>
      <c r="L72" s="100"/>
      <c r="M72" s="100"/>
      <c r="N72" s="102"/>
      <c r="O72" s="103"/>
      <c r="P72" s="105"/>
    </row>
    <row r="73" spans="1:16" x14ac:dyDescent="0.3">
      <c r="A73" s="97" t="e">
        <f>'Cover Page'!$D$5</f>
        <v>#N/A</v>
      </c>
      <c r="B73" s="98" t="str">
        <f>IFERROR(VLOOKUP(A73,'District Codes'!D:F,3,FALSE),"")</f>
        <v/>
      </c>
      <c r="C73" s="107" t="str">
        <f>IFERROR(VLOOKUP(A73,'District Codes'!A:B,2,FALSE),"")</f>
        <v/>
      </c>
      <c r="D73" s="104"/>
      <c r="E73" s="203" t="str">
        <f>IFERROR(VLOOKUP(D73, 'School Codes'!D:E,2,FALSE),"")</f>
        <v/>
      </c>
      <c r="F73" s="100"/>
      <c r="G73" s="100"/>
      <c r="H73" s="100"/>
      <c r="I73" s="100"/>
      <c r="J73" s="100"/>
      <c r="K73" s="100"/>
      <c r="L73" s="100"/>
      <c r="M73" s="100"/>
      <c r="N73" s="102"/>
      <c r="O73" s="103"/>
      <c r="P73" s="105"/>
    </row>
    <row r="74" spans="1:16" x14ac:dyDescent="0.3">
      <c r="A74" s="97" t="e">
        <f>'Cover Page'!$D$5</f>
        <v>#N/A</v>
      </c>
      <c r="B74" s="98" t="str">
        <f>IFERROR(VLOOKUP(A74,'District Codes'!D:F,3,FALSE),"")</f>
        <v/>
      </c>
      <c r="C74" s="107" t="str">
        <f>IFERROR(VLOOKUP(A74,'District Codes'!A:B,2,FALSE),"")</f>
        <v/>
      </c>
      <c r="D74" s="104"/>
      <c r="E74" s="203" t="str">
        <f>IFERROR(VLOOKUP(D74, 'School Codes'!D:E,2,FALSE),"")</f>
        <v/>
      </c>
      <c r="F74" s="100"/>
      <c r="G74" s="100"/>
      <c r="H74" s="100"/>
      <c r="I74" s="100"/>
      <c r="J74" s="100"/>
      <c r="K74" s="100"/>
      <c r="L74" s="100"/>
      <c r="M74" s="100"/>
      <c r="N74" s="102"/>
      <c r="O74" s="103"/>
      <c r="P74" s="105"/>
    </row>
    <row r="75" spans="1:16" x14ac:dyDescent="0.3">
      <c r="A75" s="97" t="e">
        <f>'Cover Page'!$D$5</f>
        <v>#N/A</v>
      </c>
      <c r="B75" s="98" t="str">
        <f>IFERROR(VLOOKUP(A75,'District Codes'!D:F,3,FALSE),"")</f>
        <v/>
      </c>
      <c r="C75" s="107" t="str">
        <f>IFERROR(VLOOKUP(A75,'District Codes'!A:B,2,FALSE),"")</f>
        <v/>
      </c>
      <c r="D75" s="104"/>
      <c r="E75" s="203" t="str">
        <f>IFERROR(VLOOKUP(D75, 'School Codes'!D:E,2,FALSE),"")</f>
        <v/>
      </c>
      <c r="F75" s="100"/>
      <c r="G75" s="100"/>
      <c r="H75" s="100"/>
      <c r="I75" s="100"/>
      <c r="J75" s="100"/>
      <c r="K75" s="100"/>
      <c r="L75" s="100"/>
      <c r="M75" s="100"/>
      <c r="N75" s="102"/>
      <c r="O75" s="103"/>
      <c r="P75" s="105"/>
    </row>
    <row r="76" spans="1:16" x14ac:dyDescent="0.3">
      <c r="A76" s="97" t="e">
        <f>'Cover Page'!$D$5</f>
        <v>#N/A</v>
      </c>
      <c r="B76" s="98" t="str">
        <f>IFERROR(VLOOKUP(A76,'District Codes'!D:F,3,FALSE),"")</f>
        <v/>
      </c>
      <c r="C76" s="107" t="str">
        <f>IFERROR(VLOOKUP(A76,'District Codes'!A:B,2,FALSE),"")</f>
        <v/>
      </c>
      <c r="D76" s="104"/>
      <c r="E76" s="203" t="str">
        <f>IFERROR(VLOOKUP(D76, 'School Codes'!D:E,2,FALSE),"")</f>
        <v/>
      </c>
      <c r="F76" s="100"/>
      <c r="G76" s="100"/>
      <c r="H76" s="100"/>
      <c r="I76" s="100"/>
      <c r="J76" s="100"/>
      <c r="K76" s="100"/>
      <c r="L76" s="100"/>
      <c r="M76" s="100"/>
      <c r="N76" s="102"/>
      <c r="O76" s="103"/>
      <c r="P76" s="105"/>
    </row>
    <row r="77" spans="1:16" x14ac:dyDescent="0.3">
      <c r="A77" s="97" t="e">
        <f>'Cover Page'!$D$5</f>
        <v>#N/A</v>
      </c>
      <c r="B77" s="98" t="str">
        <f>IFERROR(VLOOKUP(A77,'District Codes'!D:F,3,FALSE),"")</f>
        <v/>
      </c>
      <c r="C77" s="107" t="str">
        <f>IFERROR(VLOOKUP(A77,'District Codes'!A:B,2,FALSE),"")</f>
        <v/>
      </c>
      <c r="D77" s="104"/>
      <c r="E77" s="203" t="str">
        <f>IFERROR(VLOOKUP(D77, 'School Codes'!D:E,2,FALSE),"")</f>
        <v/>
      </c>
      <c r="F77" s="100"/>
      <c r="G77" s="100"/>
      <c r="H77" s="100"/>
      <c r="I77" s="100"/>
      <c r="J77" s="100"/>
      <c r="K77" s="100"/>
      <c r="L77" s="100"/>
      <c r="M77" s="100"/>
      <c r="N77" s="102"/>
      <c r="O77" s="103"/>
      <c r="P77" s="105"/>
    </row>
    <row r="78" spans="1:16" x14ac:dyDescent="0.3">
      <c r="A78" s="97" t="e">
        <f>'Cover Page'!$D$5</f>
        <v>#N/A</v>
      </c>
      <c r="B78" s="98" t="str">
        <f>IFERROR(VLOOKUP(A78,'District Codes'!D:F,3,FALSE),"")</f>
        <v/>
      </c>
      <c r="C78" s="107" t="str">
        <f>IFERROR(VLOOKUP(A78,'District Codes'!A:B,2,FALSE),"")</f>
        <v/>
      </c>
      <c r="D78" s="106"/>
      <c r="E78" s="203" t="str">
        <f>IFERROR(VLOOKUP(D78, 'School Codes'!D:E,2,FALSE),"")</f>
        <v/>
      </c>
      <c r="F78" s="100"/>
      <c r="G78" s="100"/>
      <c r="H78" s="100"/>
      <c r="I78" s="100"/>
      <c r="J78" s="100"/>
      <c r="K78" s="100"/>
      <c r="L78" s="100"/>
      <c r="M78" s="100"/>
      <c r="N78" s="102"/>
      <c r="O78" s="103"/>
      <c r="P78" s="105"/>
    </row>
    <row r="79" spans="1:16" x14ac:dyDescent="0.3">
      <c r="A79" s="97" t="e">
        <f>'Cover Page'!$D$5</f>
        <v>#N/A</v>
      </c>
      <c r="B79" s="98" t="str">
        <f>IFERROR(VLOOKUP(A79,'District Codes'!D:F,3,FALSE),"")</f>
        <v/>
      </c>
      <c r="C79" s="107" t="str">
        <f>IFERROR(VLOOKUP(A79,'District Codes'!A:B,2,FALSE),"")</f>
        <v/>
      </c>
      <c r="D79" s="106"/>
      <c r="E79" s="203" t="str">
        <f>IFERROR(VLOOKUP(D79, 'School Codes'!D:E,2,FALSE),"")</f>
        <v/>
      </c>
      <c r="F79" s="100"/>
      <c r="G79" s="100"/>
      <c r="H79" s="100"/>
      <c r="I79" s="100"/>
      <c r="J79" s="100"/>
      <c r="K79" s="100"/>
      <c r="L79" s="100"/>
      <c r="M79" s="100"/>
      <c r="N79" s="102"/>
      <c r="O79" s="103"/>
      <c r="P79" s="105"/>
    </row>
    <row r="80" spans="1:16" x14ac:dyDescent="0.3">
      <c r="A80" s="97" t="e">
        <f>'Cover Page'!$D$5</f>
        <v>#N/A</v>
      </c>
      <c r="B80" s="98" t="str">
        <f>IFERROR(VLOOKUP(A80,'District Codes'!D:F,3,FALSE),"")</f>
        <v/>
      </c>
      <c r="C80" s="107" t="str">
        <f>IFERROR(VLOOKUP(A80,'District Codes'!A:B,2,FALSE),"")</f>
        <v/>
      </c>
      <c r="D80" s="106"/>
      <c r="E80" s="203" t="str">
        <f>IFERROR(VLOOKUP(D80, 'School Codes'!D:E,2,FALSE),"")</f>
        <v/>
      </c>
      <c r="F80" s="100"/>
      <c r="G80" s="100"/>
      <c r="H80" s="100"/>
      <c r="I80" s="100"/>
      <c r="J80" s="100"/>
      <c r="K80" s="100"/>
      <c r="L80" s="100"/>
      <c r="M80" s="100"/>
      <c r="N80" s="102"/>
      <c r="O80" s="103"/>
      <c r="P80" s="105"/>
    </row>
    <row r="81" spans="1:16" ht="14.4" thickBot="1" x14ac:dyDescent="0.35">
      <c r="A81" s="97" t="e">
        <f>'Cover Page'!$D$5</f>
        <v>#N/A</v>
      </c>
      <c r="B81" s="98" t="str">
        <f>IFERROR(VLOOKUP(A81,'District Codes'!D:F,3,FALSE),"")</f>
        <v/>
      </c>
      <c r="C81" s="107" t="str">
        <f>IFERROR(VLOOKUP(A81,'District Codes'!A:B,2,FALSE),"")</f>
        <v/>
      </c>
      <c r="D81" s="104"/>
      <c r="E81" s="203" t="str">
        <f>IFERROR(VLOOKUP(D81, 'School Codes'!D:E,2,FALSE),"")</f>
        <v/>
      </c>
      <c r="F81" s="100"/>
      <c r="G81" s="100"/>
      <c r="H81" s="100"/>
      <c r="I81" s="100"/>
      <c r="J81" s="100"/>
      <c r="K81" s="100"/>
      <c r="L81" s="100"/>
      <c r="M81" s="100"/>
      <c r="N81" s="102"/>
      <c r="O81" s="103"/>
      <c r="P81" s="105"/>
    </row>
    <row r="82" spans="1:16" x14ac:dyDescent="0.3">
      <c r="A82" s="97" t="e">
        <f>'Cover Page'!$D$5</f>
        <v>#N/A</v>
      </c>
      <c r="B82" s="98" t="str">
        <f>IFERROR(VLOOKUP(A82,'District Codes'!D:F,3,FALSE),"")</f>
        <v/>
      </c>
      <c r="C82" s="107" t="str">
        <f>IFERROR(VLOOKUP(A82,'District Codes'!A:B,2,FALSE),"")</f>
        <v/>
      </c>
      <c r="D82" s="104"/>
      <c r="E82" s="203" t="str">
        <f>IFERROR(VLOOKUP(D82, 'School Codes'!D:E,2,FALSE),"")</f>
        <v/>
      </c>
      <c r="F82" s="100"/>
      <c r="G82" s="100"/>
      <c r="H82" s="100"/>
      <c r="I82" s="101"/>
      <c r="J82" s="100"/>
      <c r="K82" s="100"/>
      <c r="L82" s="100"/>
      <c r="M82" s="100"/>
      <c r="N82" s="102"/>
      <c r="O82" s="103"/>
      <c r="P82" s="105"/>
    </row>
    <row r="83" spans="1:16" x14ac:dyDescent="0.3">
      <c r="A83" s="97" t="e">
        <f>'Cover Page'!$D$5</f>
        <v>#N/A</v>
      </c>
      <c r="B83" s="98" t="str">
        <f>IFERROR(VLOOKUP(A83,'District Codes'!D:F,3,FALSE),"")</f>
        <v/>
      </c>
      <c r="C83" s="107" t="str">
        <f>IFERROR(VLOOKUP(A83,'District Codes'!A:B,2,FALSE),"")</f>
        <v/>
      </c>
      <c r="D83" s="104"/>
      <c r="E83" s="203" t="str">
        <f>IFERROR(VLOOKUP(D83, 'School Codes'!D:E,2,FALSE),"")</f>
        <v/>
      </c>
      <c r="F83" s="100"/>
      <c r="G83" s="100"/>
      <c r="H83" s="100"/>
      <c r="I83" s="100"/>
      <c r="J83" s="100"/>
      <c r="K83" s="100"/>
      <c r="L83" s="100"/>
      <c r="M83" s="100"/>
      <c r="N83" s="102"/>
      <c r="O83" s="103"/>
      <c r="P83" s="105"/>
    </row>
    <row r="84" spans="1:16" x14ac:dyDescent="0.3">
      <c r="A84" s="97" t="e">
        <f>'Cover Page'!$D$5</f>
        <v>#N/A</v>
      </c>
      <c r="B84" s="98" t="str">
        <f>IFERROR(VLOOKUP(A84,'District Codes'!D:F,3,FALSE),"")</f>
        <v/>
      </c>
      <c r="C84" s="107" t="str">
        <f>IFERROR(VLOOKUP(A84,'District Codes'!A:B,2,FALSE),"")</f>
        <v/>
      </c>
      <c r="D84" s="104"/>
      <c r="E84" s="203" t="str">
        <f>IFERROR(VLOOKUP(D84, 'School Codes'!D:E,2,FALSE),"")</f>
        <v/>
      </c>
      <c r="F84" s="100"/>
      <c r="G84" s="100"/>
      <c r="H84" s="100"/>
      <c r="I84" s="100"/>
      <c r="J84" s="100"/>
      <c r="K84" s="100"/>
      <c r="L84" s="100"/>
      <c r="M84" s="100"/>
      <c r="N84" s="102"/>
      <c r="O84" s="103"/>
      <c r="P84" s="105"/>
    </row>
    <row r="85" spans="1:16" x14ac:dyDescent="0.3">
      <c r="A85" s="97" t="e">
        <f>'Cover Page'!$D$5</f>
        <v>#N/A</v>
      </c>
      <c r="B85" s="98" t="str">
        <f>IFERROR(VLOOKUP(A85,'District Codes'!D:F,3,FALSE),"")</f>
        <v/>
      </c>
      <c r="C85" s="107" t="str">
        <f>IFERROR(VLOOKUP(A85,'District Codes'!A:B,2,FALSE),"")</f>
        <v/>
      </c>
      <c r="D85" s="104"/>
      <c r="E85" s="203" t="str">
        <f>IFERROR(VLOOKUP(D85, 'School Codes'!D:E,2,FALSE),"")</f>
        <v/>
      </c>
      <c r="F85" s="100"/>
      <c r="G85" s="100"/>
      <c r="H85" s="100"/>
      <c r="I85" s="100"/>
      <c r="J85" s="100"/>
      <c r="K85" s="100"/>
      <c r="L85" s="100"/>
      <c r="M85" s="100"/>
      <c r="N85" s="102"/>
      <c r="O85" s="103"/>
      <c r="P85" s="105"/>
    </row>
    <row r="86" spans="1:16" x14ac:dyDescent="0.3">
      <c r="A86" s="97" t="e">
        <f>'Cover Page'!$D$5</f>
        <v>#N/A</v>
      </c>
      <c r="B86" s="98" t="str">
        <f>IFERROR(VLOOKUP(A86,'District Codes'!D:F,3,FALSE),"")</f>
        <v/>
      </c>
      <c r="C86" s="107" t="str">
        <f>IFERROR(VLOOKUP(A86,'District Codes'!A:B,2,FALSE),"")</f>
        <v/>
      </c>
      <c r="D86" s="104"/>
      <c r="E86" s="203" t="str">
        <f>IFERROR(VLOOKUP(D86, 'School Codes'!D:E,2,FALSE),"")</f>
        <v/>
      </c>
      <c r="F86" s="100"/>
      <c r="G86" s="100"/>
      <c r="H86" s="100"/>
      <c r="I86" s="100"/>
      <c r="J86" s="100"/>
      <c r="K86" s="100"/>
      <c r="L86" s="100"/>
      <c r="M86" s="100"/>
      <c r="N86" s="102"/>
      <c r="O86" s="103"/>
      <c r="P86" s="105"/>
    </row>
    <row r="87" spans="1:16" x14ac:dyDescent="0.3">
      <c r="A87" s="97" t="e">
        <f>'Cover Page'!$D$5</f>
        <v>#N/A</v>
      </c>
      <c r="B87" s="98" t="str">
        <f>IFERROR(VLOOKUP(A87,'District Codes'!D:F,3,FALSE),"")</f>
        <v/>
      </c>
      <c r="C87" s="107" t="str">
        <f>IFERROR(VLOOKUP(A87,'District Codes'!A:B,2,FALSE),"")</f>
        <v/>
      </c>
      <c r="D87" s="104"/>
      <c r="E87" s="203" t="str">
        <f>IFERROR(VLOOKUP(D87, 'School Codes'!D:E,2,FALSE),"")</f>
        <v/>
      </c>
      <c r="F87" s="100"/>
      <c r="G87" s="100"/>
      <c r="H87" s="100"/>
      <c r="I87" s="100"/>
      <c r="J87" s="100"/>
      <c r="K87" s="100"/>
      <c r="L87" s="100"/>
      <c r="M87" s="100"/>
      <c r="N87" s="102"/>
      <c r="O87" s="103"/>
      <c r="P87" s="105"/>
    </row>
    <row r="88" spans="1:16" x14ac:dyDescent="0.3">
      <c r="A88" s="97" t="e">
        <f>'Cover Page'!$D$5</f>
        <v>#N/A</v>
      </c>
      <c r="B88" s="98" t="str">
        <f>IFERROR(VLOOKUP(A88,'District Codes'!D:F,3,FALSE),"")</f>
        <v/>
      </c>
      <c r="C88" s="107" t="str">
        <f>IFERROR(VLOOKUP(A88,'District Codes'!A:B,2,FALSE),"")</f>
        <v/>
      </c>
      <c r="D88" s="104"/>
      <c r="E88" s="203" t="str">
        <f>IFERROR(VLOOKUP(D88, 'School Codes'!D:E,2,FALSE),"")</f>
        <v/>
      </c>
      <c r="F88" s="100"/>
      <c r="G88" s="100"/>
      <c r="H88" s="100"/>
      <c r="I88" s="100"/>
      <c r="J88" s="100"/>
      <c r="K88" s="100"/>
      <c r="L88" s="100"/>
      <c r="M88" s="100"/>
      <c r="N88" s="102"/>
      <c r="O88" s="103"/>
      <c r="P88" s="105"/>
    </row>
    <row r="89" spans="1:16" x14ac:dyDescent="0.3">
      <c r="A89" s="97" t="e">
        <f>'Cover Page'!$D$5</f>
        <v>#N/A</v>
      </c>
      <c r="B89" s="98" t="str">
        <f>IFERROR(VLOOKUP(A89,'District Codes'!D:F,3,FALSE),"")</f>
        <v/>
      </c>
      <c r="C89" s="107" t="str">
        <f>IFERROR(VLOOKUP(A89,'District Codes'!A:B,2,FALSE),"")</f>
        <v/>
      </c>
      <c r="D89" s="104"/>
      <c r="E89" s="203" t="str">
        <f>IFERROR(VLOOKUP(D89, 'School Codes'!D:E,2,FALSE),"")</f>
        <v/>
      </c>
      <c r="F89" s="100"/>
      <c r="G89" s="100"/>
      <c r="H89" s="100"/>
      <c r="I89" s="100"/>
      <c r="J89" s="100"/>
      <c r="K89" s="100"/>
      <c r="L89" s="100"/>
      <c r="M89" s="100"/>
      <c r="N89" s="102"/>
      <c r="O89" s="103"/>
      <c r="P89" s="105"/>
    </row>
    <row r="90" spans="1:16" x14ac:dyDescent="0.3">
      <c r="A90" s="97" t="e">
        <f>'Cover Page'!$D$5</f>
        <v>#N/A</v>
      </c>
      <c r="B90" s="98" t="str">
        <f>IFERROR(VLOOKUP(A90,'District Codes'!D:F,3,FALSE),"")</f>
        <v/>
      </c>
      <c r="C90" s="107" t="str">
        <f>IFERROR(VLOOKUP(A90,'District Codes'!A:B,2,FALSE),"")</f>
        <v/>
      </c>
      <c r="D90" s="104"/>
      <c r="E90" s="203" t="str">
        <f>IFERROR(VLOOKUP(D90, 'School Codes'!D:E,2,FALSE),"")</f>
        <v/>
      </c>
      <c r="F90" s="100"/>
      <c r="G90" s="100"/>
      <c r="H90" s="100"/>
      <c r="I90" s="100"/>
      <c r="J90" s="100"/>
      <c r="K90" s="100"/>
      <c r="L90" s="100"/>
      <c r="M90" s="100"/>
      <c r="N90" s="102"/>
      <c r="O90" s="103"/>
      <c r="P90" s="105"/>
    </row>
    <row r="91" spans="1:16" x14ac:dyDescent="0.3">
      <c r="A91" s="97" t="e">
        <f>'Cover Page'!$D$5</f>
        <v>#N/A</v>
      </c>
      <c r="B91" s="98" t="str">
        <f>IFERROR(VLOOKUP(A91,'District Codes'!D:F,3,FALSE),"")</f>
        <v/>
      </c>
      <c r="C91" s="107" t="str">
        <f>IFERROR(VLOOKUP(A91,'District Codes'!A:B,2,FALSE),"")</f>
        <v/>
      </c>
      <c r="D91" s="106"/>
      <c r="E91" s="203" t="str">
        <f>IFERROR(VLOOKUP(D91, 'School Codes'!D:E,2,FALSE),"")</f>
        <v/>
      </c>
      <c r="F91" s="100"/>
      <c r="G91" s="100"/>
      <c r="H91" s="100"/>
      <c r="I91" s="100"/>
      <c r="J91" s="100"/>
      <c r="K91" s="100"/>
      <c r="L91" s="100"/>
      <c r="M91" s="100"/>
      <c r="N91" s="102"/>
      <c r="O91" s="103"/>
      <c r="P91" s="105"/>
    </row>
    <row r="92" spans="1:16" x14ac:dyDescent="0.3">
      <c r="A92" s="97" t="e">
        <f>'Cover Page'!$D$5</f>
        <v>#N/A</v>
      </c>
      <c r="B92" s="98" t="str">
        <f>IFERROR(VLOOKUP(A92,'District Codes'!D:F,3,FALSE),"")</f>
        <v/>
      </c>
      <c r="C92" s="107" t="str">
        <f>IFERROR(VLOOKUP(A92,'District Codes'!A:B,2,FALSE),"")</f>
        <v/>
      </c>
      <c r="D92" s="106"/>
      <c r="E92" s="203" t="str">
        <f>IFERROR(VLOOKUP(D92, 'School Codes'!D:E,2,FALSE),"")</f>
        <v/>
      </c>
      <c r="F92" s="100"/>
      <c r="G92" s="100"/>
      <c r="H92" s="100"/>
      <c r="I92" s="100"/>
      <c r="J92" s="100"/>
      <c r="K92" s="100"/>
      <c r="L92" s="100"/>
      <c r="M92" s="100"/>
      <c r="N92" s="102"/>
      <c r="O92" s="103"/>
      <c r="P92" s="105"/>
    </row>
    <row r="93" spans="1:16" x14ac:dyDescent="0.3">
      <c r="A93" s="97" t="e">
        <f>'Cover Page'!$D$5</f>
        <v>#N/A</v>
      </c>
      <c r="B93" s="98" t="str">
        <f>IFERROR(VLOOKUP(A93,'District Codes'!D:F,3,FALSE),"")</f>
        <v/>
      </c>
      <c r="C93" s="107" t="str">
        <f>IFERROR(VLOOKUP(A93,'District Codes'!A:B,2,FALSE),"")</f>
        <v/>
      </c>
      <c r="D93" s="106"/>
      <c r="E93" s="203" t="str">
        <f>IFERROR(VLOOKUP(D93, 'School Codes'!D:E,2,FALSE),"")</f>
        <v/>
      </c>
      <c r="F93" s="100"/>
      <c r="G93" s="100"/>
      <c r="H93" s="100"/>
      <c r="I93" s="100"/>
      <c r="J93" s="100"/>
      <c r="K93" s="100"/>
      <c r="L93" s="100"/>
      <c r="M93" s="100"/>
      <c r="N93" s="102"/>
      <c r="O93" s="103"/>
      <c r="P93" s="105"/>
    </row>
    <row r="94" spans="1:16" ht="14.4" thickBot="1" x14ac:dyDescent="0.35">
      <c r="A94" s="97" t="e">
        <f>'Cover Page'!$D$5</f>
        <v>#N/A</v>
      </c>
      <c r="B94" s="98" t="str">
        <f>IFERROR(VLOOKUP(A94,'District Codes'!D:F,3,FALSE),"")</f>
        <v/>
      </c>
      <c r="C94" s="107" t="str">
        <f>IFERROR(VLOOKUP(A94,'District Codes'!A:B,2,FALSE),"")</f>
        <v/>
      </c>
      <c r="D94" s="104"/>
      <c r="E94" s="203" t="str">
        <f>IFERROR(VLOOKUP(D94, 'School Codes'!D:E,2,FALSE),"")</f>
        <v/>
      </c>
      <c r="F94" s="100"/>
      <c r="G94" s="100"/>
      <c r="H94" s="100"/>
      <c r="I94" s="100"/>
      <c r="J94" s="100"/>
      <c r="K94" s="100"/>
      <c r="L94" s="100"/>
      <c r="M94" s="100"/>
      <c r="N94" s="102"/>
      <c r="O94" s="103"/>
      <c r="P94" s="105"/>
    </row>
    <row r="95" spans="1:16" x14ac:dyDescent="0.3">
      <c r="A95" s="97" t="e">
        <f>'Cover Page'!$D$5</f>
        <v>#N/A</v>
      </c>
      <c r="B95" s="98" t="str">
        <f>IFERROR(VLOOKUP(A95,'District Codes'!D:F,3,FALSE),"")</f>
        <v/>
      </c>
      <c r="C95" s="107" t="str">
        <f>IFERROR(VLOOKUP(A95,'District Codes'!A:B,2,FALSE),"")</f>
        <v/>
      </c>
      <c r="D95" s="104"/>
      <c r="E95" s="203" t="str">
        <f>IFERROR(VLOOKUP(D95, 'School Codes'!D:E,2,FALSE),"")</f>
        <v/>
      </c>
      <c r="F95" s="100"/>
      <c r="G95" s="100"/>
      <c r="H95" s="100"/>
      <c r="I95" s="101"/>
      <c r="J95" s="100"/>
      <c r="K95" s="100"/>
      <c r="L95" s="100"/>
      <c r="M95" s="100"/>
      <c r="N95" s="102"/>
      <c r="O95" s="103"/>
      <c r="P95" s="105"/>
    </row>
    <row r="96" spans="1:16" x14ac:dyDescent="0.3">
      <c r="A96" s="97" t="e">
        <f>'Cover Page'!$D$5</f>
        <v>#N/A</v>
      </c>
      <c r="B96" s="98" t="str">
        <f>IFERROR(VLOOKUP(A96,'District Codes'!D:F,3,FALSE),"")</f>
        <v/>
      </c>
      <c r="C96" s="107" t="str">
        <f>IFERROR(VLOOKUP(A96,'District Codes'!A:B,2,FALSE),"")</f>
        <v/>
      </c>
      <c r="D96" s="104"/>
      <c r="E96" s="203" t="str">
        <f>IFERROR(VLOOKUP(D96, 'School Codes'!D:E,2,FALSE),"")</f>
        <v/>
      </c>
      <c r="F96" s="100"/>
      <c r="G96" s="100"/>
      <c r="H96" s="100"/>
      <c r="I96" s="100"/>
      <c r="J96" s="100"/>
      <c r="K96" s="100"/>
      <c r="L96" s="100"/>
      <c r="M96" s="100"/>
      <c r="N96" s="102"/>
      <c r="O96" s="103"/>
      <c r="P96" s="105"/>
    </row>
    <row r="97" spans="1:16" x14ac:dyDescent="0.3">
      <c r="A97" s="97" t="e">
        <f>'Cover Page'!$D$5</f>
        <v>#N/A</v>
      </c>
      <c r="B97" s="98" t="str">
        <f>IFERROR(VLOOKUP(A97,'District Codes'!D:F,3,FALSE),"")</f>
        <v/>
      </c>
      <c r="C97" s="107" t="str">
        <f>IFERROR(VLOOKUP(A97,'District Codes'!A:B,2,FALSE),"")</f>
        <v/>
      </c>
      <c r="D97" s="104"/>
      <c r="E97" s="203" t="str">
        <f>IFERROR(VLOOKUP(D97, 'School Codes'!D:E,2,FALSE),"")</f>
        <v/>
      </c>
      <c r="F97" s="100"/>
      <c r="G97" s="100"/>
      <c r="H97" s="100"/>
      <c r="I97" s="100"/>
      <c r="J97" s="100"/>
      <c r="K97" s="100"/>
      <c r="L97" s="100"/>
      <c r="M97" s="100"/>
      <c r="N97" s="102"/>
      <c r="O97" s="103"/>
      <c r="P97" s="105"/>
    </row>
    <row r="98" spans="1:16" x14ac:dyDescent="0.3">
      <c r="A98" s="97" t="e">
        <f>'Cover Page'!$D$5</f>
        <v>#N/A</v>
      </c>
      <c r="B98" s="98" t="str">
        <f>IFERROR(VLOOKUP(A98,'District Codes'!D:F,3,FALSE),"")</f>
        <v/>
      </c>
      <c r="C98" s="107" t="str">
        <f>IFERROR(VLOOKUP(A98,'District Codes'!A:B,2,FALSE),"")</f>
        <v/>
      </c>
      <c r="D98" s="104"/>
      <c r="E98" s="203" t="str">
        <f>IFERROR(VLOOKUP(D98, 'School Codes'!D:E,2,FALSE),"")</f>
        <v/>
      </c>
      <c r="F98" s="100"/>
      <c r="G98" s="100"/>
      <c r="H98" s="100"/>
      <c r="I98" s="100"/>
      <c r="J98" s="100"/>
      <c r="K98" s="100"/>
      <c r="L98" s="100"/>
      <c r="M98" s="100"/>
      <c r="N98" s="102"/>
      <c r="O98" s="103"/>
      <c r="P98" s="105"/>
    </row>
    <row r="99" spans="1:16" x14ac:dyDescent="0.3">
      <c r="A99" s="97" t="e">
        <f>'Cover Page'!$D$5</f>
        <v>#N/A</v>
      </c>
      <c r="B99" s="98" t="str">
        <f>IFERROR(VLOOKUP(A99,'District Codes'!D:F,3,FALSE),"")</f>
        <v/>
      </c>
      <c r="C99" s="107" t="str">
        <f>IFERROR(VLOOKUP(A99,'District Codes'!A:B,2,FALSE),"")</f>
        <v/>
      </c>
      <c r="D99" s="104"/>
      <c r="E99" s="203" t="str">
        <f>IFERROR(VLOOKUP(D99, 'School Codes'!D:E,2,FALSE),"")</f>
        <v/>
      </c>
      <c r="F99" s="100"/>
      <c r="G99" s="100"/>
      <c r="H99" s="100"/>
      <c r="I99" s="100"/>
      <c r="J99" s="100"/>
      <c r="K99" s="100"/>
      <c r="L99" s="100"/>
      <c r="M99" s="100"/>
      <c r="N99" s="102"/>
      <c r="O99" s="103"/>
      <c r="P99" s="105"/>
    </row>
    <row r="100" spans="1:16" x14ac:dyDescent="0.3">
      <c r="A100" s="97" t="e">
        <f>'Cover Page'!$D$5</f>
        <v>#N/A</v>
      </c>
      <c r="B100" s="98" t="str">
        <f>IFERROR(VLOOKUP(A100,'District Codes'!D:F,3,FALSE),"")</f>
        <v/>
      </c>
      <c r="C100" s="107" t="str">
        <f>IFERROR(VLOOKUP(A100,'District Codes'!A:B,2,FALSE),"")</f>
        <v/>
      </c>
      <c r="D100" s="104"/>
      <c r="E100" s="203" t="str">
        <f>IFERROR(VLOOKUP(D100, 'School Codes'!D:E,2,FALSE),"")</f>
        <v/>
      </c>
      <c r="F100" s="100"/>
      <c r="G100" s="100"/>
      <c r="H100" s="100"/>
      <c r="I100" s="100"/>
      <c r="J100" s="100"/>
      <c r="K100" s="100"/>
      <c r="L100" s="100"/>
      <c r="M100" s="100"/>
      <c r="N100" s="102"/>
      <c r="O100" s="103"/>
      <c r="P100" s="105"/>
    </row>
    <row r="101" spans="1:16" x14ac:dyDescent="0.3">
      <c r="A101" s="97" t="e">
        <f>'Cover Page'!$D$5</f>
        <v>#N/A</v>
      </c>
      <c r="B101" s="98" t="str">
        <f>IFERROR(VLOOKUP(A101,'District Codes'!D:F,3,FALSE),"")</f>
        <v/>
      </c>
      <c r="C101" s="107" t="str">
        <f>IFERROR(VLOOKUP(A101,'District Codes'!A:B,2,FALSE),"")</f>
        <v/>
      </c>
      <c r="D101" s="104"/>
      <c r="E101" s="203" t="str">
        <f>IFERROR(VLOOKUP(D101, 'School Codes'!D:E,2,FALSE),"")</f>
        <v/>
      </c>
      <c r="F101" s="100"/>
      <c r="G101" s="100"/>
      <c r="H101" s="100"/>
      <c r="I101" s="100"/>
      <c r="J101" s="100"/>
      <c r="K101" s="100"/>
      <c r="L101" s="100"/>
      <c r="M101" s="100"/>
      <c r="N101" s="102"/>
      <c r="O101" s="103"/>
      <c r="P101" s="105"/>
    </row>
    <row r="102" spans="1:16" x14ac:dyDescent="0.3">
      <c r="A102" s="97" t="e">
        <f>'Cover Page'!$D$5</f>
        <v>#N/A</v>
      </c>
      <c r="B102" s="98" t="str">
        <f>IFERROR(VLOOKUP(A102,'District Codes'!D:F,3,FALSE),"")</f>
        <v/>
      </c>
      <c r="C102" s="107" t="str">
        <f>IFERROR(VLOOKUP(A102,'District Codes'!A:B,2,FALSE),"")</f>
        <v/>
      </c>
      <c r="D102" s="104"/>
      <c r="E102" s="203" t="str">
        <f>IFERROR(VLOOKUP(D102, 'School Codes'!D:E,2,FALSE),"")</f>
        <v/>
      </c>
      <c r="F102" s="100"/>
      <c r="G102" s="100"/>
      <c r="H102" s="100"/>
      <c r="I102" s="100"/>
      <c r="J102" s="100"/>
      <c r="K102" s="100"/>
      <c r="L102" s="100"/>
      <c r="M102" s="100"/>
      <c r="N102" s="102"/>
      <c r="O102" s="103"/>
      <c r="P102" s="105"/>
    </row>
    <row r="103" spans="1:16" x14ac:dyDescent="0.3">
      <c r="A103" s="97" t="e">
        <f>'Cover Page'!$D$5</f>
        <v>#N/A</v>
      </c>
      <c r="B103" s="98" t="str">
        <f>IFERROR(VLOOKUP(A103,'District Codes'!D:F,3,FALSE),"")</f>
        <v/>
      </c>
      <c r="C103" s="107" t="str">
        <f>IFERROR(VLOOKUP(A103,'District Codes'!A:B,2,FALSE),"")</f>
        <v/>
      </c>
      <c r="D103" s="104"/>
      <c r="E103" s="203" t="str">
        <f>IFERROR(VLOOKUP(D103, 'School Codes'!D:E,2,FALSE),"")</f>
        <v/>
      </c>
      <c r="F103" s="100"/>
      <c r="G103" s="100"/>
      <c r="H103" s="100"/>
      <c r="I103" s="100"/>
      <c r="J103" s="100"/>
      <c r="K103" s="100"/>
      <c r="L103" s="100"/>
      <c r="M103" s="100"/>
      <c r="N103" s="102"/>
      <c r="O103" s="103"/>
      <c r="P103" s="105"/>
    </row>
    <row r="104" spans="1:16" ht="14.4" thickBot="1" x14ac:dyDescent="0.35">
      <c r="A104" s="97" t="e">
        <f>'Cover Page'!$D$5</f>
        <v>#N/A</v>
      </c>
      <c r="B104" s="109" t="str">
        <f>IFERROR(VLOOKUP(A104,'District Codes'!D:F,3,FALSE),"")</f>
        <v/>
      </c>
      <c r="C104" s="110" t="str">
        <f>IFERROR(VLOOKUP(A104,'District Codes'!A:B,2,FALSE),"")</f>
        <v/>
      </c>
      <c r="D104" s="106"/>
      <c r="E104" s="203" t="str">
        <f>IFERROR(VLOOKUP(D104, 'School Codes'!D:E,2,FALSE),"")</f>
        <v/>
      </c>
      <c r="F104" s="100"/>
      <c r="G104" s="100"/>
      <c r="H104" s="100"/>
      <c r="I104" s="100"/>
      <c r="J104" s="100"/>
      <c r="K104" s="100"/>
      <c r="L104" s="100"/>
      <c r="M104" s="100"/>
      <c r="N104" s="102"/>
      <c r="O104" s="103"/>
      <c r="P104" s="105"/>
    </row>
    <row r="105" spans="1:16" x14ac:dyDescent="0.3">
      <c r="A105" s="97" t="e">
        <f>'Cover Page'!$D$5</f>
        <v>#N/A</v>
      </c>
      <c r="B105" s="98" t="str">
        <f>IFERROR(VLOOKUP(A105,'District Codes'!D:F,3,FALSE),"")</f>
        <v/>
      </c>
      <c r="C105" s="99" t="str">
        <f>IFERROR(VLOOKUP(A105,'District Codes'!A:B,2,FALSE),"")</f>
        <v/>
      </c>
      <c r="D105" s="106"/>
      <c r="E105" s="203" t="str">
        <f>IFERROR(VLOOKUP(D105, 'School Codes'!D:E,2,FALSE),"")</f>
        <v/>
      </c>
      <c r="F105" s="100"/>
      <c r="G105" s="100"/>
      <c r="H105" s="100"/>
      <c r="I105" s="100"/>
      <c r="J105" s="100"/>
      <c r="K105" s="100"/>
      <c r="L105" s="100"/>
      <c r="M105" s="100"/>
      <c r="N105" s="102"/>
      <c r="O105" s="103"/>
      <c r="P105" s="105"/>
    </row>
    <row r="106" spans="1:16" x14ac:dyDescent="0.3">
      <c r="A106" s="97" t="e">
        <f>'Cover Page'!$D$5</f>
        <v>#N/A</v>
      </c>
      <c r="B106" s="98" t="str">
        <f>IFERROR(VLOOKUP(A106,'District Codes'!D:F,3,FALSE),"")</f>
        <v/>
      </c>
      <c r="C106" s="99" t="str">
        <f>IFERROR(VLOOKUP(A106,'District Codes'!A:B,2,FALSE),"")</f>
        <v/>
      </c>
      <c r="D106" s="106"/>
      <c r="E106" s="203" t="str">
        <f>IFERROR(VLOOKUP(D106, 'School Codes'!D:E,2,FALSE),"")</f>
        <v/>
      </c>
      <c r="F106" s="100"/>
      <c r="G106" s="100"/>
      <c r="H106" s="100"/>
      <c r="I106" s="100"/>
      <c r="J106" s="100"/>
      <c r="K106" s="100"/>
      <c r="L106" s="100"/>
      <c r="M106" s="100"/>
      <c r="N106" s="102"/>
      <c r="O106" s="103"/>
      <c r="P106" s="105"/>
    </row>
    <row r="107" spans="1:16" ht="14.4" thickBot="1" x14ac:dyDescent="0.35">
      <c r="A107" s="97" t="e">
        <f>'Cover Page'!$D$5</f>
        <v>#N/A</v>
      </c>
      <c r="B107" s="98" t="str">
        <f>IFERROR(VLOOKUP(A107,'District Codes'!D:F,3,FALSE),"")</f>
        <v/>
      </c>
      <c r="C107" s="99" t="str">
        <f>IFERROR(VLOOKUP(A107,'District Codes'!A:B,2,FALSE),"")</f>
        <v/>
      </c>
      <c r="D107" s="104"/>
      <c r="E107" s="203" t="str">
        <f>IFERROR(VLOOKUP(D107, 'School Codes'!D:E,2,FALSE),"")</f>
        <v/>
      </c>
      <c r="F107" s="100"/>
      <c r="G107" s="100"/>
      <c r="H107" s="100"/>
      <c r="I107" s="100"/>
      <c r="J107" s="100"/>
      <c r="K107" s="100"/>
      <c r="L107" s="100"/>
      <c r="M107" s="100"/>
      <c r="N107" s="102"/>
      <c r="O107" s="103"/>
      <c r="P107" s="105"/>
    </row>
    <row r="108" spans="1:16" x14ac:dyDescent="0.3">
      <c r="A108" s="97" t="e">
        <f>'Cover Page'!$D$5</f>
        <v>#N/A</v>
      </c>
      <c r="B108" s="98" t="str">
        <f>IFERROR(VLOOKUP(A108,'District Codes'!D:F,3,FALSE),"")</f>
        <v/>
      </c>
      <c r="C108" s="99" t="str">
        <f>IFERROR(VLOOKUP(A108,'District Codes'!A:B,2,FALSE),"")</f>
        <v/>
      </c>
      <c r="D108" s="104"/>
      <c r="E108" s="203" t="str">
        <f>IFERROR(VLOOKUP(D108, 'School Codes'!D:E,2,FALSE),"")</f>
        <v/>
      </c>
      <c r="F108" s="100"/>
      <c r="G108" s="100"/>
      <c r="H108" s="100"/>
      <c r="I108" s="101"/>
      <c r="J108" s="100"/>
      <c r="K108" s="100"/>
      <c r="L108" s="100"/>
      <c r="M108" s="100"/>
      <c r="N108" s="102"/>
      <c r="O108" s="103"/>
      <c r="P108" s="105"/>
    </row>
    <row r="109" spans="1:16" x14ac:dyDescent="0.3">
      <c r="A109" s="97" t="e">
        <f>'Cover Page'!$D$5</f>
        <v>#N/A</v>
      </c>
      <c r="B109" s="98" t="str">
        <f>IFERROR(VLOOKUP(A109,'District Codes'!D:F,3,FALSE),"")</f>
        <v/>
      </c>
      <c r="C109" s="99" t="str">
        <f>IFERROR(VLOOKUP(A109,'District Codes'!A:B,2,FALSE),"")</f>
        <v/>
      </c>
      <c r="D109" s="104"/>
      <c r="E109" s="203" t="str">
        <f>IFERROR(VLOOKUP(D109, 'School Codes'!D:E,2,FALSE),"")</f>
        <v/>
      </c>
      <c r="F109" s="100"/>
      <c r="G109" s="100"/>
      <c r="H109" s="100"/>
      <c r="I109" s="100"/>
      <c r="J109" s="100"/>
      <c r="K109" s="100"/>
      <c r="L109" s="100"/>
      <c r="M109" s="100"/>
      <c r="N109" s="102"/>
      <c r="O109" s="103"/>
      <c r="P109" s="105"/>
    </row>
    <row r="110" spans="1:16" x14ac:dyDescent="0.3">
      <c r="A110" s="97" t="e">
        <f>'Cover Page'!$D$5</f>
        <v>#N/A</v>
      </c>
      <c r="B110" s="98" t="str">
        <f>IFERROR(VLOOKUP(A110,'District Codes'!D:F,3,FALSE),"")</f>
        <v/>
      </c>
      <c r="C110" s="99" t="str">
        <f>IFERROR(VLOOKUP(A110,'District Codes'!A:B,2,FALSE),"")</f>
        <v/>
      </c>
      <c r="D110" s="104"/>
      <c r="E110" s="203" t="str">
        <f>IFERROR(VLOOKUP(D110, 'School Codes'!D:E,2,FALSE),"")</f>
        <v/>
      </c>
      <c r="F110" s="100"/>
      <c r="G110" s="100"/>
      <c r="H110" s="100"/>
      <c r="I110" s="100"/>
      <c r="J110" s="100"/>
      <c r="K110" s="100"/>
      <c r="L110" s="100"/>
      <c r="M110" s="100"/>
      <c r="N110" s="102"/>
      <c r="O110" s="103"/>
      <c r="P110" s="105"/>
    </row>
    <row r="111" spans="1:16" x14ac:dyDescent="0.3">
      <c r="A111" s="97" t="e">
        <f>'Cover Page'!$D$5</f>
        <v>#N/A</v>
      </c>
      <c r="B111" s="98" t="str">
        <f>IFERROR(VLOOKUP(A111,'District Codes'!D:F,3,FALSE),"")</f>
        <v/>
      </c>
      <c r="C111" s="99" t="str">
        <f>IFERROR(VLOOKUP(A111,'District Codes'!A:B,2,FALSE),"")</f>
        <v/>
      </c>
      <c r="D111" s="104"/>
      <c r="E111" s="203" t="str">
        <f>IFERROR(VLOOKUP(D111, 'School Codes'!D:E,2,FALSE),"")</f>
        <v/>
      </c>
      <c r="F111" s="100"/>
      <c r="G111" s="100"/>
      <c r="H111" s="100"/>
      <c r="I111" s="100"/>
      <c r="J111" s="100"/>
      <c r="K111" s="100"/>
      <c r="L111" s="100"/>
      <c r="M111" s="100"/>
      <c r="N111" s="102"/>
      <c r="O111" s="103"/>
      <c r="P111" s="105"/>
    </row>
    <row r="112" spans="1:16" x14ac:dyDescent="0.3">
      <c r="A112" s="97" t="e">
        <f>'Cover Page'!$D$5</f>
        <v>#N/A</v>
      </c>
      <c r="B112" s="98" t="str">
        <f>IFERROR(VLOOKUP(A112,'District Codes'!D:F,3,FALSE),"")</f>
        <v/>
      </c>
      <c r="C112" s="99" t="str">
        <f>IFERROR(VLOOKUP(A112,'District Codes'!A:B,2,FALSE),"")</f>
        <v/>
      </c>
      <c r="D112" s="104"/>
      <c r="E112" s="203" t="str">
        <f>IFERROR(VLOOKUP(D112, 'School Codes'!D:E,2,FALSE),"")</f>
        <v/>
      </c>
      <c r="F112" s="100"/>
      <c r="G112" s="100"/>
      <c r="H112" s="100"/>
      <c r="I112" s="100"/>
      <c r="J112" s="100"/>
      <c r="K112" s="100"/>
      <c r="L112" s="100"/>
      <c r="M112" s="100"/>
      <c r="N112" s="102"/>
      <c r="O112" s="103"/>
      <c r="P112" s="105"/>
    </row>
    <row r="113" spans="1:16" x14ac:dyDescent="0.3">
      <c r="A113" s="97" t="e">
        <f>'Cover Page'!$D$5</f>
        <v>#N/A</v>
      </c>
      <c r="B113" s="98" t="str">
        <f>IFERROR(VLOOKUP(A113,'District Codes'!D:F,3,FALSE),"")</f>
        <v/>
      </c>
      <c r="C113" s="99" t="str">
        <f>IFERROR(VLOOKUP(A113,'District Codes'!A:B,2,FALSE),"")</f>
        <v/>
      </c>
      <c r="D113" s="104"/>
      <c r="E113" s="203" t="str">
        <f>IFERROR(VLOOKUP(D113, 'School Codes'!D:E,2,FALSE),"")</f>
        <v/>
      </c>
      <c r="F113" s="100"/>
      <c r="G113" s="100"/>
      <c r="H113" s="100"/>
      <c r="I113" s="100"/>
      <c r="J113" s="100"/>
      <c r="K113" s="100"/>
      <c r="L113" s="100"/>
      <c r="M113" s="100"/>
      <c r="N113" s="102"/>
      <c r="O113" s="103"/>
      <c r="P113" s="105"/>
    </row>
    <row r="114" spans="1:16" x14ac:dyDescent="0.3">
      <c r="A114" s="97" t="e">
        <f>'Cover Page'!$D$5</f>
        <v>#N/A</v>
      </c>
      <c r="B114" s="98" t="str">
        <f>IFERROR(VLOOKUP(A114,'District Codes'!D:F,3,FALSE),"")</f>
        <v/>
      </c>
      <c r="C114" s="99" t="str">
        <f>IFERROR(VLOOKUP(A114,'District Codes'!A:B,2,FALSE),"")</f>
        <v/>
      </c>
      <c r="D114" s="104"/>
      <c r="E114" s="203" t="str">
        <f>IFERROR(VLOOKUP(D114, 'School Codes'!D:E,2,FALSE),"")</f>
        <v/>
      </c>
      <c r="F114" s="100"/>
      <c r="G114" s="100"/>
      <c r="H114" s="100"/>
      <c r="I114" s="100"/>
      <c r="J114" s="100"/>
      <c r="K114" s="100"/>
      <c r="L114" s="100"/>
      <c r="M114" s="100"/>
      <c r="N114" s="102"/>
      <c r="O114" s="103"/>
      <c r="P114" s="105"/>
    </row>
    <row r="115" spans="1:16" x14ac:dyDescent="0.3">
      <c r="A115" s="97" t="e">
        <f>'Cover Page'!$D$5</f>
        <v>#N/A</v>
      </c>
      <c r="B115" s="98" t="str">
        <f>IFERROR(VLOOKUP(A115,'District Codes'!D:F,3,FALSE),"")</f>
        <v/>
      </c>
      <c r="C115" s="99" t="str">
        <f>IFERROR(VLOOKUP(A115,'District Codes'!A:B,2,FALSE),"")</f>
        <v/>
      </c>
      <c r="D115" s="104"/>
      <c r="E115" s="203" t="str">
        <f>IFERROR(VLOOKUP(D115, 'School Codes'!D:E,2,FALSE),"")</f>
        <v/>
      </c>
      <c r="F115" s="100"/>
      <c r="G115" s="100"/>
      <c r="H115" s="100"/>
      <c r="I115" s="100"/>
      <c r="J115" s="100"/>
      <c r="K115" s="100"/>
      <c r="L115" s="100"/>
      <c r="M115" s="100"/>
      <c r="N115" s="102"/>
      <c r="O115" s="103"/>
      <c r="P115" s="105"/>
    </row>
    <row r="116" spans="1:16" x14ac:dyDescent="0.3">
      <c r="A116" s="97" t="e">
        <f>'Cover Page'!$D$5</f>
        <v>#N/A</v>
      </c>
      <c r="B116" s="98" t="str">
        <f>IFERROR(VLOOKUP(A116,'District Codes'!D:F,3,FALSE),"")</f>
        <v/>
      </c>
      <c r="C116" s="99" t="str">
        <f>IFERROR(VLOOKUP(A116,'District Codes'!A:B,2,FALSE),"")</f>
        <v/>
      </c>
      <c r="D116" s="104"/>
      <c r="E116" s="203" t="str">
        <f>IFERROR(VLOOKUP(D116, 'School Codes'!D:E,2,FALSE),"")</f>
        <v/>
      </c>
      <c r="F116" s="100"/>
      <c r="G116" s="100"/>
      <c r="H116" s="100"/>
      <c r="I116" s="100"/>
      <c r="J116" s="100"/>
      <c r="K116" s="100"/>
      <c r="L116" s="100"/>
      <c r="M116" s="100"/>
      <c r="N116" s="102"/>
      <c r="O116" s="103"/>
      <c r="P116" s="105"/>
    </row>
    <row r="117" spans="1:16" x14ac:dyDescent="0.3">
      <c r="A117" s="97" t="e">
        <f>'Cover Page'!$D$5</f>
        <v>#N/A</v>
      </c>
      <c r="B117" s="98" t="str">
        <f>IFERROR(VLOOKUP(A117,'District Codes'!D:F,3,FALSE),"")</f>
        <v/>
      </c>
      <c r="C117" s="99" t="str">
        <f>IFERROR(VLOOKUP(A117,'District Codes'!A:B,2,FALSE),"")</f>
        <v/>
      </c>
      <c r="D117" s="106"/>
      <c r="E117" s="203" t="str">
        <f>IFERROR(VLOOKUP(D117, 'School Codes'!D:E,2,FALSE),"")</f>
        <v/>
      </c>
      <c r="F117" s="100"/>
      <c r="G117" s="100"/>
      <c r="H117" s="100"/>
      <c r="I117" s="100"/>
      <c r="J117" s="100"/>
      <c r="K117" s="100"/>
      <c r="L117" s="100"/>
      <c r="M117" s="100"/>
      <c r="N117" s="102"/>
      <c r="O117" s="103"/>
      <c r="P117" s="105"/>
    </row>
    <row r="118" spans="1:16" x14ac:dyDescent="0.3">
      <c r="A118" s="97" t="e">
        <f>'Cover Page'!$D$5</f>
        <v>#N/A</v>
      </c>
      <c r="B118" s="98" t="str">
        <f>IFERROR(VLOOKUP(A118,'District Codes'!D:F,3,FALSE),"")</f>
        <v/>
      </c>
      <c r="C118" s="99" t="str">
        <f>IFERROR(VLOOKUP(A118,'District Codes'!A:B,2,FALSE),"")</f>
        <v/>
      </c>
      <c r="D118" s="106"/>
      <c r="E118" s="203" t="str">
        <f>IFERROR(VLOOKUP(D118, 'School Codes'!D:E,2,FALSE),"")</f>
        <v/>
      </c>
      <c r="F118" s="100"/>
      <c r="G118" s="100"/>
      <c r="H118" s="100"/>
      <c r="I118" s="100"/>
      <c r="J118" s="100"/>
      <c r="K118" s="100"/>
      <c r="L118" s="100"/>
      <c r="M118" s="100"/>
      <c r="N118" s="102"/>
      <c r="O118" s="103"/>
      <c r="P118" s="105"/>
    </row>
    <row r="119" spans="1:16" x14ac:dyDescent="0.3">
      <c r="A119" s="97" t="e">
        <f>'Cover Page'!$D$5</f>
        <v>#N/A</v>
      </c>
      <c r="B119" s="98" t="str">
        <f>IFERROR(VLOOKUP(A119,'District Codes'!D:F,3,FALSE),"")</f>
        <v/>
      </c>
      <c r="C119" s="99" t="str">
        <f>IFERROR(VLOOKUP(A119,'District Codes'!A:B,2,FALSE),"")</f>
        <v/>
      </c>
      <c r="D119" s="106"/>
      <c r="E119" s="203" t="str">
        <f>IFERROR(VLOOKUP(D119, 'School Codes'!D:E,2,FALSE),"")</f>
        <v/>
      </c>
      <c r="F119" s="100"/>
      <c r="G119" s="100"/>
      <c r="H119" s="100"/>
      <c r="I119" s="100"/>
      <c r="J119" s="100"/>
      <c r="K119" s="100"/>
      <c r="L119" s="100"/>
      <c r="M119" s="100"/>
      <c r="N119" s="102"/>
      <c r="O119" s="103"/>
      <c r="P119" s="105"/>
    </row>
    <row r="120" spans="1:16" ht="14.4" thickBot="1" x14ac:dyDescent="0.35">
      <c r="A120" s="97" t="e">
        <f>'Cover Page'!$D$5</f>
        <v>#N/A</v>
      </c>
      <c r="B120" s="98" t="str">
        <f>IFERROR(VLOOKUP(A120,'District Codes'!D:F,3,FALSE),"")</f>
        <v/>
      </c>
      <c r="C120" s="99" t="str">
        <f>IFERROR(VLOOKUP(A120,'District Codes'!A:B,2,FALSE),"")</f>
        <v/>
      </c>
      <c r="D120" s="104"/>
      <c r="E120" s="203" t="str">
        <f>IFERROR(VLOOKUP(D120, 'School Codes'!D:E,2,FALSE),"")</f>
        <v/>
      </c>
      <c r="F120" s="100"/>
      <c r="G120" s="100"/>
      <c r="H120" s="100"/>
      <c r="I120" s="100"/>
      <c r="J120" s="100"/>
      <c r="K120" s="100"/>
      <c r="L120" s="100"/>
      <c r="M120" s="100"/>
      <c r="N120" s="102"/>
      <c r="O120" s="103"/>
      <c r="P120" s="105"/>
    </row>
    <row r="121" spans="1:16" x14ac:dyDescent="0.3">
      <c r="A121" s="97" t="e">
        <f>'Cover Page'!$D$5</f>
        <v>#N/A</v>
      </c>
      <c r="B121" s="98" t="str">
        <f>IFERROR(VLOOKUP(A121,'District Codes'!D:F,3,FALSE),"")</f>
        <v/>
      </c>
      <c r="C121" s="99" t="str">
        <f>IFERROR(VLOOKUP(A121,'District Codes'!A:B,2,FALSE),"")</f>
        <v/>
      </c>
      <c r="D121" s="104"/>
      <c r="E121" s="203" t="str">
        <f>IFERROR(VLOOKUP(D121, 'School Codes'!D:E,2,FALSE),"")</f>
        <v/>
      </c>
      <c r="F121" s="100"/>
      <c r="G121" s="100"/>
      <c r="H121" s="100"/>
      <c r="I121" s="101"/>
      <c r="J121" s="100"/>
      <c r="K121" s="100"/>
      <c r="L121" s="100"/>
      <c r="M121" s="100"/>
      <c r="N121" s="102"/>
      <c r="O121" s="103"/>
      <c r="P121" s="105"/>
    </row>
    <row r="122" spans="1:16" x14ac:dyDescent="0.3">
      <c r="A122" s="97" t="e">
        <f>'Cover Page'!$D$5</f>
        <v>#N/A</v>
      </c>
      <c r="B122" s="98" t="str">
        <f>IFERROR(VLOOKUP(A122,'District Codes'!D:F,3,FALSE),"")</f>
        <v/>
      </c>
      <c r="C122" s="99" t="str">
        <f>IFERROR(VLOOKUP(A122,'District Codes'!A:B,2,FALSE),"")</f>
        <v/>
      </c>
      <c r="D122" s="104"/>
      <c r="E122" s="203" t="str">
        <f>IFERROR(VLOOKUP(D122, 'School Codes'!D:E,2,FALSE),"")</f>
        <v/>
      </c>
      <c r="F122" s="100"/>
      <c r="G122" s="100"/>
      <c r="H122" s="100"/>
      <c r="I122" s="100"/>
      <c r="J122" s="100"/>
      <c r="K122" s="100"/>
      <c r="L122" s="100"/>
      <c r="M122" s="100"/>
      <c r="N122" s="102"/>
      <c r="O122" s="103"/>
      <c r="P122" s="105"/>
    </row>
    <row r="123" spans="1:16" x14ac:dyDescent="0.3">
      <c r="A123" s="97" t="e">
        <f>'Cover Page'!$D$5</f>
        <v>#N/A</v>
      </c>
      <c r="B123" s="98" t="str">
        <f>IFERROR(VLOOKUP(A123,'District Codes'!D:F,3,FALSE),"")</f>
        <v/>
      </c>
      <c r="C123" s="99" t="str">
        <f>IFERROR(VLOOKUP(A123,'District Codes'!A:B,2,FALSE),"")</f>
        <v/>
      </c>
      <c r="D123" s="104"/>
      <c r="E123" s="203" t="str">
        <f>IFERROR(VLOOKUP(D123, 'School Codes'!D:E,2,FALSE),"")</f>
        <v/>
      </c>
      <c r="F123" s="100"/>
      <c r="G123" s="100"/>
      <c r="H123" s="100"/>
      <c r="I123" s="100"/>
      <c r="J123" s="100"/>
      <c r="K123" s="100"/>
      <c r="L123" s="100"/>
      <c r="M123" s="100"/>
      <c r="N123" s="102"/>
      <c r="O123" s="103"/>
      <c r="P123" s="105"/>
    </row>
    <row r="124" spans="1:16" x14ac:dyDescent="0.3">
      <c r="A124" s="97" t="e">
        <f>'Cover Page'!$D$5</f>
        <v>#N/A</v>
      </c>
      <c r="B124" s="98" t="str">
        <f>IFERROR(VLOOKUP(A124,'District Codes'!D:F,3,FALSE),"")</f>
        <v/>
      </c>
      <c r="C124" s="99" t="str">
        <f>IFERROR(VLOOKUP(A124,'District Codes'!A:B,2,FALSE),"")</f>
        <v/>
      </c>
      <c r="D124" s="104"/>
      <c r="E124" s="203" t="str">
        <f>IFERROR(VLOOKUP(D124, 'School Codes'!D:E,2,FALSE),"")</f>
        <v/>
      </c>
      <c r="F124" s="100"/>
      <c r="G124" s="100"/>
      <c r="H124" s="100"/>
      <c r="I124" s="100"/>
      <c r="J124" s="100"/>
      <c r="K124" s="100"/>
      <c r="L124" s="100"/>
      <c r="M124" s="100"/>
      <c r="N124" s="102"/>
      <c r="O124" s="103"/>
      <c r="P124" s="105"/>
    </row>
    <row r="125" spans="1:16" x14ac:dyDescent="0.3">
      <c r="A125" s="97" t="e">
        <f>'Cover Page'!$D$5</f>
        <v>#N/A</v>
      </c>
      <c r="B125" s="98" t="str">
        <f>IFERROR(VLOOKUP(A125,'District Codes'!D:F,3,FALSE),"")</f>
        <v/>
      </c>
      <c r="C125" s="99" t="str">
        <f>IFERROR(VLOOKUP(A125,'District Codes'!A:B,2,FALSE),"")</f>
        <v/>
      </c>
      <c r="D125" s="104"/>
      <c r="E125" s="203" t="str">
        <f>IFERROR(VLOOKUP(D125, 'School Codes'!D:E,2,FALSE),"")</f>
        <v/>
      </c>
      <c r="F125" s="100"/>
      <c r="G125" s="100"/>
      <c r="H125" s="100"/>
      <c r="I125" s="100"/>
      <c r="J125" s="100"/>
      <c r="K125" s="100"/>
      <c r="L125" s="100"/>
      <c r="M125" s="100"/>
      <c r="N125" s="102"/>
      <c r="O125" s="103"/>
      <c r="P125" s="105"/>
    </row>
    <row r="126" spans="1:16" x14ac:dyDescent="0.3">
      <c r="A126" s="97" t="e">
        <f>'Cover Page'!$D$5</f>
        <v>#N/A</v>
      </c>
      <c r="B126" s="98" t="str">
        <f>IFERROR(VLOOKUP(A126,'District Codes'!D:F,3,FALSE),"")</f>
        <v/>
      </c>
      <c r="C126" s="99" t="str">
        <f>IFERROR(VLOOKUP(A126,'District Codes'!A:B,2,FALSE),"")</f>
        <v/>
      </c>
      <c r="D126" s="104"/>
      <c r="E126" s="203" t="str">
        <f>IFERROR(VLOOKUP(D126, 'School Codes'!D:E,2,FALSE),"")</f>
        <v/>
      </c>
      <c r="F126" s="100"/>
      <c r="G126" s="100"/>
      <c r="H126" s="100"/>
      <c r="I126" s="100"/>
      <c r="J126" s="100"/>
      <c r="K126" s="100"/>
      <c r="L126" s="100"/>
      <c r="M126" s="100"/>
      <c r="N126" s="102"/>
      <c r="O126" s="103"/>
      <c r="P126" s="105"/>
    </row>
    <row r="127" spans="1:16" x14ac:dyDescent="0.3">
      <c r="A127" s="97" t="e">
        <f>'Cover Page'!$D$5</f>
        <v>#N/A</v>
      </c>
      <c r="B127" s="98" t="str">
        <f>IFERROR(VLOOKUP(A127,'District Codes'!D:F,3,FALSE),"")</f>
        <v/>
      </c>
      <c r="C127" s="99" t="str">
        <f>IFERROR(VLOOKUP(A127,'District Codes'!A:B,2,FALSE),"")</f>
        <v/>
      </c>
      <c r="D127" s="104"/>
      <c r="E127" s="203" t="str">
        <f>IFERROR(VLOOKUP(D127, 'School Codes'!D:E,2,FALSE),"")</f>
        <v/>
      </c>
      <c r="F127" s="100"/>
      <c r="G127" s="100"/>
      <c r="H127" s="100"/>
      <c r="I127" s="100"/>
      <c r="J127" s="100"/>
      <c r="K127" s="100"/>
      <c r="L127" s="100"/>
      <c r="M127" s="100"/>
      <c r="N127" s="102"/>
      <c r="O127" s="103"/>
      <c r="P127" s="105"/>
    </row>
    <row r="128" spans="1:16" x14ac:dyDescent="0.3">
      <c r="A128" s="97" t="e">
        <f>'Cover Page'!$D$5</f>
        <v>#N/A</v>
      </c>
      <c r="B128" s="98" t="str">
        <f>IFERROR(VLOOKUP(A128,'District Codes'!D:F,3,FALSE),"")</f>
        <v/>
      </c>
      <c r="C128" s="99" t="str">
        <f>IFERROR(VLOOKUP(A128,'District Codes'!A:B,2,FALSE),"")</f>
        <v/>
      </c>
      <c r="D128" s="104"/>
      <c r="E128" s="203" t="str">
        <f>IFERROR(VLOOKUP(D128, 'School Codes'!D:E,2,FALSE),"")</f>
        <v/>
      </c>
      <c r="F128" s="100"/>
      <c r="G128" s="100"/>
      <c r="H128" s="100"/>
      <c r="I128" s="100"/>
      <c r="J128" s="100"/>
      <c r="K128" s="100"/>
      <c r="L128" s="100"/>
      <c r="M128" s="100"/>
      <c r="N128" s="102"/>
      <c r="O128" s="103"/>
      <c r="P128" s="105"/>
    </row>
    <row r="129" spans="1:16" x14ac:dyDescent="0.3">
      <c r="A129" s="97" t="e">
        <f>'Cover Page'!$D$5</f>
        <v>#N/A</v>
      </c>
      <c r="B129" s="98" t="str">
        <f>IFERROR(VLOOKUP(A129,'District Codes'!D:F,3,FALSE),"")</f>
        <v/>
      </c>
      <c r="C129" s="99" t="str">
        <f>IFERROR(VLOOKUP(A129,'District Codes'!A:B,2,FALSE),"")</f>
        <v/>
      </c>
      <c r="D129" s="104"/>
      <c r="E129" s="203" t="str">
        <f>IFERROR(VLOOKUP(D129, 'School Codes'!D:E,2,FALSE),"")</f>
        <v/>
      </c>
      <c r="F129" s="100"/>
      <c r="G129" s="100"/>
      <c r="H129" s="100"/>
      <c r="I129" s="100"/>
      <c r="J129" s="100"/>
      <c r="K129" s="100"/>
      <c r="L129" s="100"/>
      <c r="M129" s="100"/>
      <c r="N129" s="102"/>
      <c r="O129" s="103"/>
      <c r="P129" s="105"/>
    </row>
    <row r="130" spans="1:16" x14ac:dyDescent="0.3">
      <c r="A130" s="97" t="e">
        <f>'Cover Page'!$D$5</f>
        <v>#N/A</v>
      </c>
      <c r="B130" s="98" t="str">
        <f>IFERROR(VLOOKUP(A130,'District Codes'!D:F,3,FALSE),"")</f>
        <v/>
      </c>
      <c r="C130" s="99" t="str">
        <f>IFERROR(VLOOKUP(A130,'District Codes'!A:B,2,FALSE),"")</f>
        <v/>
      </c>
      <c r="D130" s="106"/>
      <c r="E130" s="203" t="str">
        <f>IFERROR(VLOOKUP(D130, 'School Codes'!D:E,2,FALSE),"")</f>
        <v/>
      </c>
      <c r="F130" s="100"/>
      <c r="G130" s="100"/>
      <c r="H130" s="100"/>
      <c r="I130" s="100"/>
      <c r="J130" s="100"/>
      <c r="K130" s="100"/>
      <c r="L130" s="100"/>
      <c r="M130" s="100"/>
      <c r="N130" s="102"/>
      <c r="O130" s="103"/>
      <c r="P130" s="105"/>
    </row>
    <row r="131" spans="1:16" x14ac:dyDescent="0.3">
      <c r="A131" s="97" t="e">
        <f>'Cover Page'!$D$5</f>
        <v>#N/A</v>
      </c>
      <c r="B131" s="98" t="str">
        <f>IFERROR(VLOOKUP(A131,'District Codes'!D:F,3,FALSE),"")</f>
        <v/>
      </c>
      <c r="C131" s="99" t="str">
        <f>IFERROR(VLOOKUP(A131,'District Codes'!A:B,2,FALSE),"")</f>
        <v/>
      </c>
      <c r="D131" s="106"/>
      <c r="E131" s="203" t="str">
        <f>IFERROR(VLOOKUP(D131, 'School Codes'!D:E,2,FALSE),"")</f>
        <v/>
      </c>
      <c r="F131" s="100"/>
      <c r="G131" s="100"/>
      <c r="H131" s="100"/>
      <c r="I131" s="100"/>
      <c r="J131" s="100"/>
      <c r="K131" s="100"/>
      <c r="L131" s="100"/>
      <c r="M131" s="100"/>
      <c r="N131" s="102"/>
      <c r="O131" s="103"/>
      <c r="P131" s="105"/>
    </row>
    <row r="132" spans="1:16" x14ac:dyDescent="0.3">
      <c r="A132" s="97" t="e">
        <f>'Cover Page'!$D$5</f>
        <v>#N/A</v>
      </c>
      <c r="B132" s="98" t="str">
        <f>IFERROR(VLOOKUP(A132,'District Codes'!D:F,3,FALSE),"")</f>
        <v/>
      </c>
      <c r="C132" s="99" t="str">
        <f>IFERROR(VLOOKUP(A132,'District Codes'!A:B,2,FALSE),"")</f>
        <v/>
      </c>
      <c r="D132" s="106"/>
      <c r="E132" s="203" t="str">
        <f>IFERROR(VLOOKUP(D132, 'School Codes'!D:E,2,FALSE),"")</f>
        <v/>
      </c>
      <c r="F132" s="100"/>
      <c r="G132" s="100"/>
      <c r="H132" s="100"/>
      <c r="I132" s="100"/>
      <c r="J132" s="100"/>
      <c r="K132" s="100"/>
      <c r="L132" s="100"/>
      <c r="M132" s="100"/>
      <c r="N132" s="102"/>
      <c r="O132" s="103"/>
      <c r="P132" s="105"/>
    </row>
    <row r="133" spans="1:16" ht="14.4" thickBot="1" x14ac:dyDescent="0.35">
      <c r="A133" s="97" t="e">
        <f>'Cover Page'!$D$5</f>
        <v>#N/A</v>
      </c>
      <c r="B133" s="98" t="str">
        <f>IFERROR(VLOOKUP(A133,'District Codes'!D:F,3,FALSE),"")</f>
        <v/>
      </c>
      <c r="C133" s="99" t="str">
        <f>IFERROR(VLOOKUP(A133,'District Codes'!A:B,2,FALSE),"")</f>
        <v/>
      </c>
      <c r="D133" s="104"/>
      <c r="E133" s="203" t="str">
        <f>IFERROR(VLOOKUP(D133, 'School Codes'!D:E,2,FALSE),"")</f>
        <v/>
      </c>
      <c r="F133" s="100"/>
      <c r="G133" s="100"/>
      <c r="H133" s="100"/>
      <c r="I133" s="100"/>
      <c r="J133" s="100"/>
      <c r="K133" s="100"/>
      <c r="L133" s="100"/>
      <c r="M133" s="100"/>
      <c r="N133" s="102"/>
      <c r="O133" s="103"/>
      <c r="P133" s="105"/>
    </row>
    <row r="134" spans="1:16" x14ac:dyDescent="0.3">
      <c r="A134" s="97" t="e">
        <f>'Cover Page'!$D$5</f>
        <v>#N/A</v>
      </c>
      <c r="B134" s="98" t="str">
        <f>IFERROR(VLOOKUP(A134,'District Codes'!D:F,3,FALSE),"")</f>
        <v/>
      </c>
      <c r="C134" s="99" t="str">
        <f>IFERROR(VLOOKUP(A134,'District Codes'!A:B,2,FALSE),"")</f>
        <v/>
      </c>
      <c r="D134" s="104"/>
      <c r="E134" s="203" t="str">
        <f>IFERROR(VLOOKUP(D134, 'School Codes'!D:E,2,FALSE),"")</f>
        <v/>
      </c>
      <c r="F134" s="100"/>
      <c r="G134" s="100"/>
      <c r="H134" s="100"/>
      <c r="I134" s="101"/>
      <c r="J134" s="100"/>
      <c r="K134" s="100"/>
      <c r="L134" s="100"/>
      <c r="M134" s="100"/>
      <c r="N134" s="102"/>
      <c r="O134" s="103"/>
      <c r="P134" s="105"/>
    </row>
    <row r="135" spans="1:16" x14ac:dyDescent="0.3">
      <c r="A135" s="97" t="e">
        <f>'Cover Page'!$D$5</f>
        <v>#N/A</v>
      </c>
      <c r="B135" s="98" t="str">
        <f>IFERROR(VLOOKUP(A135,'District Codes'!D:F,3,FALSE),"")</f>
        <v/>
      </c>
      <c r="C135" s="99" t="str">
        <f>IFERROR(VLOOKUP(A135,'District Codes'!A:B,2,FALSE),"")</f>
        <v/>
      </c>
      <c r="D135" s="104"/>
      <c r="E135" s="203" t="str">
        <f>IFERROR(VLOOKUP(D135, 'School Codes'!D:E,2,FALSE),"")</f>
        <v/>
      </c>
      <c r="F135" s="100"/>
      <c r="G135" s="100"/>
      <c r="H135" s="100"/>
      <c r="I135" s="100"/>
      <c r="J135" s="100"/>
      <c r="K135" s="100"/>
      <c r="L135" s="100"/>
      <c r="M135" s="100"/>
      <c r="N135" s="102"/>
      <c r="O135" s="103"/>
      <c r="P135" s="105"/>
    </row>
    <row r="136" spans="1:16" x14ac:dyDescent="0.3">
      <c r="A136" s="97" t="e">
        <f>'Cover Page'!$D$5</f>
        <v>#N/A</v>
      </c>
      <c r="B136" s="98" t="str">
        <f>IFERROR(VLOOKUP(A136,'District Codes'!D:F,3,FALSE),"")</f>
        <v/>
      </c>
      <c r="C136" s="99" t="str">
        <f>IFERROR(VLOOKUP(A136,'District Codes'!A:B,2,FALSE),"")</f>
        <v/>
      </c>
      <c r="D136" s="104"/>
      <c r="E136" s="203" t="str">
        <f>IFERROR(VLOOKUP(D136, 'School Codes'!D:E,2,FALSE),"")</f>
        <v/>
      </c>
      <c r="F136" s="100"/>
      <c r="G136" s="100"/>
      <c r="H136" s="100"/>
      <c r="I136" s="100"/>
      <c r="J136" s="100"/>
      <c r="K136" s="100"/>
      <c r="L136" s="100"/>
      <c r="M136" s="100"/>
      <c r="N136" s="102"/>
      <c r="O136" s="103"/>
      <c r="P136" s="105"/>
    </row>
    <row r="137" spans="1:16" x14ac:dyDescent="0.3">
      <c r="A137" s="97" t="e">
        <f>'Cover Page'!$D$5</f>
        <v>#N/A</v>
      </c>
      <c r="B137" s="98" t="str">
        <f>IFERROR(VLOOKUP(A137,'District Codes'!D:F,3,FALSE),"")</f>
        <v/>
      </c>
      <c r="C137" s="99" t="str">
        <f>IFERROR(VLOOKUP(A137,'District Codes'!A:B,2,FALSE),"")</f>
        <v/>
      </c>
      <c r="D137" s="104"/>
      <c r="E137" s="203" t="str">
        <f>IFERROR(VLOOKUP(D137, 'School Codes'!D:E,2,FALSE),"")</f>
        <v/>
      </c>
      <c r="F137" s="100"/>
      <c r="G137" s="100"/>
      <c r="H137" s="100"/>
      <c r="I137" s="100"/>
      <c r="J137" s="100"/>
      <c r="K137" s="100"/>
      <c r="L137" s="100"/>
      <c r="M137" s="100"/>
      <c r="N137" s="102"/>
      <c r="O137" s="103"/>
      <c r="P137" s="105"/>
    </row>
    <row r="138" spans="1:16" x14ac:dyDescent="0.3">
      <c r="A138" s="97" t="e">
        <f>'Cover Page'!$D$5</f>
        <v>#N/A</v>
      </c>
      <c r="B138" s="98" t="str">
        <f>IFERROR(VLOOKUP(A138,'District Codes'!D:F,3,FALSE),"")</f>
        <v/>
      </c>
      <c r="C138" s="99" t="str">
        <f>IFERROR(VLOOKUP(A138,'District Codes'!A:B,2,FALSE),"")</f>
        <v/>
      </c>
      <c r="D138" s="104"/>
      <c r="E138" s="203" t="str">
        <f>IFERROR(VLOOKUP(D138, 'School Codes'!D:E,2,FALSE),"")</f>
        <v/>
      </c>
      <c r="F138" s="100"/>
      <c r="G138" s="100"/>
      <c r="H138" s="100"/>
      <c r="I138" s="100"/>
      <c r="J138" s="100"/>
      <c r="K138" s="100"/>
      <c r="L138" s="100"/>
      <c r="M138" s="100"/>
      <c r="N138" s="102"/>
      <c r="O138" s="103"/>
      <c r="P138" s="105"/>
    </row>
    <row r="139" spans="1:16" x14ac:dyDescent="0.3">
      <c r="A139" s="97" t="e">
        <f>'Cover Page'!$D$5</f>
        <v>#N/A</v>
      </c>
      <c r="B139" s="98" t="str">
        <f>IFERROR(VLOOKUP(A139,'District Codes'!D:F,3,FALSE),"")</f>
        <v/>
      </c>
      <c r="C139" s="99" t="str">
        <f>IFERROR(VLOOKUP(A139,'District Codes'!A:B,2,FALSE),"")</f>
        <v/>
      </c>
      <c r="D139" s="104"/>
      <c r="E139" s="203" t="str">
        <f>IFERROR(VLOOKUP(D139, 'School Codes'!D:E,2,FALSE),"")</f>
        <v/>
      </c>
      <c r="F139" s="100"/>
      <c r="G139" s="100"/>
      <c r="H139" s="100"/>
      <c r="I139" s="100"/>
      <c r="J139" s="100"/>
      <c r="K139" s="100"/>
      <c r="L139" s="100"/>
      <c r="M139" s="100"/>
      <c r="N139" s="102"/>
      <c r="O139" s="103"/>
      <c r="P139" s="105"/>
    </row>
    <row r="140" spans="1:16" x14ac:dyDescent="0.3">
      <c r="A140" s="97" t="e">
        <f>'Cover Page'!$D$5</f>
        <v>#N/A</v>
      </c>
      <c r="B140" s="98" t="str">
        <f>IFERROR(VLOOKUP(A140,'District Codes'!D:F,3,FALSE),"")</f>
        <v/>
      </c>
      <c r="C140" s="99" t="str">
        <f>IFERROR(VLOOKUP(A140,'District Codes'!A:B,2,FALSE),"")</f>
        <v/>
      </c>
      <c r="D140" s="104"/>
      <c r="E140" s="203" t="str">
        <f>IFERROR(VLOOKUP(D140, 'School Codes'!D:E,2,FALSE),"")</f>
        <v/>
      </c>
      <c r="F140" s="100"/>
      <c r="G140" s="100"/>
      <c r="H140" s="100"/>
      <c r="I140" s="100"/>
      <c r="J140" s="100"/>
      <c r="K140" s="100"/>
      <c r="L140" s="100"/>
      <c r="M140" s="100"/>
      <c r="N140" s="102"/>
      <c r="O140" s="103"/>
      <c r="P140" s="105"/>
    </row>
    <row r="141" spans="1:16" x14ac:dyDescent="0.3">
      <c r="A141" s="97" t="e">
        <f>'Cover Page'!$D$5</f>
        <v>#N/A</v>
      </c>
      <c r="B141" s="98" t="str">
        <f>IFERROR(VLOOKUP(A141,'District Codes'!D:F,3,FALSE),"")</f>
        <v/>
      </c>
      <c r="C141" s="99" t="str">
        <f>IFERROR(VLOOKUP(A141,'District Codes'!A:B,2,FALSE),"")</f>
        <v/>
      </c>
      <c r="D141" s="104"/>
      <c r="E141" s="203" t="str">
        <f>IFERROR(VLOOKUP(D141, 'School Codes'!D:E,2,FALSE),"")</f>
        <v/>
      </c>
      <c r="F141" s="100"/>
      <c r="G141" s="100"/>
      <c r="H141" s="100"/>
      <c r="I141" s="100"/>
      <c r="J141" s="100"/>
      <c r="K141" s="100"/>
      <c r="L141" s="100"/>
      <c r="M141" s="100"/>
      <c r="N141" s="102"/>
      <c r="O141" s="103"/>
      <c r="P141" s="105"/>
    </row>
    <row r="142" spans="1:16" x14ac:dyDescent="0.3">
      <c r="A142" s="97" t="e">
        <f>'Cover Page'!$D$5</f>
        <v>#N/A</v>
      </c>
      <c r="B142" s="98" t="str">
        <f>IFERROR(VLOOKUP(A142,'District Codes'!D:F,3,FALSE),"")</f>
        <v/>
      </c>
      <c r="C142" s="99" t="str">
        <f>IFERROR(VLOOKUP(A142,'District Codes'!A:B,2,FALSE),"")</f>
        <v/>
      </c>
      <c r="D142" s="104"/>
      <c r="E142" s="203" t="str">
        <f>IFERROR(VLOOKUP(D142, 'School Codes'!D:E,2,FALSE),"")</f>
        <v/>
      </c>
      <c r="F142" s="100"/>
      <c r="G142" s="100"/>
      <c r="H142" s="100"/>
      <c r="I142" s="100"/>
      <c r="J142" s="100"/>
      <c r="K142" s="100"/>
      <c r="L142" s="100"/>
      <c r="M142" s="100"/>
      <c r="N142" s="102"/>
      <c r="O142" s="103"/>
      <c r="P142" s="105"/>
    </row>
    <row r="143" spans="1:16" x14ac:dyDescent="0.3">
      <c r="A143" s="97" t="e">
        <f>'Cover Page'!$D$5</f>
        <v>#N/A</v>
      </c>
      <c r="B143" s="98" t="str">
        <f>IFERROR(VLOOKUP(A143,'District Codes'!D:F,3,FALSE),"")</f>
        <v/>
      </c>
      <c r="C143" s="99" t="str">
        <f>IFERROR(VLOOKUP(A143,'District Codes'!A:B,2,FALSE),"")</f>
        <v/>
      </c>
      <c r="D143" s="106"/>
      <c r="E143" s="203" t="str">
        <f>IFERROR(VLOOKUP(D143, 'School Codes'!D:E,2,FALSE),"")</f>
        <v/>
      </c>
      <c r="F143" s="100"/>
      <c r="G143" s="100"/>
      <c r="H143" s="100"/>
      <c r="I143" s="100"/>
      <c r="J143" s="100"/>
      <c r="K143" s="100"/>
      <c r="L143" s="100"/>
      <c r="M143" s="100"/>
      <c r="N143" s="102"/>
      <c r="O143" s="103"/>
      <c r="P143" s="105"/>
    </row>
    <row r="144" spans="1:16" x14ac:dyDescent="0.3">
      <c r="A144" s="97" t="e">
        <f>'Cover Page'!$D$5</f>
        <v>#N/A</v>
      </c>
      <c r="B144" s="98" t="str">
        <f>IFERROR(VLOOKUP(A144,'District Codes'!D:F,3,FALSE),"")</f>
        <v/>
      </c>
      <c r="C144" s="99" t="str">
        <f>IFERROR(VLOOKUP(A144,'District Codes'!A:B,2,FALSE),"")</f>
        <v/>
      </c>
      <c r="D144" s="106"/>
      <c r="E144" s="203" t="str">
        <f>IFERROR(VLOOKUP(D144, 'School Codes'!D:E,2,FALSE),"")</f>
        <v/>
      </c>
      <c r="F144" s="100"/>
      <c r="G144" s="100"/>
      <c r="H144" s="100"/>
      <c r="I144" s="100"/>
      <c r="J144" s="100"/>
      <c r="K144" s="100"/>
      <c r="L144" s="100"/>
      <c r="M144" s="100"/>
      <c r="N144" s="102"/>
      <c r="O144" s="103"/>
      <c r="P144" s="105"/>
    </row>
    <row r="145" spans="1:16" x14ac:dyDescent="0.3">
      <c r="A145" s="97" t="e">
        <f>'Cover Page'!$D$5</f>
        <v>#N/A</v>
      </c>
      <c r="B145" s="98" t="str">
        <f>IFERROR(VLOOKUP(A145,'District Codes'!D:F,3,FALSE),"")</f>
        <v/>
      </c>
      <c r="C145" s="99" t="str">
        <f>IFERROR(VLOOKUP(A145,'District Codes'!A:B,2,FALSE),"")</f>
        <v/>
      </c>
      <c r="D145" s="106"/>
      <c r="E145" s="203" t="str">
        <f>IFERROR(VLOOKUP(D145, 'School Codes'!D:E,2,FALSE),"")</f>
        <v/>
      </c>
      <c r="F145" s="100"/>
      <c r="G145" s="100"/>
      <c r="H145" s="100"/>
      <c r="I145" s="100"/>
      <c r="J145" s="100"/>
      <c r="K145" s="100"/>
      <c r="L145" s="100"/>
      <c r="M145" s="100"/>
      <c r="N145" s="102"/>
      <c r="O145" s="103"/>
      <c r="P145" s="105"/>
    </row>
    <row r="146" spans="1:16" ht="14.4" thickBot="1" x14ac:dyDescent="0.35">
      <c r="A146" s="97" t="e">
        <f>'Cover Page'!$D$5</f>
        <v>#N/A</v>
      </c>
      <c r="B146" s="98" t="str">
        <f>IFERROR(VLOOKUP(A146,'District Codes'!D:F,3,FALSE),"")</f>
        <v/>
      </c>
      <c r="C146" s="99" t="str">
        <f>IFERROR(VLOOKUP(A146,'District Codes'!A:B,2,FALSE),"")</f>
        <v/>
      </c>
      <c r="D146" s="104"/>
      <c r="E146" s="203" t="str">
        <f>IFERROR(VLOOKUP(D146, 'School Codes'!D:E,2,FALSE),"")</f>
        <v/>
      </c>
      <c r="F146" s="100"/>
      <c r="G146" s="100"/>
      <c r="H146" s="100"/>
      <c r="I146" s="100"/>
      <c r="J146" s="100"/>
      <c r="K146" s="100"/>
      <c r="L146" s="100"/>
      <c r="M146" s="100"/>
      <c r="N146" s="102"/>
      <c r="O146" s="103"/>
      <c r="P146" s="105"/>
    </row>
    <row r="147" spans="1:16" x14ac:dyDescent="0.3">
      <c r="A147" s="97" t="e">
        <f>'Cover Page'!$D$5</f>
        <v>#N/A</v>
      </c>
      <c r="B147" s="98" t="str">
        <f>IFERROR(VLOOKUP(A147,'District Codes'!D:F,3,FALSE),"")</f>
        <v/>
      </c>
      <c r="C147" s="99" t="str">
        <f>IFERROR(VLOOKUP(A147,'District Codes'!A:B,2,FALSE),"")</f>
        <v/>
      </c>
      <c r="D147" s="104"/>
      <c r="E147" s="203" t="str">
        <f>IFERROR(VLOOKUP(D147, 'School Codes'!D:E,2,FALSE),"")</f>
        <v/>
      </c>
      <c r="F147" s="100"/>
      <c r="G147" s="100"/>
      <c r="H147" s="100"/>
      <c r="I147" s="101"/>
      <c r="J147" s="100"/>
      <c r="K147" s="100"/>
      <c r="L147" s="100"/>
      <c r="M147" s="100"/>
      <c r="N147" s="102"/>
      <c r="O147" s="103"/>
      <c r="P147" s="105"/>
    </row>
    <row r="148" spans="1:16" x14ac:dyDescent="0.3">
      <c r="A148" s="97" t="e">
        <f>'Cover Page'!$D$5</f>
        <v>#N/A</v>
      </c>
      <c r="B148" s="98" t="str">
        <f>IFERROR(VLOOKUP(A148,'District Codes'!D:F,3,FALSE),"")</f>
        <v/>
      </c>
      <c r="C148" s="99" t="str">
        <f>IFERROR(VLOOKUP(A148,'District Codes'!A:B,2,FALSE),"")</f>
        <v/>
      </c>
      <c r="D148" s="104"/>
      <c r="E148" s="203" t="str">
        <f>IFERROR(VLOOKUP(D148, 'School Codes'!D:E,2,FALSE),"")</f>
        <v/>
      </c>
      <c r="F148" s="100"/>
      <c r="G148" s="100"/>
      <c r="H148" s="100"/>
      <c r="I148" s="100"/>
      <c r="J148" s="100"/>
      <c r="K148" s="100"/>
      <c r="L148" s="100"/>
      <c r="M148" s="100"/>
      <c r="N148" s="102"/>
      <c r="O148" s="103"/>
      <c r="P148" s="105"/>
    </row>
    <row r="149" spans="1:16" x14ac:dyDescent="0.3">
      <c r="A149" s="97" t="e">
        <f>'Cover Page'!$D$5</f>
        <v>#N/A</v>
      </c>
      <c r="B149" s="98" t="str">
        <f>IFERROR(VLOOKUP(A149,'District Codes'!D:F,3,FALSE),"")</f>
        <v/>
      </c>
      <c r="C149" s="99" t="str">
        <f>IFERROR(VLOOKUP(A149,'District Codes'!A:B,2,FALSE),"")</f>
        <v/>
      </c>
      <c r="D149" s="104"/>
      <c r="E149" s="203" t="str">
        <f>IFERROR(VLOOKUP(D149, 'School Codes'!D:E,2,FALSE),"")</f>
        <v/>
      </c>
      <c r="F149" s="100"/>
      <c r="G149" s="100"/>
      <c r="H149" s="100"/>
      <c r="I149" s="100"/>
      <c r="J149" s="100"/>
      <c r="K149" s="100"/>
      <c r="L149" s="100"/>
      <c r="M149" s="100"/>
      <c r="N149" s="102"/>
      <c r="O149" s="103"/>
      <c r="P149" s="105"/>
    </row>
    <row r="150" spans="1:16" x14ac:dyDescent="0.3">
      <c r="A150" s="97" t="e">
        <f>'Cover Page'!$D$5</f>
        <v>#N/A</v>
      </c>
      <c r="B150" s="98" t="str">
        <f>IFERROR(VLOOKUP(A150,'District Codes'!D:F,3,FALSE),"")</f>
        <v/>
      </c>
      <c r="C150" s="99" t="str">
        <f>IFERROR(VLOOKUP(A150,'District Codes'!A:B,2,FALSE),"")</f>
        <v/>
      </c>
      <c r="D150" s="104"/>
      <c r="E150" s="203" t="str">
        <f>IFERROR(VLOOKUP(D150, 'School Codes'!D:E,2,FALSE),"")</f>
        <v/>
      </c>
      <c r="F150" s="100"/>
      <c r="G150" s="100"/>
      <c r="H150" s="100"/>
      <c r="I150" s="100"/>
      <c r="J150" s="100"/>
      <c r="K150" s="100"/>
      <c r="L150" s="100"/>
      <c r="M150" s="100"/>
      <c r="N150" s="102"/>
      <c r="O150" s="103"/>
      <c r="P150" s="105"/>
    </row>
    <row r="151" spans="1:16" x14ac:dyDescent="0.3">
      <c r="A151" s="97" t="e">
        <f>'Cover Page'!$D$5</f>
        <v>#N/A</v>
      </c>
      <c r="B151" s="98" t="str">
        <f>IFERROR(VLOOKUP(A151,'District Codes'!D:F,3,FALSE),"")</f>
        <v/>
      </c>
      <c r="C151" s="99" t="str">
        <f>IFERROR(VLOOKUP(A151,'District Codes'!A:B,2,FALSE),"")</f>
        <v/>
      </c>
      <c r="D151" s="104"/>
      <c r="E151" s="203" t="str">
        <f>IFERROR(VLOOKUP(D151, 'School Codes'!D:E,2,FALSE),"")</f>
        <v/>
      </c>
      <c r="F151" s="100"/>
      <c r="G151" s="100"/>
      <c r="H151" s="100"/>
      <c r="I151" s="100"/>
      <c r="J151" s="100"/>
      <c r="K151" s="100"/>
      <c r="L151" s="100"/>
      <c r="M151" s="100"/>
      <c r="N151" s="102"/>
      <c r="O151" s="103"/>
      <c r="P151" s="105"/>
    </row>
    <row r="152" spans="1:16" x14ac:dyDescent="0.3">
      <c r="A152" s="97" t="e">
        <f>'Cover Page'!$D$5</f>
        <v>#N/A</v>
      </c>
      <c r="B152" s="98" t="str">
        <f>IFERROR(VLOOKUP(A152,'District Codes'!D:F,3,FALSE),"")</f>
        <v/>
      </c>
      <c r="C152" s="99" t="str">
        <f>IFERROR(VLOOKUP(A152,'District Codes'!A:B,2,FALSE),"")</f>
        <v/>
      </c>
      <c r="D152" s="104"/>
      <c r="E152" s="203" t="str">
        <f>IFERROR(VLOOKUP(D152, 'School Codes'!D:E,2,FALSE),"")</f>
        <v/>
      </c>
      <c r="F152" s="100"/>
      <c r="G152" s="100"/>
      <c r="H152" s="100"/>
      <c r="I152" s="100"/>
      <c r="J152" s="100"/>
      <c r="K152" s="100"/>
      <c r="L152" s="100"/>
      <c r="M152" s="100"/>
      <c r="N152" s="102"/>
      <c r="O152" s="103"/>
      <c r="P152" s="105"/>
    </row>
    <row r="153" spans="1:16" x14ac:dyDescent="0.3">
      <c r="A153" s="97" t="e">
        <f>'Cover Page'!$D$5</f>
        <v>#N/A</v>
      </c>
      <c r="B153" s="98" t="str">
        <f>IFERROR(VLOOKUP(A153,'District Codes'!D:F,3,FALSE),"")</f>
        <v/>
      </c>
      <c r="C153" s="99" t="str">
        <f>IFERROR(VLOOKUP(A153,'District Codes'!A:B,2,FALSE),"")</f>
        <v/>
      </c>
      <c r="D153" s="104"/>
      <c r="E153" s="203" t="str">
        <f>IFERROR(VLOOKUP(D153, 'School Codes'!D:E,2,FALSE),"")</f>
        <v/>
      </c>
      <c r="F153" s="100"/>
      <c r="G153" s="100"/>
      <c r="H153" s="100"/>
      <c r="I153" s="100"/>
      <c r="J153" s="100"/>
      <c r="K153" s="100"/>
      <c r="L153" s="100"/>
      <c r="M153" s="100"/>
      <c r="N153" s="102"/>
      <c r="O153" s="103"/>
      <c r="P153" s="105"/>
    </row>
    <row r="154" spans="1:16" x14ac:dyDescent="0.3">
      <c r="A154" s="97" t="e">
        <f>'Cover Page'!$D$5</f>
        <v>#N/A</v>
      </c>
      <c r="B154" s="98" t="str">
        <f>IFERROR(VLOOKUP(A154,'District Codes'!D:F,3,FALSE),"")</f>
        <v/>
      </c>
      <c r="C154" s="99" t="str">
        <f>IFERROR(VLOOKUP(A154,'District Codes'!A:B,2,FALSE),"")</f>
        <v/>
      </c>
      <c r="D154" s="104"/>
      <c r="E154" s="203" t="str">
        <f>IFERROR(VLOOKUP(D154, 'School Codes'!D:E,2,FALSE),"")</f>
        <v/>
      </c>
      <c r="F154" s="100"/>
      <c r="G154" s="100"/>
      <c r="H154" s="100"/>
      <c r="I154" s="100"/>
      <c r="J154" s="100"/>
      <c r="K154" s="100"/>
      <c r="L154" s="100"/>
      <c r="M154" s="100"/>
      <c r="N154" s="102"/>
      <c r="O154" s="103"/>
      <c r="P154" s="105"/>
    </row>
    <row r="155" spans="1:16" x14ac:dyDescent="0.3">
      <c r="A155" s="97" t="e">
        <f>'Cover Page'!$D$5</f>
        <v>#N/A</v>
      </c>
      <c r="B155" s="98" t="str">
        <f>IFERROR(VLOOKUP(A155,'District Codes'!D:F,3,FALSE),"")</f>
        <v/>
      </c>
      <c r="C155" s="99" t="str">
        <f>IFERROR(VLOOKUP(A155,'District Codes'!A:B,2,FALSE),"")</f>
        <v/>
      </c>
      <c r="D155" s="104"/>
      <c r="E155" s="203" t="str">
        <f>IFERROR(VLOOKUP(D155, 'School Codes'!D:E,2,FALSE),"")</f>
        <v/>
      </c>
      <c r="F155" s="100"/>
      <c r="G155" s="100"/>
      <c r="H155" s="100"/>
      <c r="I155" s="100"/>
      <c r="J155" s="100"/>
      <c r="K155" s="100"/>
      <c r="L155" s="100"/>
      <c r="M155" s="100"/>
      <c r="N155" s="102"/>
      <c r="O155" s="103"/>
      <c r="P155" s="105"/>
    </row>
    <row r="156" spans="1:16" x14ac:dyDescent="0.3">
      <c r="A156" s="97" t="e">
        <f>'Cover Page'!$D$5</f>
        <v>#N/A</v>
      </c>
      <c r="B156" s="98" t="str">
        <f>IFERROR(VLOOKUP(A156,'District Codes'!D:F,3,FALSE),"")</f>
        <v/>
      </c>
      <c r="C156" s="107" t="str">
        <f>IFERROR(VLOOKUP(A156,'District Codes'!A:B,2,FALSE),"")</f>
        <v/>
      </c>
      <c r="D156" s="106"/>
      <c r="E156" s="203" t="str">
        <f>IFERROR(VLOOKUP(D156, 'School Codes'!D:E,2,FALSE),"")</f>
        <v/>
      </c>
      <c r="F156" s="100"/>
      <c r="G156" s="100"/>
      <c r="H156" s="100"/>
      <c r="I156" s="100"/>
      <c r="J156" s="100"/>
      <c r="K156" s="100"/>
      <c r="L156" s="100"/>
      <c r="M156" s="100"/>
      <c r="N156" s="102"/>
      <c r="O156" s="103"/>
      <c r="P156" s="105"/>
    </row>
    <row r="157" spans="1:16" x14ac:dyDescent="0.3">
      <c r="A157" s="97" t="e">
        <f>'Cover Page'!$D$5</f>
        <v>#N/A</v>
      </c>
      <c r="B157" s="98" t="str">
        <f>IFERROR(VLOOKUP(A157,'District Codes'!D:F,3,FALSE),"")</f>
        <v/>
      </c>
      <c r="C157" s="107" t="str">
        <f>IFERROR(VLOOKUP(A157,'District Codes'!A:B,2,FALSE),"")</f>
        <v/>
      </c>
      <c r="D157" s="106"/>
      <c r="E157" s="203" t="str">
        <f>IFERROR(VLOOKUP(D157, 'School Codes'!D:E,2,FALSE),"")</f>
        <v/>
      </c>
      <c r="F157" s="100"/>
      <c r="G157" s="100"/>
      <c r="H157" s="100"/>
      <c r="I157" s="100"/>
      <c r="J157" s="100"/>
      <c r="K157" s="100"/>
      <c r="L157" s="100"/>
      <c r="M157" s="100"/>
      <c r="N157" s="102"/>
      <c r="O157" s="103"/>
      <c r="P157" s="105"/>
    </row>
    <row r="158" spans="1:16" x14ac:dyDescent="0.3">
      <c r="A158" s="97" t="e">
        <f>'Cover Page'!$D$5</f>
        <v>#N/A</v>
      </c>
      <c r="B158" s="98" t="str">
        <f>IFERROR(VLOOKUP(A158,'District Codes'!D:F,3,FALSE),"")</f>
        <v/>
      </c>
      <c r="C158" s="107" t="str">
        <f>IFERROR(VLOOKUP(A158,'District Codes'!A:B,2,FALSE),"")</f>
        <v/>
      </c>
      <c r="D158" s="106"/>
      <c r="E158" s="203" t="str">
        <f>IFERROR(VLOOKUP(D158, 'School Codes'!D:E,2,FALSE),"")</f>
        <v/>
      </c>
      <c r="F158" s="100"/>
      <c r="G158" s="100"/>
      <c r="H158" s="100"/>
      <c r="I158" s="100"/>
      <c r="J158" s="100"/>
      <c r="K158" s="100"/>
      <c r="L158" s="100"/>
      <c r="M158" s="100"/>
      <c r="N158" s="102"/>
      <c r="O158" s="103"/>
      <c r="P158" s="105"/>
    </row>
    <row r="159" spans="1:16" ht="14.4" thickBot="1" x14ac:dyDescent="0.35">
      <c r="A159" s="97" t="e">
        <f>'Cover Page'!$D$5</f>
        <v>#N/A</v>
      </c>
      <c r="B159" s="98" t="str">
        <f>IFERROR(VLOOKUP(A159,'District Codes'!D:F,3,FALSE),"")</f>
        <v/>
      </c>
      <c r="C159" s="107" t="str">
        <f>IFERROR(VLOOKUP(A159,'District Codes'!A:B,2,FALSE),"")</f>
        <v/>
      </c>
      <c r="D159" s="104"/>
      <c r="E159" s="203" t="str">
        <f>IFERROR(VLOOKUP(D159, 'School Codes'!D:E,2,FALSE),"")</f>
        <v/>
      </c>
      <c r="F159" s="100"/>
      <c r="G159" s="100"/>
      <c r="H159" s="100"/>
      <c r="I159" s="100"/>
      <c r="J159" s="100"/>
      <c r="K159" s="100"/>
      <c r="L159" s="100"/>
      <c r="M159" s="100"/>
      <c r="N159" s="102"/>
      <c r="O159" s="103"/>
      <c r="P159" s="105"/>
    </row>
    <row r="160" spans="1:16" x14ac:dyDescent="0.3">
      <c r="A160" s="97" t="e">
        <f>'Cover Page'!$D$5</f>
        <v>#N/A</v>
      </c>
      <c r="B160" s="98" t="str">
        <f>IFERROR(VLOOKUP(A160,'District Codes'!D:F,3,FALSE),"")</f>
        <v/>
      </c>
      <c r="C160" s="107" t="str">
        <f>IFERROR(VLOOKUP(A160,'District Codes'!A:B,2,FALSE),"")</f>
        <v/>
      </c>
      <c r="D160" s="104"/>
      <c r="E160" s="203" t="str">
        <f>IFERROR(VLOOKUP(D160, 'School Codes'!D:E,2,FALSE),"")</f>
        <v/>
      </c>
      <c r="F160" s="100"/>
      <c r="G160" s="100"/>
      <c r="H160" s="100"/>
      <c r="I160" s="101"/>
      <c r="J160" s="100"/>
      <c r="K160" s="100"/>
      <c r="L160" s="100"/>
      <c r="M160" s="100"/>
      <c r="N160" s="102"/>
      <c r="O160" s="103"/>
      <c r="P160" s="105"/>
    </row>
    <row r="161" spans="1:16" x14ac:dyDescent="0.3">
      <c r="A161" s="97" t="e">
        <f>'Cover Page'!$D$5</f>
        <v>#N/A</v>
      </c>
      <c r="B161" s="98" t="str">
        <f>IFERROR(VLOOKUP(A161,'District Codes'!D:F,3,FALSE),"")</f>
        <v/>
      </c>
      <c r="C161" s="107" t="str">
        <f>IFERROR(VLOOKUP(A161,'District Codes'!A:B,2,FALSE),"")</f>
        <v/>
      </c>
      <c r="D161" s="104"/>
      <c r="E161" s="203" t="str">
        <f>IFERROR(VLOOKUP(D161, 'School Codes'!D:E,2,FALSE),"")</f>
        <v/>
      </c>
      <c r="F161" s="100"/>
      <c r="G161" s="100"/>
      <c r="H161" s="100"/>
      <c r="I161" s="100"/>
      <c r="J161" s="100"/>
      <c r="K161" s="100"/>
      <c r="L161" s="100"/>
      <c r="M161" s="100"/>
      <c r="N161" s="102"/>
      <c r="O161" s="103"/>
      <c r="P161" s="105"/>
    </row>
    <row r="162" spans="1:16" x14ac:dyDescent="0.3">
      <c r="A162" s="97" t="e">
        <f>'Cover Page'!$D$5</f>
        <v>#N/A</v>
      </c>
      <c r="B162" s="98" t="str">
        <f>IFERROR(VLOOKUP(A162,'District Codes'!D:F,3,FALSE),"")</f>
        <v/>
      </c>
      <c r="C162" s="107" t="str">
        <f>IFERROR(VLOOKUP(A162,'District Codes'!A:B,2,FALSE),"")</f>
        <v/>
      </c>
      <c r="D162" s="104"/>
      <c r="E162" s="203" t="str">
        <f>IFERROR(VLOOKUP(D162, 'School Codes'!D:E,2,FALSE),"")</f>
        <v/>
      </c>
      <c r="F162" s="100"/>
      <c r="G162" s="100"/>
      <c r="H162" s="100"/>
      <c r="I162" s="100"/>
      <c r="J162" s="100"/>
      <c r="K162" s="100"/>
      <c r="L162" s="100"/>
      <c r="M162" s="100"/>
      <c r="N162" s="102"/>
      <c r="O162" s="103"/>
      <c r="P162" s="105"/>
    </row>
    <row r="163" spans="1:16" x14ac:dyDescent="0.3">
      <c r="A163" s="97" t="e">
        <f>'Cover Page'!$D$5</f>
        <v>#N/A</v>
      </c>
      <c r="B163" s="98" t="str">
        <f>IFERROR(VLOOKUP(A163,'District Codes'!D:F,3,FALSE),"")</f>
        <v/>
      </c>
      <c r="C163" s="107" t="str">
        <f>IFERROR(VLOOKUP(A163,'District Codes'!A:B,2,FALSE),"")</f>
        <v/>
      </c>
      <c r="D163" s="104"/>
      <c r="E163" s="203" t="str">
        <f>IFERROR(VLOOKUP(D163, 'School Codes'!D:E,2,FALSE),"")</f>
        <v/>
      </c>
      <c r="F163" s="100"/>
      <c r="G163" s="100"/>
      <c r="H163" s="100"/>
      <c r="I163" s="100"/>
      <c r="J163" s="100"/>
      <c r="K163" s="100"/>
      <c r="L163" s="100"/>
      <c r="M163" s="100"/>
      <c r="N163" s="102"/>
      <c r="O163" s="103"/>
      <c r="P163" s="105"/>
    </row>
    <row r="164" spans="1:16" x14ac:dyDescent="0.3">
      <c r="A164" s="97" t="e">
        <f>'Cover Page'!$D$5</f>
        <v>#N/A</v>
      </c>
      <c r="B164" s="98" t="str">
        <f>IFERROR(VLOOKUP(A164,'District Codes'!D:F,3,FALSE),"")</f>
        <v/>
      </c>
      <c r="C164" s="107" t="str">
        <f>IFERROR(VLOOKUP(A164,'District Codes'!A:B,2,FALSE),"")</f>
        <v/>
      </c>
      <c r="D164" s="104"/>
      <c r="E164" s="203" t="str">
        <f>IFERROR(VLOOKUP(D164, 'School Codes'!D:E,2,FALSE),"")</f>
        <v/>
      </c>
      <c r="F164" s="100"/>
      <c r="G164" s="100"/>
      <c r="H164" s="100"/>
      <c r="I164" s="100"/>
      <c r="J164" s="100"/>
      <c r="K164" s="100"/>
      <c r="L164" s="100"/>
      <c r="M164" s="100"/>
      <c r="N164" s="102"/>
      <c r="O164" s="103"/>
      <c r="P164" s="105"/>
    </row>
    <row r="165" spans="1:16" x14ac:dyDescent="0.3">
      <c r="A165" s="97" t="e">
        <f>'Cover Page'!$D$5</f>
        <v>#N/A</v>
      </c>
      <c r="B165" s="98" t="str">
        <f>IFERROR(VLOOKUP(A165,'District Codes'!D:F,3,FALSE),"")</f>
        <v/>
      </c>
      <c r="C165" s="107" t="str">
        <f>IFERROR(VLOOKUP(A165,'District Codes'!A:B,2,FALSE),"")</f>
        <v/>
      </c>
      <c r="D165" s="104"/>
      <c r="E165" s="203" t="str">
        <f>IFERROR(VLOOKUP(D165, 'School Codes'!D:E,2,FALSE),"")</f>
        <v/>
      </c>
      <c r="F165" s="100"/>
      <c r="G165" s="100"/>
      <c r="H165" s="100"/>
      <c r="I165" s="100"/>
      <c r="J165" s="100"/>
      <c r="K165" s="100"/>
      <c r="L165" s="100"/>
      <c r="M165" s="100"/>
      <c r="N165" s="102"/>
      <c r="O165" s="103"/>
      <c r="P165" s="105"/>
    </row>
    <row r="166" spans="1:16" x14ac:dyDescent="0.3">
      <c r="A166" s="97" t="e">
        <f>'Cover Page'!$D$5</f>
        <v>#N/A</v>
      </c>
      <c r="B166" s="98" t="str">
        <f>IFERROR(VLOOKUP(A166,'District Codes'!D:F,3,FALSE),"")</f>
        <v/>
      </c>
      <c r="C166" s="107" t="str">
        <f>IFERROR(VLOOKUP(A166,'District Codes'!A:B,2,FALSE),"")</f>
        <v/>
      </c>
      <c r="D166" s="104"/>
      <c r="E166" s="203" t="str">
        <f>IFERROR(VLOOKUP(D166, 'School Codes'!D:E,2,FALSE),"")</f>
        <v/>
      </c>
      <c r="F166" s="100"/>
      <c r="G166" s="100"/>
      <c r="H166" s="100"/>
      <c r="I166" s="100"/>
      <c r="J166" s="100"/>
      <c r="K166" s="100"/>
      <c r="L166" s="100"/>
      <c r="M166" s="100"/>
      <c r="N166" s="102"/>
      <c r="O166" s="103"/>
      <c r="P166" s="105"/>
    </row>
    <row r="167" spans="1:16" x14ac:dyDescent="0.3">
      <c r="A167" s="97" t="e">
        <f>'Cover Page'!$D$5</f>
        <v>#N/A</v>
      </c>
      <c r="B167" s="98" t="str">
        <f>IFERROR(VLOOKUP(A167,'District Codes'!D:F,3,FALSE),"")</f>
        <v/>
      </c>
      <c r="C167" s="107" t="str">
        <f>IFERROR(VLOOKUP(A167,'District Codes'!A:B,2,FALSE),"")</f>
        <v/>
      </c>
      <c r="D167" s="104"/>
      <c r="E167" s="203" t="str">
        <f>IFERROR(VLOOKUP(D167, 'School Codes'!D:E,2,FALSE),"")</f>
        <v/>
      </c>
      <c r="F167" s="100"/>
      <c r="G167" s="100"/>
      <c r="H167" s="100"/>
      <c r="I167" s="100"/>
      <c r="J167" s="100"/>
      <c r="K167" s="100"/>
      <c r="L167" s="100"/>
      <c r="M167" s="100"/>
      <c r="N167" s="102"/>
      <c r="O167" s="103"/>
      <c r="P167" s="105"/>
    </row>
    <row r="168" spans="1:16" x14ac:dyDescent="0.3">
      <c r="A168" s="97" t="e">
        <f>'Cover Page'!$D$5</f>
        <v>#N/A</v>
      </c>
      <c r="B168" s="98" t="str">
        <f>IFERROR(VLOOKUP(A168,'District Codes'!D:F,3,FALSE),"")</f>
        <v/>
      </c>
      <c r="C168" s="107" t="str">
        <f>IFERROR(VLOOKUP(A168,'District Codes'!A:B,2,FALSE),"")</f>
        <v/>
      </c>
      <c r="D168" s="104"/>
      <c r="E168" s="203" t="str">
        <f>IFERROR(VLOOKUP(D168, 'School Codes'!D:E,2,FALSE),"")</f>
        <v/>
      </c>
      <c r="F168" s="100"/>
      <c r="G168" s="100"/>
      <c r="H168" s="100"/>
      <c r="I168" s="100"/>
      <c r="J168" s="100"/>
      <c r="K168" s="100"/>
      <c r="L168" s="100"/>
      <c r="M168" s="100"/>
      <c r="N168" s="102"/>
      <c r="O168" s="103"/>
      <c r="P168" s="105"/>
    </row>
    <row r="169" spans="1:16" x14ac:dyDescent="0.3">
      <c r="A169" s="97" t="e">
        <f>'Cover Page'!$D$5</f>
        <v>#N/A</v>
      </c>
      <c r="B169" s="98" t="str">
        <f>IFERROR(VLOOKUP(A169,'District Codes'!D:F,3,FALSE),"")</f>
        <v/>
      </c>
      <c r="C169" s="107" t="str">
        <f>IFERROR(VLOOKUP(A169,'District Codes'!A:B,2,FALSE),"")</f>
        <v/>
      </c>
      <c r="D169" s="106"/>
      <c r="E169" s="203" t="str">
        <f>IFERROR(VLOOKUP(D169, 'School Codes'!D:E,2,FALSE),"")</f>
        <v/>
      </c>
      <c r="F169" s="100"/>
      <c r="G169" s="100"/>
      <c r="H169" s="100"/>
      <c r="I169" s="100"/>
      <c r="J169" s="100"/>
      <c r="K169" s="100"/>
      <c r="L169" s="100"/>
      <c r="M169" s="100"/>
      <c r="N169" s="102"/>
      <c r="O169" s="103"/>
      <c r="P169" s="105"/>
    </row>
    <row r="170" spans="1:16" x14ac:dyDescent="0.3">
      <c r="A170" s="97" t="e">
        <f>'Cover Page'!$D$5</f>
        <v>#N/A</v>
      </c>
      <c r="B170" s="98" t="str">
        <f>IFERROR(VLOOKUP(A170,'District Codes'!D:F,3,FALSE),"")</f>
        <v/>
      </c>
      <c r="C170" s="107" t="str">
        <f>IFERROR(VLOOKUP(A170,'District Codes'!A:B,2,FALSE),"")</f>
        <v/>
      </c>
      <c r="D170" s="106"/>
      <c r="E170" s="203" t="str">
        <f>IFERROR(VLOOKUP(D170, 'School Codes'!D:E,2,FALSE),"")</f>
        <v/>
      </c>
      <c r="F170" s="100"/>
      <c r="G170" s="100"/>
      <c r="H170" s="100"/>
      <c r="I170" s="100"/>
      <c r="J170" s="100"/>
      <c r="K170" s="100"/>
      <c r="L170" s="100"/>
      <c r="M170" s="100"/>
      <c r="N170" s="102"/>
      <c r="O170" s="103"/>
      <c r="P170" s="105"/>
    </row>
    <row r="171" spans="1:16" x14ac:dyDescent="0.3">
      <c r="A171" s="97" t="e">
        <f>'Cover Page'!$D$5</f>
        <v>#N/A</v>
      </c>
      <c r="B171" s="98" t="str">
        <f>IFERROR(VLOOKUP(A171,'District Codes'!D:F,3,FALSE),"")</f>
        <v/>
      </c>
      <c r="C171" s="107" t="str">
        <f>IFERROR(VLOOKUP(A171,'District Codes'!A:B,2,FALSE),"")</f>
        <v/>
      </c>
      <c r="D171" s="106"/>
      <c r="E171" s="203" t="str">
        <f>IFERROR(VLOOKUP(D171, 'School Codes'!D:E,2,FALSE),"")</f>
        <v/>
      </c>
      <c r="F171" s="100"/>
      <c r="G171" s="100"/>
      <c r="H171" s="100"/>
      <c r="I171" s="100"/>
      <c r="J171" s="100"/>
      <c r="K171" s="100"/>
      <c r="L171" s="100"/>
      <c r="M171" s="100"/>
      <c r="N171" s="102"/>
      <c r="O171" s="103"/>
      <c r="P171" s="105"/>
    </row>
    <row r="172" spans="1:16" ht="14.4" thickBot="1" x14ac:dyDescent="0.35">
      <c r="A172" s="97" t="e">
        <f>'Cover Page'!$D$5</f>
        <v>#N/A</v>
      </c>
      <c r="B172" s="98" t="str">
        <f>IFERROR(VLOOKUP(A172,'District Codes'!D:F,3,FALSE),"")</f>
        <v/>
      </c>
      <c r="C172" s="107" t="str">
        <f>IFERROR(VLOOKUP(A172,'District Codes'!A:B,2,FALSE),"")</f>
        <v/>
      </c>
      <c r="D172" s="104"/>
      <c r="E172" s="203" t="str">
        <f>IFERROR(VLOOKUP(D172, 'School Codes'!D:E,2,FALSE),"")</f>
        <v/>
      </c>
      <c r="F172" s="100"/>
      <c r="G172" s="100"/>
      <c r="H172" s="100"/>
      <c r="I172" s="100"/>
      <c r="J172" s="100"/>
      <c r="K172" s="100"/>
      <c r="L172" s="100"/>
      <c r="M172" s="100"/>
      <c r="N172" s="102"/>
      <c r="O172" s="103"/>
      <c r="P172" s="105"/>
    </row>
    <row r="173" spans="1:16" x14ac:dyDescent="0.3">
      <c r="A173" s="97" t="e">
        <f>'Cover Page'!$D$5</f>
        <v>#N/A</v>
      </c>
      <c r="B173" s="98" t="str">
        <f>IFERROR(VLOOKUP(A173,'District Codes'!D:F,3,FALSE),"")</f>
        <v/>
      </c>
      <c r="C173" s="107" t="str">
        <f>IFERROR(VLOOKUP(A173,'District Codes'!A:B,2,FALSE),"")</f>
        <v/>
      </c>
      <c r="D173" s="104"/>
      <c r="E173" s="203" t="str">
        <f>IFERROR(VLOOKUP(D173, 'School Codes'!D:E,2,FALSE),"")</f>
        <v/>
      </c>
      <c r="F173" s="100"/>
      <c r="G173" s="100"/>
      <c r="H173" s="100"/>
      <c r="I173" s="101"/>
      <c r="J173" s="100"/>
      <c r="K173" s="100"/>
      <c r="L173" s="100"/>
      <c r="M173" s="100"/>
      <c r="N173" s="102"/>
      <c r="O173" s="103"/>
      <c r="P173" s="105"/>
    </row>
    <row r="174" spans="1:16" x14ac:dyDescent="0.3">
      <c r="A174" s="97" t="e">
        <f>'Cover Page'!$D$5</f>
        <v>#N/A</v>
      </c>
      <c r="B174" s="98" t="str">
        <f>IFERROR(VLOOKUP(A174,'District Codes'!D:F,3,FALSE),"")</f>
        <v/>
      </c>
      <c r="C174" s="107" t="str">
        <f>IFERROR(VLOOKUP(A174,'District Codes'!A:B,2,FALSE),"")</f>
        <v/>
      </c>
      <c r="D174" s="104"/>
      <c r="E174" s="203" t="str">
        <f>IFERROR(VLOOKUP(D174, 'School Codes'!D:E,2,FALSE),"")</f>
        <v/>
      </c>
      <c r="F174" s="100"/>
      <c r="G174" s="100"/>
      <c r="H174" s="100"/>
      <c r="I174" s="100"/>
      <c r="J174" s="100"/>
      <c r="K174" s="100"/>
      <c r="L174" s="100"/>
      <c r="M174" s="100"/>
      <c r="N174" s="102"/>
      <c r="O174" s="103"/>
      <c r="P174" s="105"/>
    </row>
    <row r="175" spans="1:16" x14ac:dyDescent="0.3">
      <c r="A175" s="97" t="e">
        <f>'Cover Page'!$D$5</f>
        <v>#N/A</v>
      </c>
      <c r="B175" s="98" t="str">
        <f>IFERROR(VLOOKUP(A175,'District Codes'!D:F,3,FALSE),"")</f>
        <v/>
      </c>
      <c r="C175" s="107" t="str">
        <f>IFERROR(VLOOKUP(A175,'District Codes'!A:B,2,FALSE),"")</f>
        <v/>
      </c>
      <c r="D175" s="104"/>
      <c r="E175" s="203" t="str">
        <f>IFERROR(VLOOKUP(D175, 'School Codes'!D:E,2,FALSE),"")</f>
        <v/>
      </c>
      <c r="F175" s="100"/>
      <c r="G175" s="100"/>
      <c r="H175" s="100"/>
      <c r="I175" s="100"/>
      <c r="J175" s="100"/>
      <c r="K175" s="100"/>
      <c r="L175" s="100"/>
      <c r="M175" s="100"/>
      <c r="N175" s="102"/>
      <c r="O175" s="103"/>
      <c r="P175" s="105"/>
    </row>
    <row r="176" spans="1:16" x14ac:dyDescent="0.3">
      <c r="A176" s="97" t="e">
        <f>'Cover Page'!$D$5</f>
        <v>#N/A</v>
      </c>
      <c r="B176" s="98" t="str">
        <f>IFERROR(VLOOKUP(A176,'District Codes'!D:F,3,FALSE),"")</f>
        <v/>
      </c>
      <c r="C176" s="107" t="str">
        <f>IFERROR(VLOOKUP(A176,'District Codes'!A:B,2,FALSE),"")</f>
        <v/>
      </c>
      <c r="D176" s="104"/>
      <c r="E176" s="203" t="str">
        <f>IFERROR(VLOOKUP(D176, 'School Codes'!D:E,2,FALSE),"")</f>
        <v/>
      </c>
      <c r="F176" s="100"/>
      <c r="G176" s="100"/>
      <c r="H176" s="100"/>
      <c r="I176" s="100"/>
      <c r="J176" s="100"/>
      <c r="K176" s="100"/>
      <c r="L176" s="100"/>
      <c r="M176" s="100"/>
      <c r="N176" s="102"/>
      <c r="O176" s="103"/>
      <c r="P176" s="105"/>
    </row>
    <row r="177" spans="1:16" x14ac:dyDescent="0.3">
      <c r="A177" s="97" t="e">
        <f>'Cover Page'!$D$5</f>
        <v>#N/A</v>
      </c>
      <c r="B177" s="98" t="str">
        <f>IFERROR(VLOOKUP(A177,'District Codes'!D:F,3,FALSE),"")</f>
        <v/>
      </c>
      <c r="C177" s="107" t="str">
        <f>IFERROR(VLOOKUP(A177,'District Codes'!A:B,2,FALSE),"")</f>
        <v/>
      </c>
      <c r="D177" s="104"/>
      <c r="E177" s="203" t="str">
        <f>IFERROR(VLOOKUP(D177, 'School Codes'!D:E,2,FALSE),"")</f>
        <v/>
      </c>
      <c r="F177" s="100"/>
      <c r="G177" s="100"/>
      <c r="H177" s="100"/>
      <c r="I177" s="100"/>
      <c r="J177" s="100"/>
      <c r="K177" s="100"/>
      <c r="L177" s="100"/>
      <c r="M177" s="100"/>
      <c r="N177" s="102"/>
      <c r="O177" s="103"/>
      <c r="P177" s="105"/>
    </row>
    <row r="178" spans="1:16" x14ac:dyDescent="0.3">
      <c r="A178" s="97" t="e">
        <f>'Cover Page'!$D$5</f>
        <v>#N/A</v>
      </c>
      <c r="B178" s="98" t="str">
        <f>IFERROR(VLOOKUP(A178,'District Codes'!D:F,3,FALSE),"")</f>
        <v/>
      </c>
      <c r="C178" s="107" t="str">
        <f>IFERROR(VLOOKUP(A178,'District Codes'!A:B,2,FALSE),"")</f>
        <v/>
      </c>
      <c r="D178" s="104"/>
      <c r="E178" s="203" t="str">
        <f>IFERROR(VLOOKUP(D178, 'School Codes'!D:E,2,FALSE),"")</f>
        <v/>
      </c>
      <c r="F178" s="100"/>
      <c r="G178" s="100"/>
      <c r="H178" s="100"/>
      <c r="I178" s="100"/>
      <c r="J178" s="100"/>
      <c r="K178" s="100"/>
      <c r="L178" s="100"/>
      <c r="M178" s="100"/>
      <c r="N178" s="102"/>
      <c r="O178" s="103"/>
      <c r="P178" s="105"/>
    </row>
    <row r="179" spans="1:16" x14ac:dyDescent="0.3">
      <c r="A179" s="97" t="e">
        <f>'Cover Page'!$D$5</f>
        <v>#N/A</v>
      </c>
      <c r="B179" s="98" t="str">
        <f>IFERROR(VLOOKUP(A179,'District Codes'!D:F,3,FALSE),"")</f>
        <v/>
      </c>
      <c r="C179" s="107" t="str">
        <f>IFERROR(VLOOKUP(A179,'District Codes'!A:B,2,FALSE),"")</f>
        <v/>
      </c>
      <c r="D179" s="104"/>
      <c r="E179" s="203" t="str">
        <f>IFERROR(VLOOKUP(D179, 'School Codes'!D:E,2,FALSE),"")</f>
        <v/>
      </c>
      <c r="F179" s="100"/>
      <c r="G179" s="100"/>
      <c r="H179" s="100"/>
      <c r="I179" s="100"/>
      <c r="J179" s="100"/>
      <c r="K179" s="100"/>
      <c r="L179" s="100"/>
      <c r="M179" s="100"/>
      <c r="N179" s="102"/>
      <c r="O179" s="103"/>
      <c r="P179" s="105"/>
    </row>
    <row r="180" spans="1:16" x14ac:dyDescent="0.3">
      <c r="A180" s="97" t="e">
        <f>'Cover Page'!$D$5</f>
        <v>#N/A</v>
      </c>
      <c r="B180" s="98" t="str">
        <f>IFERROR(VLOOKUP(A180,'District Codes'!D:F,3,FALSE),"")</f>
        <v/>
      </c>
      <c r="C180" s="107" t="str">
        <f>IFERROR(VLOOKUP(A180,'District Codes'!A:B,2,FALSE),"")</f>
        <v/>
      </c>
      <c r="D180" s="104"/>
      <c r="E180" s="203" t="str">
        <f>IFERROR(VLOOKUP(D180, 'School Codes'!D:E,2,FALSE),"")</f>
        <v/>
      </c>
      <c r="F180" s="100"/>
      <c r="G180" s="100"/>
      <c r="H180" s="100"/>
      <c r="I180" s="100"/>
      <c r="J180" s="100"/>
      <c r="K180" s="100"/>
      <c r="L180" s="100"/>
      <c r="M180" s="100"/>
      <c r="N180" s="102"/>
      <c r="O180" s="103"/>
      <c r="P180" s="105"/>
    </row>
    <row r="181" spans="1:16" x14ac:dyDescent="0.3">
      <c r="A181" s="97" t="e">
        <f>'Cover Page'!$D$5</f>
        <v>#N/A</v>
      </c>
      <c r="B181" s="98" t="str">
        <f>IFERROR(VLOOKUP(A181,'District Codes'!D:F,3,FALSE),"")</f>
        <v/>
      </c>
      <c r="C181" s="107" t="str">
        <f>IFERROR(VLOOKUP(A181,'District Codes'!A:B,2,FALSE),"")</f>
        <v/>
      </c>
      <c r="D181" s="104"/>
      <c r="E181" s="203" t="str">
        <f>IFERROR(VLOOKUP(D181, 'School Codes'!D:E,2,FALSE),"")</f>
        <v/>
      </c>
      <c r="F181" s="100"/>
      <c r="G181" s="100"/>
      <c r="H181" s="100"/>
      <c r="I181" s="100"/>
      <c r="J181" s="100"/>
      <c r="K181" s="100"/>
      <c r="L181" s="100"/>
      <c r="M181" s="100"/>
      <c r="N181" s="102"/>
      <c r="O181" s="103"/>
      <c r="P181" s="105"/>
    </row>
    <row r="182" spans="1:16" x14ac:dyDescent="0.3">
      <c r="A182" s="97" t="e">
        <f>'Cover Page'!$D$5</f>
        <v>#N/A</v>
      </c>
      <c r="B182" s="98" t="str">
        <f>IFERROR(VLOOKUP(A182,'District Codes'!D:F,3,FALSE),"")</f>
        <v/>
      </c>
      <c r="C182" s="107" t="str">
        <f>IFERROR(VLOOKUP(A182,'District Codes'!A:B,2,FALSE),"")</f>
        <v/>
      </c>
      <c r="D182" s="106"/>
      <c r="E182" s="203" t="str">
        <f>IFERROR(VLOOKUP(D182, 'School Codes'!D:E,2,FALSE),"")</f>
        <v/>
      </c>
      <c r="F182" s="100"/>
      <c r="G182" s="100"/>
      <c r="H182" s="100"/>
      <c r="I182" s="100"/>
      <c r="J182" s="100"/>
      <c r="K182" s="100"/>
      <c r="L182" s="100"/>
      <c r="M182" s="100"/>
      <c r="N182" s="102"/>
      <c r="O182" s="103"/>
      <c r="P182" s="105"/>
    </row>
    <row r="183" spans="1:16" x14ac:dyDescent="0.3">
      <c r="A183" s="97" t="e">
        <f>'Cover Page'!$D$5</f>
        <v>#N/A</v>
      </c>
      <c r="B183" s="98" t="str">
        <f>IFERROR(VLOOKUP(A183,'District Codes'!D:F,3,FALSE),"")</f>
        <v/>
      </c>
      <c r="C183" s="107" t="str">
        <f>IFERROR(VLOOKUP(A183,'District Codes'!A:B,2,FALSE),"")</f>
        <v/>
      </c>
      <c r="D183" s="106"/>
      <c r="E183" s="203" t="str">
        <f>IFERROR(VLOOKUP(D183, 'School Codes'!D:E,2,FALSE),"")</f>
        <v/>
      </c>
      <c r="F183" s="100"/>
      <c r="G183" s="100"/>
      <c r="H183" s="100"/>
      <c r="I183" s="100"/>
      <c r="J183" s="100"/>
      <c r="K183" s="100"/>
      <c r="L183" s="100"/>
      <c r="M183" s="100"/>
      <c r="N183" s="102"/>
      <c r="O183" s="103"/>
      <c r="P183" s="105"/>
    </row>
    <row r="184" spans="1:16" x14ac:dyDescent="0.3">
      <c r="A184" s="97" t="e">
        <f>'Cover Page'!$D$5</f>
        <v>#N/A</v>
      </c>
      <c r="B184" s="98" t="str">
        <f>IFERROR(VLOOKUP(A184,'District Codes'!D:F,3,FALSE),"")</f>
        <v/>
      </c>
      <c r="C184" s="107" t="str">
        <f>IFERROR(VLOOKUP(A184,'District Codes'!A:B,2,FALSE),"")</f>
        <v/>
      </c>
      <c r="D184" s="106"/>
      <c r="E184" s="203" t="str">
        <f>IFERROR(VLOOKUP(D184, 'School Codes'!D:E,2,FALSE),"")</f>
        <v/>
      </c>
      <c r="F184" s="100"/>
      <c r="G184" s="100"/>
      <c r="H184" s="100"/>
      <c r="I184" s="100"/>
      <c r="J184" s="100"/>
      <c r="K184" s="100"/>
      <c r="L184" s="100"/>
      <c r="M184" s="100"/>
      <c r="N184" s="102"/>
      <c r="O184" s="103"/>
      <c r="P184" s="105"/>
    </row>
    <row r="185" spans="1:16" ht="14.4" thickBot="1" x14ac:dyDescent="0.35">
      <c r="A185" s="97" t="e">
        <f>'Cover Page'!$D$5</f>
        <v>#N/A</v>
      </c>
      <c r="B185" s="98" t="str">
        <f>IFERROR(VLOOKUP(A185,'District Codes'!D:F,3,FALSE),"")</f>
        <v/>
      </c>
      <c r="C185" s="107" t="str">
        <f>IFERROR(VLOOKUP(A185,'District Codes'!A:B,2,FALSE),"")</f>
        <v/>
      </c>
      <c r="D185" s="104"/>
      <c r="E185" s="203" t="str">
        <f>IFERROR(VLOOKUP(D185, 'School Codes'!D:E,2,FALSE),"")</f>
        <v/>
      </c>
      <c r="F185" s="100"/>
      <c r="G185" s="100"/>
      <c r="H185" s="100"/>
      <c r="I185" s="100"/>
      <c r="J185" s="100"/>
      <c r="K185" s="100"/>
      <c r="L185" s="100"/>
      <c r="M185" s="100"/>
      <c r="N185" s="102"/>
      <c r="O185" s="103"/>
      <c r="P185" s="105"/>
    </row>
    <row r="186" spans="1:16" x14ac:dyDescent="0.3">
      <c r="A186" s="97" t="e">
        <f>'Cover Page'!$D$5</f>
        <v>#N/A</v>
      </c>
      <c r="B186" s="98" t="str">
        <f>IFERROR(VLOOKUP(A186,'District Codes'!D:F,3,FALSE),"")</f>
        <v/>
      </c>
      <c r="C186" s="107" t="str">
        <f>IFERROR(VLOOKUP(A186,'District Codes'!A:B,2,FALSE),"")</f>
        <v/>
      </c>
      <c r="D186" s="104"/>
      <c r="E186" s="203" t="str">
        <f>IFERROR(VLOOKUP(D186, 'School Codes'!D:E,2,FALSE),"")</f>
        <v/>
      </c>
      <c r="F186" s="100"/>
      <c r="G186" s="100"/>
      <c r="H186" s="100"/>
      <c r="I186" s="101"/>
      <c r="J186" s="100"/>
      <c r="K186" s="100"/>
      <c r="L186" s="100"/>
      <c r="M186" s="100"/>
      <c r="N186" s="102"/>
      <c r="O186" s="103"/>
      <c r="P186" s="105"/>
    </row>
    <row r="187" spans="1:16" x14ac:dyDescent="0.3">
      <c r="A187" s="97" t="e">
        <f>'Cover Page'!$D$5</f>
        <v>#N/A</v>
      </c>
      <c r="B187" s="98" t="str">
        <f>IFERROR(VLOOKUP(A187,'District Codes'!D:F,3,FALSE),"")</f>
        <v/>
      </c>
      <c r="C187" s="107" t="str">
        <f>IFERROR(VLOOKUP(A187,'District Codes'!A:B,2,FALSE),"")</f>
        <v/>
      </c>
      <c r="D187" s="104"/>
      <c r="E187" s="203" t="str">
        <f>IFERROR(VLOOKUP(D187, 'School Codes'!D:E,2,FALSE),"")</f>
        <v/>
      </c>
      <c r="F187" s="100"/>
      <c r="G187" s="100"/>
      <c r="H187" s="100"/>
      <c r="I187" s="100"/>
      <c r="J187" s="100"/>
      <c r="K187" s="100"/>
      <c r="L187" s="100"/>
      <c r="M187" s="100"/>
      <c r="N187" s="102"/>
      <c r="O187" s="103"/>
      <c r="P187" s="105"/>
    </row>
    <row r="188" spans="1:16" x14ac:dyDescent="0.3">
      <c r="A188" s="97" t="e">
        <f>'Cover Page'!$D$5</f>
        <v>#N/A</v>
      </c>
      <c r="B188" s="98" t="str">
        <f>IFERROR(VLOOKUP(A188,'District Codes'!D:F,3,FALSE),"")</f>
        <v/>
      </c>
      <c r="C188" s="107" t="str">
        <f>IFERROR(VLOOKUP(A188,'District Codes'!A:B,2,FALSE),"")</f>
        <v/>
      </c>
      <c r="D188" s="104"/>
      <c r="E188" s="203" t="str">
        <f>IFERROR(VLOOKUP(D188, 'School Codes'!D:E,2,FALSE),"")</f>
        <v/>
      </c>
      <c r="F188" s="100"/>
      <c r="G188" s="100"/>
      <c r="H188" s="100"/>
      <c r="I188" s="100"/>
      <c r="J188" s="100"/>
      <c r="K188" s="100"/>
      <c r="L188" s="100"/>
      <c r="M188" s="100"/>
      <c r="N188" s="102"/>
      <c r="O188" s="103"/>
      <c r="P188" s="105"/>
    </row>
    <row r="189" spans="1:16" x14ac:dyDescent="0.3">
      <c r="A189" s="97" t="e">
        <f>'Cover Page'!$D$5</f>
        <v>#N/A</v>
      </c>
      <c r="B189" s="98" t="str">
        <f>IFERROR(VLOOKUP(A189,'District Codes'!D:F,3,FALSE),"")</f>
        <v/>
      </c>
      <c r="C189" s="107" t="str">
        <f>IFERROR(VLOOKUP(A189,'District Codes'!A:B,2,FALSE),"")</f>
        <v/>
      </c>
      <c r="D189" s="104"/>
      <c r="E189" s="203" t="str">
        <f>IFERROR(VLOOKUP(D189, 'School Codes'!D:E,2,FALSE),"")</f>
        <v/>
      </c>
      <c r="F189" s="100"/>
      <c r="G189" s="100"/>
      <c r="H189" s="100"/>
      <c r="I189" s="100"/>
      <c r="J189" s="100"/>
      <c r="K189" s="100"/>
      <c r="L189" s="100"/>
      <c r="M189" s="100"/>
      <c r="N189" s="102"/>
      <c r="O189" s="103"/>
      <c r="P189" s="105"/>
    </row>
    <row r="190" spans="1:16" x14ac:dyDescent="0.3">
      <c r="A190" s="97" t="e">
        <f>'Cover Page'!$D$5</f>
        <v>#N/A</v>
      </c>
      <c r="B190" s="98" t="str">
        <f>IFERROR(VLOOKUP(A190,'District Codes'!D:F,3,FALSE),"")</f>
        <v/>
      </c>
      <c r="C190" s="107" t="str">
        <f>IFERROR(VLOOKUP(A190,'District Codes'!A:B,2,FALSE),"")</f>
        <v/>
      </c>
      <c r="D190" s="104"/>
      <c r="E190" s="203" t="str">
        <f>IFERROR(VLOOKUP(D190, 'School Codes'!D:E,2,FALSE),"")</f>
        <v/>
      </c>
      <c r="F190" s="100"/>
      <c r="G190" s="100"/>
      <c r="H190" s="100"/>
      <c r="I190" s="100"/>
      <c r="J190" s="100"/>
      <c r="K190" s="100"/>
      <c r="L190" s="100"/>
      <c r="M190" s="100"/>
      <c r="N190" s="102"/>
      <c r="O190" s="103"/>
      <c r="P190" s="105"/>
    </row>
    <row r="191" spans="1:16" x14ac:dyDescent="0.3">
      <c r="A191" s="97" t="e">
        <f>'Cover Page'!$D$5</f>
        <v>#N/A</v>
      </c>
      <c r="B191" s="98" t="str">
        <f>IFERROR(VLOOKUP(A191,'District Codes'!D:F,3,FALSE),"")</f>
        <v/>
      </c>
      <c r="C191" s="107" t="str">
        <f>IFERROR(VLOOKUP(A191,'District Codes'!A:B,2,FALSE),"")</f>
        <v/>
      </c>
      <c r="D191" s="104"/>
      <c r="E191" s="203" t="str">
        <f>IFERROR(VLOOKUP(D191, 'School Codes'!D:E,2,FALSE),"")</f>
        <v/>
      </c>
      <c r="F191" s="100"/>
      <c r="G191" s="100"/>
      <c r="H191" s="100"/>
      <c r="I191" s="100"/>
      <c r="J191" s="100"/>
      <c r="K191" s="100"/>
      <c r="L191" s="100"/>
      <c r="M191" s="100"/>
      <c r="N191" s="102"/>
      <c r="O191" s="103"/>
      <c r="P191" s="105"/>
    </row>
    <row r="192" spans="1:16" x14ac:dyDescent="0.3">
      <c r="A192" s="97" t="e">
        <f>'Cover Page'!$D$5</f>
        <v>#N/A</v>
      </c>
      <c r="B192" s="98" t="str">
        <f>IFERROR(VLOOKUP(A192,'District Codes'!D:F,3,FALSE),"")</f>
        <v/>
      </c>
      <c r="C192" s="107" t="str">
        <f>IFERROR(VLOOKUP(A192,'District Codes'!A:B,2,FALSE),"")</f>
        <v/>
      </c>
      <c r="D192" s="104"/>
      <c r="E192" s="203" t="str">
        <f>IFERROR(VLOOKUP(D192, 'School Codes'!D:E,2,FALSE),"")</f>
        <v/>
      </c>
      <c r="F192" s="100"/>
      <c r="G192" s="100"/>
      <c r="H192" s="100"/>
      <c r="I192" s="100"/>
      <c r="J192" s="100"/>
      <c r="K192" s="100"/>
      <c r="L192" s="100"/>
      <c r="M192" s="100"/>
      <c r="N192" s="102"/>
      <c r="O192" s="103"/>
      <c r="P192" s="105"/>
    </row>
    <row r="193" spans="1:20" x14ac:dyDescent="0.3">
      <c r="A193" s="97" t="e">
        <f>'Cover Page'!$D$5</f>
        <v>#N/A</v>
      </c>
      <c r="B193" s="98" t="str">
        <f>IFERROR(VLOOKUP(A193,'District Codes'!D:F,3,FALSE),"")</f>
        <v/>
      </c>
      <c r="C193" s="107" t="str">
        <f>IFERROR(VLOOKUP(A193,'District Codes'!A:B,2,FALSE),"")</f>
        <v/>
      </c>
      <c r="D193" s="104"/>
      <c r="E193" s="203" t="str">
        <f>IFERROR(VLOOKUP(D193, 'School Codes'!D:E,2,FALSE),"")</f>
        <v/>
      </c>
      <c r="F193" s="100"/>
      <c r="G193" s="100"/>
      <c r="H193" s="100"/>
      <c r="I193" s="100"/>
      <c r="J193" s="100"/>
      <c r="K193" s="100"/>
      <c r="L193" s="100"/>
      <c r="M193" s="100"/>
      <c r="N193" s="102"/>
      <c r="O193" s="103"/>
      <c r="P193" s="105"/>
    </row>
    <row r="194" spans="1:20" x14ac:dyDescent="0.3">
      <c r="A194" s="97" t="e">
        <f>'Cover Page'!$D$5</f>
        <v>#N/A</v>
      </c>
      <c r="B194" s="98" t="str">
        <f>IFERROR(VLOOKUP(A194,'District Codes'!D:F,3,FALSE),"")</f>
        <v/>
      </c>
      <c r="C194" s="107" t="str">
        <f>IFERROR(VLOOKUP(A194,'District Codes'!A:B,2,FALSE),"")</f>
        <v/>
      </c>
      <c r="D194" s="104"/>
      <c r="E194" s="203" t="str">
        <f>IFERROR(VLOOKUP(D194, 'School Codes'!D:E,2,FALSE),"")</f>
        <v/>
      </c>
      <c r="F194" s="100"/>
      <c r="G194" s="100"/>
      <c r="H194" s="100"/>
      <c r="I194" s="100"/>
      <c r="J194" s="100"/>
      <c r="K194" s="100"/>
      <c r="L194" s="100"/>
      <c r="M194" s="100"/>
      <c r="N194" s="102"/>
      <c r="O194" s="103"/>
      <c r="P194" s="105"/>
    </row>
    <row r="195" spans="1:20" x14ac:dyDescent="0.3">
      <c r="A195" s="97" t="e">
        <f>'Cover Page'!$D$5</f>
        <v>#N/A</v>
      </c>
      <c r="B195" s="98" t="str">
        <f>IFERROR(VLOOKUP(A195,'District Codes'!D:F,3,FALSE),"")</f>
        <v/>
      </c>
      <c r="C195" s="107" t="str">
        <f>IFERROR(VLOOKUP(A195,'District Codes'!A:B,2,FALSE),"")</f>
        <v/>
      </c>
      <c r="D195" s="106"/>
      <c r="E195" s="203" t="str">
        <f>IFERROR(VLOOKUP(D195, 'School Codes'!D:E,2,FALSE),"")</f>
        <v/>
      </c>
      <c r="F195" s="100"/>
      <c r="G195" s="100"/>
      <c r="H195" s="100"/>
      <c r="I195" s="100"/>
      <c r="J195" s="100"/>
      <c r="K195" s="100"/>
      <c r="L195" s="100"/>
      <c r="M195" s="100"/>
      <c r="N195" s="102"/>
      <c r="O195" s="103"/>
      <c r="P195" s="105"/>
    </row>
    <row r="196" spans="1:20" x14ac:dyDescent="0.3">
      <c r="A196" s="97" t="e">
        <f>'Cover Page'!$D$5</f>
        <v>#N/A</v>
      </c>
      <c r="B196" s="98" t="str">
        <f>IFERROR(VLOOKUP(A196,'District Codes'!D:F,3,FALSE),"")</f>
        <v/>
      </c>
      <c r="C196" s="107" t="str">
        <f>IFERROR(VLOOKUP(A196,'District Codes'!A:B,2,FALSE),"")</f>
        <v/>
      </c>
      <c r="D196" s="106"/>
      <c r="E196" s="203" t="str">
        <f>IFERROR(VLOOKUP(D196, 'School Codes'!D:E,2,FALSE),"")</f>
        <v/>
      </c>
      <c r="F196" s="100"/>
      <c r="G196" s="100"/>
      <c r="H196" s="100"/>
      <c r="I196" s="100"/>
      <c r="J196" s="100"/>
      <c r="K196" s="100"/>
      <c r="L196" s="100"/>
      <c r="M196" s="100"/>
      <c r="N196" s="102"/>
      <c r="O196" s="103"/>
      <c r="P196" s="105"/>
    </row>
    <row r="197" spans="1:20" x14ac:dyDescent="0.3">
      <c r="A197" s="97" t="e">
        <f>'Cover Page'!$D$5</f>
        <v>#N/A</v>
      </c>
      <c r="B197" s="98" t="str">
        <f>IFERROR(VLOOKUP(A197,'District Codes'!D:F,3,FALSE),"")</f>
        <v/>
      </c>
      <c r="C197" s="107" t="str">
        <f>IFERROR(VLOOKUP(A197,'District Codes'!A:B,2,FALSE),"")</f>
        <v/>
      </c>
      <c r="D197" s="106"/>
      <c r="E197" s="203" t="str">
        <f>IFERROR(VLOOKUP(D197, 'School Codes'!D:E,2,FALSE),"")</f>
        <v/>
      </c>
      <c r="F197" s="100"/>
      <c r="G197" s="100"/>
      <c r="H197" s="100"/>
      <c r="I197" s="100"/>
      <c r="J197" s="100"/>
      <c r="K197" s="100"/>
      <c r="L197" s="100"/>
      <c r="M197" s="100"/>
      <c r="N197" s="102"/>
      <c r="O197" s="103"/>
      <c r="P197" s="105"/>
    </row>
    <row r="198" spans="1:20" ht="14.4" thickBot="1" x14ac:dyDescent="0.35">
      <c r="A198" s="97" t="e">
        <f>'Cover Page'!$D$5</f>
        <v>#N/A</v>
      </c>
      <c r="B198" s="98" t="str">
        <f>IFERROR(VLOOKUP(A198,'District Codes'!D:F,3,FALSE),"")</f>
        <v/>
      </c>
      <c r="C198" s="107" t="str">
        <f>IFERROR(VLOOKUP(A198,'District Codes'!A:B,2,FALSE),"")</f>
        <v/>
      </c>
      <c r="D198" s="104"/>
      <c r="E198" s="203" t="str">
        <f>IFERROR(VLOOKUP(D198, 'School Codes'!D:E,2,FALSE),"")</f>
        <v/>
      </c>
      <c r="F198" s="100"/>
      <c r="G198" s="100"/>
      <c r="H198" s="100"/>
      <c r="I198" s="100"/>
      <c r="J198" s="100"/>
      <c r="K198" s="100"/>
      <c r="L198" s="100"/>
      <c r="M198" s="100"/>
      <c r="N198" s="102"/>
      <c r="O198" s="103"/>
      <c r="P198" s="105"/>
    </row>
    <row r="199" spans="1:20" x14ac:dyDescent="0.3">
      <c r="A199" s="97" t="e">
        <f>'Cover Page'!$D$5</f>
        <v>#N/A</v>
      </c>
      <c r="B199" s="98" t="str">
        <f>IFERROR(VLOOKUP(A199,'District Codes'!D:F,3,FALSE),"")</f>
        <v/>
      </c>
      <c r="C199" s="107" t="str">
        <f>IFERROR(VLOOKUP(A199,'District Codes'!A:B,2,FALSE),"")</f>
        <v/>
      </c>
      <c r="D199" s="104"/>
      <c r="E199" s="203" t="str">
        <f>IFERROR(VLOOKUP(D199, 'School Codes'!D:E,2,FALSE),"")</f>
        <v/>
      </c>
      <c r="F199" s="100"/>
      <c r="G199" s="100"/>
      <c r="H199" s="100"/>
      <c r="I199" s="101"/>
      <c r="J199" s="100"/>
      <c r="K199" s="100"/>
      <c r="L199" s="100"/>
      <c r="M199" s="100"/>
      <c r="N199" s="102"/>
      <c r="O199" s="103"/>
      <c r="P199" s="105"/>
    </row>
    <row r="200" spans="1:20" x14ac:dyDescent="0.3">
      <c r="A200" s="97" t="e">
        <f>'Cover Page'!$D$5</f>
        <v>#N/A</v>
      </c>
      <c r="B200" s="98" t="str">
        <f>IFERROR(VLOOKUP(A200,'District Codes'!D:F,3,FALSE),"")</f>
        <v/>
      </c>
      <c r="C200" s="107" t="str">
        <f>IFERROR(VLOOKUP(A200,'District Codes'!A:B,2,FALSE),"")</f>
        <v/>
      </c>
      <c r="D200" s="104"/>
      <c r="E200" s="203" t="str">
        <f>IFERROR(VLOOKUP(D200, 'School Codes'!D:E,2,FALSE),"")</f>
        <v/>
      </c>
      <c r="F200" s="100"/>
      <c r="G200" s="100"/>
      <c r="H200" s="100"/>
      <c r="I200" s="100"/>
      <c r="J200" s="100"/>
      <c r="K200" s="100"/>
      <c r="L200" s="100"/>
      <c r="M200" s="100"/>
      <c r="N200" s="102"/>
      <c r="O200" s="103"/>
      <c r="P200" s="105"/>
    </row>
    <row r="201" spans="1:20" x14ac:dyDescent="0.3">
      <c r="A201" s="97" t="e">
        <f>'Cover Page'!$D$5</f>
        <v>#N/A</v>
      </c>
      <c r="B201" s="98" t="str">
        <f>IFERROR(VLOOKUP(A201,'District Codes'!D:F,3,FALSE),"")</f>
        <v/>
      </c>
      <c r="C201" s="107" t="str">
        <f>IFERROR(VLOOKUP(A201,'District Codes'!A:B,2,FALSE),"")</f>
        <v/>
      </c>
      <c r="D201" s="104"/>
      <c r="E201" s="203" t="str">
        <f>IFERROR(VLOOKUP(D201, 'School Codes'!D:E,2,FALSE),"")</f>
        <v/>
      </c>
      <c r="F201" s="100"/>
      <c r="G201" s="100"/>
      <c r="H201" s="100"/>
      <c r="I201" s="100"/>
      <c r="J201" s="100"/>
      <c r="K201" s="100"/>
      <c r="L201" s="100"/>
      <c r="M201" s="100"/>
      <c r="N201" s="102"/>
      <c r="O201" s="103"/>
      <c r="P201" s="105"/>
    </row>
    <row r="202" spans="1:20" x14ac:dyDescent="0.3">
      <c r="A202" s="97" t="e">
        <f>'Cover Page'!$D$5</f>
        <v>#N/A</v>
      </c>
      <c r="B202" s="98" t="str">
        <f>IFERROR(VLOOKUP(A202,'District Codes'!D:F,3,FALSE),"")</f>
        <v/>
      </c>
      <c r="C202" s="107" t="str">
        <f>IFERROR(VLOOKUP(A202,'District Codes'!A:B,2,FALSE),"")</f>
        <v/>
      </c>
      <c r="D202" s="104"/>
      <c r="E202" s="203" t="str">
        <f>IFERROR(VLOOKUP(D202, 'School Codes'!D:E,2,FALSE),"")</f>
        <v/>
      </c>
      <c r="F202" s="100"/>
      <c r="G202" s="100"/>
      <c r="H202" s="100"/>
      <c r="I202" s="100"/>
      <c r="J202" s="100"/>
      <c r="K202" s="100"/>
      <c r="L202" s="100"/>
      <c r="M202" s="100"/>
      <c r="N202" s="102"/>
      <c r="O202" s="103"/>
      <c r="P202" s="105"/>
    </row>
    <row r="203" spans="1:20" x14ac:dyDescent="0.3">
      <c r="A203" s="97" t="e">
        <f>'Cover Page'!$D$5</f>
        <v>#N/A</v>
      </c>
      <c r="B203" s="98" t="str">
        <f>IFERROR(VLOOKUP(A203,'District Codes'!D:F,3,FALSE),"")</f>
        <v/>
      </c>
      <c r="C203" s="107" t="str">
        <f>IFERROR(VLOOKUP(A203,'District Codes'!A:B,2,FALSE),"")</f>
        <v/>
      </c>
      <c r="D203" s="104"/>
      <c r="E203" s="203" t="str">
        <f>IFERROR(VLOOKUP(D203, 'School Codes'!D:E,2,FALSE),"")</f>
        <v/>
      </c>
      <c r="F203" s="100"/>
      <c r="G203" s="100"/>
      <c r="H203" s="100"/>
      <c r="I203" s="100"/>
      <c r="J203" s="100"/>
      <c r="K203" s="100"/>
      <c r="L203" s="100"/>
      <c r="M203" s="100"/>
      <c r="N203" s="102"/>
      <c r="O203" s="103"/>
      <c r="P203" s="105"/>
    </row>
    <row r="204" spans="1:20" ht="14.4" thickBot="1" x14ac:dyDescent="0.35">
      <c r="A204" s="97" t="e">
        <f>'Cover Page'!$D$5</f>
        <v>#N/A</v>
      </c>
      <c r="B204" s="109" t="str">
        <f>IFERROR(VLOOKUP(A204,'District Codes'!D:F,3,FALSE),"")</f>
        <v/>
      </c>
      <c r="C204" s="110" t="str">
        <f>IFERROR(VLOOKUP(A204,'District Codes'!A:B,2,FALSE),"")</f>
        <v/>
      </c>
      <c r="D204" s="104"/>
      <c r="E204" s="203" t="str">
        <f>IFERROR(VLOOKUP(D204, 'School Codes'!D:E,2,FALSE),"")</f>
        <v/>
      </c>
      <c r="F204" s="100"/>
      <c r="G204" s="100"/>
      <c r="H204" s="100"/>
      <c r="I204" s="100"/>
      <c r="J204" s="100"/>
      <c r="K204" s="100"/>
      <c r="L204" s="100"/>
      <c r="M204" s="100"/>
      <c r="N204" s="102"/>
      <c r="O204" s="103"/>
      <c r="P204" s="105"/>
    </row>
    <row r="205" spans="1:20" x14ac:dyDescent="0.3">
      <c r="A205" s="97" t="e">
        <f>'Cover Page'!$D$5</f>
        <v>#N/A</v>
      </c>
      <c r="B205" s="98" t="str">
        <f>IFERROR(VLOOKUP(A205,'District Codes'!D:F,3,FALSE),"")</f>
        <v/>
      </c>
      <c r="C205" s="99" t="str">
        <f>IFERROR(VLOOKUP(A205,'District Codes'!A:B,2,FALSE),"")</f>
        <v/>
      </c>
      <c r="D205" s="104"/>
      <c r="E205" s="203" t="str">
        <f>IFERROR(VLOOKUP(D205, 'School Codes'!D:E,2,FALSE),"")</f>
        <v/>
      </c>
      <c r="F205" s="100"/>
      <c r="G205" s="100"/>
      <c r="H205" s="100"/>
      <c r="I205" s="100"/>
      <c r="J205" s="100"/>
      <c r="K205" s="100"/>
      <c r="L205" s="100"/>
      <c r="M205" s="100"/>
      <c r="N205" s="102"/>
      <c r="O205" s="103"/>
      <c r="P205" s="105"/>
      <c r="Q205" s="100"/>
      <c r="R205" s="100"/>
      <c r="S205" s="102"/>
      <c r="T205" s="103">
        <v>100</v>
      </c>
    </row>
    <row r="206" spans="1:20" x14ac:dyDescent="0.3">
      <c r="A206" s="97" t="e">
        <f>'Cover Page'!$D$5</f>
        <v>#N/A</v>
      </c>
      <c r="B206" s="98" t="str">
        <f>IFERROR(VLOOKUP(A206,'District Codes'!D:F,3,FALSE),"")</f>
        <v/>
      </c>
      <c r="C206" s="99" t="str">
        <f>IFERROR(VLOOKUP(A206,'District Codes'!A:B,2,FALSE),"")</f>
        <v/>
      </c>
      <c r="D206" s="104"/>
      <c r="E206" s="203" t="str">
        <f>IFERROR(VLOOKUP(D206, 'School Codes'!D:E,2,FALSE),"")</f>
        <v/>
      </c>
      <c r="F206" s="100"/>
      <c r="G206" s="100"/>
      <c r="H206" s="100"/>
      <c r="I206" s="100"/>
      <c r="J206" s="100"/>
      <c r="K206" s="100"/>
      <c r="L206" s="100"/>
      <c r="M206" s="100"/>
      <c r="N206" s="102"/>
      <c r="O206" s="103"/>
      <c r="P206" s="105"/>
    </row>
    <row r="207" spans="1:20" x14ac:dyDescent="0.3">
      <c r="A207" s="97" t="e">
        <f>'Cover Page'!$D$5</f>
        <v>#N/A</v>
      </c>
      <c r="B207" s="98" t="str">
        <f>IFERROR(VLOOKUP(A207,'District Codes'!D:F,3,FALSE),"")</f>
        <v/>
      </c>
      <c r="C207" s="99" t="str">
        <f>IFERROR(VLOOKUP(A207,'District Codes'!A:B,2,FALSE),"")</f>
        <v/>
      </c>
      <c r="D207" s="104"/>
      <c r="E207" s="203" t="str">
        <f>IFERROR(VLOOKUP(D207, 'School Codes'!D:E,2,FALSE),"")</f>
        <v/>
      </c>
      <c r="F207" s="100"/>
      <c r="G207" s="100"/>
      <c r="H207" s="100"/>
      <c r="I207" s="100"/>
      <c r="J207" s="100"/>
      <c r="K207" s="100"/>
      <c r="L207" s="100"/>
      <c r="M207" s="100"/>
      <c r="N207" s="102"/>
      <c r="O207" s="103"/>
      <c r="P207" s="105"/>
    </row>
    <row r="208" spans="1:20" x14ac:dyDescent="0.3">
      <c r="A208" s="97" t="e">
        <f>'Cover Page'!$D$5</f>
        <v>#N/A</v>
      </c>
      <c r="B208" s="98" t="str">
        <f>IFERROR(VLOOKUP(A208,'District Codes'!D:F,3,FALSE),"")</f>
        <v/>
      </c>
      <c r="C208" s="99" t="str">
        <f>IFERROR(VLOOKUP(A208,'District Codes'!A:B,2,FALSE),"")</f>
        <v/>
      </c>
      <c r="D208" s="106"/>
      <c r="E208" s="203" t="str">
        <f>IFERROR(VLOOKUP(D208, 'School Codes'!D:E,2,FALSE),"")</f>
        <v/>
      </c>
      <c r="F208" s="100"/>
      <c r="G208" s="100"/>
      <c r="H208" s="100"/>
      <c r="I208" s="100"/>
      <c r="J208" s="100"/>
      <c r="K208" s="100"/>
      <c r="L208" s="100"/>
      <c r="M208" s="100"/>
      <c r="N208" s="102"/>
      <c r="O208" s="103"/>
      <c r="P208" s="105"/>
    </row>
    <row r="209" spans="1:16" x14ac:dyDescent="0.3">
      <c r="A209" s="97" t="e">
        <f>'Cover Page'!$D$5</f>
        <v>#N/A</v>
      </c>
      <c r="B209" s="98" t="str">
        <f>IFERROR(VLOOKUP(A209,'District Codes'!D:F,3,FALSE),"")</f>
        <v/>
      </c>
      <c r="C209" s="99" t="str">
        <f>IFERROR(VLOOKUP(A209,'District Codes'!A:B,2,FALSE),"")</f>
        <v/>
      </c>
      <c r="D209" s="106"/>
      <c r="E209" s="203" t="str">
        <f>IFERROR(VLOOKUP(D209, 'School Codes'!D:E,2,FALSE),"")</f>
        <v/>
      </c>
      <c r="F209" s="100"/>
      <c r="G209" s="100"/>
      <c r="H209" s="100"/>
      <c r="I209" s="100"/>
      <c r="J209" s="100"/>
      <c r="K209" s="100"/>
      <c r="L209" s="100"/>
      <c r="M209" s="100"/>
      <c r="N209" s="102"/>
      <c r="O209" s="103"/>
      <c r="P209" s="105"/>
    </row>
    <row r="210" spans="1:16" x14ac:dyDescent="0.3">
      <c r="A210" s="97" t="e">
        <f>'Cover Page'!$D$5</f>
        <v>#N/A</v>
      </c>
      <c r="B210" s="98" t="str">
        <f>IFERROR(VLOOKUP(A210,'District Codes'!D:F,3,FALSE),"")</f>
        <v/>
      </c>
      <c r="C210" s="99" t="str">
        <f>IFERROR(VLOOKUP(A210,'District Codes'!A:B,2,FALSE),"")</f>
        <v/>
      </c>
      <c r="D210" s="106"/>
      <c r="E210" s="203" t="str">
        <f>IFERROR(VLOOKUP(D210, 'School Codes'!D:E,2,FALSE),"")</f>
        <v/>
      </c>
      <c r="F210" s="100"/>
      <c r="G210" s="100"/>
      <c r="H210" s="100"/>
      <c r="I210" s="100"/>
      <c r="J210" s="100"/>
      <c r="K210" s="100"/>
      <c r="L210" s="100"/>
      <c r="M210" s="100"/>
      <c r="N210" s="102"/>
      <c r="O210" s="103"/>
      <c r="P210" s="105"/>
    </row>
    <row r="211" spans="1:16" ht="14.4" thickBot="1" x14ac:dyDescent="0.35">
      <c r="A211" s="97" t="e">
        <f>'Cover Page'!$D$5</f>
        <v>#N/A</v>
      </c>
      <c r="B211" s="98" t="str">
        <f>IFERROR(VLOOKUP(A211,'District Codes'!D:F,3,FALSE),"")</f>
        <v/>
      </c>
      <c r="C211" s="99" t="str">
        <f>IFERROR(VLOOKUP(A211,'District Codes'!A:B,2,FALSE),"")</f>
        <v/>
      </c>
      <c r="D211" s="104"/>
      <c r="E211" s="203" t="str">
        <f>IFERROR(VLOOKUP(D211, 'School Codes'!D:E,2,FALSE),"")</f>
        <v/>
      </c>
      <c r="F211" s="100"/>
      <c r="G211" s="100"/>
      <c r="H211" s="100"/>
      <c r="I211" s="100"/>
      <c r="J211" s="100"/>
      <c r="K211" s="100"/>
      <c r="L211" s="100"/>
      <c r="M211" s="100"/>
      <c r="N211" s="102"/>
      <c r="O211" s="103"/>
      <c r="P211" s="105"/>
    </row>
    <row r="212" spans="1:16" x14ac:dyDescent="0.3">
      <c r="A212" s="97" t="e">
        <f>'Cover Page'!$D$5</f>
        <v>#N/A</v>
      </c>
      <c r="B212" s="98" t="str">
        <f>IFERROR(VLOOKUP(A212,'District Codes'!D:F,3,FALSE),"")</f>
        <v/>
      </c>
      <c r="C212" s="99" t="str">
        <f>IFERROR(VLOOKUP(A212,'District Codes'!A:B,2,FALSE),"")</f>
        <v/>
      </c>
      <c r="D212" s="104"/>
      <c r="E212" s="203" t="str">
        <f>IFERROR(VLOOKUP(D212, 'School Codes'!D:E,2,FALSE),"")</f>
        <v/>
      </c>
      <c r="F212" s="100"/>
      <c r="G212" s="100"/>
      <c r="H212" s="100"/>
      <c r="I212" s="101"/>
      <c r="J212" s="100"/>
      <c r="K212" s="100"/>
      <c r="L212" s="100"/>
      <c r="M212" s="100"/>
      <c r="N212" s="102"/>
      <c r="O212" s="103"/>
      <c r="P212" s="105"/>
    </row>
    <row r="213" spans="1:16" x14ac:dyDescent="0.3">
      <c r="A213" s="97" t="e">
        <f>'Cover Page'!$D$5</f>
        <v>#N/A</v>
      </c>
      <c r="B213" s="98" t="str">
        <f>IFERROR(VLOOKUP(A213,'District Codes'!D:F,3,FALSE),"")</f>
        <v/>
      </c>
      <c r="C213" s="99" t="str">
        <f>IFERROR(VLOOKUP(A213,'District Codes'!A:B,2,FALSE),"")</f>
        <v/>
      </c>
      <c r="D213" s="104"/>
      <c r="E213" s="203" t="str">
        <f>IFERROR(VLOOKUP(D213, 'School Codes'!D:E,2,FALSE),"")</f>
        <v/>
      </c>
      <c r="F213" s="100"/>
      <c r="G213" s="100"/>
      <c r="H213" s="100"/>
      <c r="I213" s="100"/>
      <c r="J213" s="100"/>
      <c r="K213" s="100"/>
      <c r="L213" s="100"/>
      <c r="M213" s="100"/>
      <c r="N213" s="102"/>
      <c r="O213" s="103"/>
      <c r="P213" s="105"/>
    </row>
    <row r="214" spans="1:16" x14ac:dyDescent="0.3">
      <c r="A214" s="97" t="e">
        <f>'Cover Page'!$D$5</f>
        <v>#N/A</v>
      </c>
      <c r="B214" s="98" t="str">
        <f>IFERROR(VLOOKUP(A214,'District Codes'!D:F,3,FALSE),"")</f>
        <v/>
      </c>
      <c r="C214" s="99" t="str">
        <f>IFERROR(VLOOKUP(A214,'District Codes'!A:B,2,FALSE),"")</f>
        <v/>
      </c>
      <c r="D214" s="104"/>
      <c r="E214" s="203" t="str">
        <f>IFERROR(VLOOKUP(D214, 'School Codes'!D:E,2,FALSE),"")</f>
        <v/>
      </c>
      <c r="F214" s="100"/>
      <c r="G214" s="100"/>
      <c r="H214" s="100"/>
      <c r="I214" s="100"/>
      <c r="J214" s="100"/>
      <c r="K214" s="100"/>
      <c r="L214" s="100"/>
      <c r="M214" s="100"/>
      <c r="N214" s="102"/>
      <c r="O214" s="103"/>
      <c r="P214" s="105"/>
    </row>
    <row r="215" spans="1:16" x14ac:dyDescent="0.3">
      <c r="A215" s="97" t="e">
        <f>'Cover Page'!$D$5</f>
        <v>#N/A</v>
      </c>
      <c r="B215" s="98" t="str">
        <f>IFERROR(VLOOKUP(A215,'District Codes'!D:F,3,FALSE),"")</f>
        <v/>
      </c>
      <c r="C215" s="99" t="str">
        <f>IFERROR(VLOOKUP(A215,'District Codes'!A:B,2,FALSE),"")</f>
        <v/>
      </c>
      <c r="D215" s="104"/>
      <c r="E215" s="203" t="str">
        <f>IFERROR(VLOOKUP(D215, 'School Codes'!D:E,2,FALSE),"")</f>
        <v/>
      </c>
      <c r="F215" s="100"/>
      <c r="G215" s="100"/>
      <c r="H215" s="100"/>
      <c r="I215" s="100"/>
      <c r="J215" s="100"/>
      <c r="K215" s="100"/>
      <c r="L215" s="100"/>
      <c r="M215" s="100"/>
      <c r="N215" s="102"/>
      <c r="O215" s="103"/>
      <c r="P215" s="105"/>
    </row>
    <row r="216" spans="1:16" x14ac:dyDescent="0.3">
      <c r="A216" s="97" t="e">
        <f>'Cover Page'!$D$5</f>
        <v>#N/A</v>
      </c>
      <c r="B216" s="98" t="str">
        <f>IFERROR(VLOOKUP(A216,'District Codes'!D:F,3,FALSE),"")</f>
        <v/>
      </c>
      <c r="C216" s="99" t="str">
        <f>IFERROR(VLOOKUP(A216,'District Codes'!A:B,2,FALSE),"")</f>
        <v/>
      </c>
      <c r="D216" s="104"/>
      <c r="E216" s="203" t="str">
        <f>IFERROR(VLOOKUP(D216, 'School Codes'!D:E,2,FALSE),"")</f>
        <v/>
      </c>
      <c r="F216" s="100"/>
      <c r="G216" s="100"/>
      <c r="H216" s="100"/>
      <c r="I216" s="100"/>
      <c r="J216" s="100"/>
      <c r="K216" s="100"/>
      <c r="L216" s="100"/>
      <c r="M216" s="100"/>
      <c r="N216" s="102"/>
      <c r="O216" s="103"/>
      <c r="P216" s="105"/>
    </row>
    <row r="217" spans="1:16" x14ac:dyDescent="0.3">
      <c r="A217" s="97" t="e">
        <f>'Cover Page'!$D$5</f>
        <v>#N/A</v>
      </c>
      <c r="B217" s="98" t="str">
        <f>IFERROR(VLOOKUP(A217,'District Codes'!D:F,3,FALSE),"")</f>
        <v/>
      </c>
      <c r="C217" s="99" t="str">
        <f>IFERROR(VLOOKUP(A217,'District Codes'!A:B,2,FALSE),"")</f>
        <v/>
      </c>
      <c r="D217" s="104"/>
      <c r="E217" s="203" t="str">
        <f>IFERROR(VLOOKUP(D217, 'School Codes'!D:E,2,FALSE),"")</f>
        <v/>
      </c>
      <c r="F217" s="100"/>
      <c r="G217" s="100"/>
      <c r="H217" s="100"/>
      <c r="I217" s="100"/>
      <c r="J217" s="100"/>
      <c r="K217" s="100"/>
      <c r="L217" s="100"/>
      <c r="M217" s="100"/>
      <c r="N217" s="102"/>
      <c r="O217" s="103"/>
      <c r="P217" s="105"/>
    </row>
    <row r="218" spans="1:16" x14ac:dyDescent="0.3">
      <c r="A218" s="97" t="e">
        <f>'Cover Page'!$D$5</f>
        <v>#N/A</v>
      </c>
      <c r="B218" s="98" t="str">
        <f>IFERROR(VLOOKUP(A218,'District Codes'!D:F,3,FALSE),"")</f>
        <v/>
      </c>
      <c r="C218" s="99" t="str">
        <f>IFERROR(VLOOKUP(A218,'District Codes'!A:B,2,FALSE),"")</f>
        <v/>
      </c>
      <c r="D218" s="104"/>
      <c r="E218" s="203" t="str">
        <f>IFERROR(VLOOKUP(D218, 'School Codes'!D:E,2,FALSE),"")</f>
        <v/>
      </c>
      <c r="F218" s="100"/>
      <c r="G218" s="100"/>
      <c r="H218" s="100"/>
      <c r="I218" s="100"/>
      <c r="J218" s="100"/>
      <c r="K218" s="100"/>
      <c r="L218" s="100"/>
      <c r="M218" s="100"/>
      <c r="N218" s="102"/>
      <c r="O218" s="103"/>
      <c r="P218" s="105"/>
    </row>
    <row r="219" spans="1:16" x14ac:dyDescent="0.3">
      <c r="A219" s="97" t="e">
        <f>'Cover Page'!$D$5</f>
        <v>#N/A</v>
      </c>
      <c r="B219" s="98" t="str">
        <f>IFERROR(VLOOKUP(A219,'District Codes'!D:F,3,FALSE),"")</f>
        <v/>
      </c>
      <c r="C219" s="99" t="str">
        <f>IFERROR(VLOOKUP(A219,'District Codes'!A:B,2,FALSE),"")</f>
        <v/>
      </c>
      <c r="D219" s="104"/>
      <c r="E219" s="203" t="str">
        <f>IFERROR(VLOOKUP(D219, 'School Codes'!D:E,2,FALSE),"")</f>
        <v/>
      </c>
      <c r="F219" s="100"/>
      <c r="G219" s="100"/>
      <c r="H219" s="100"/>
      <c r="I219" s="100"/>
      <c r="J219" s="100"/>
      <c r="K219" s="100"/>
      <c r="L219" s="100"/>
      <c r="M219" s="100"/>
      <c r="N219" s="102"/>
      <c r="O219" s="103"/>
      <c r="P219" s="105"/>
    </row>
    <row r="220" spans="1:16" x14ac:dyDescent="0.3">
      <c r="A220" s="97" t="e">
        <f>'Cover Page'!$D$5</f>
        <v>#N/A</v>
      </c>
      <c r="B220" s="98" t="str">
        <f>IFERROR(VLOOKUP(A220,'District Codes'!D:F,3,FALSE),"")</f>
        <v/>
      </c>
      <c r="C220" s="99" t="str">
        <f>IFERROR(VLOOKUP(A220,'District Codes'!A:B,2,FALSE),"")</f>
        <v/>
      </c>
      <c r="D220" s="104"/>
      <c r="E220" s="203" t="str">
        <f>IFERROR(VLOOKUP(D220, 'School Codes'!D:E,2,FALSE),"")</f>
        <v/>
      </c>
      <c r="F220" s="100"/>
      <c r="G220" s="100"/>
      <c r="H220" s="100"/>
      <c r="I220" s="100"/>
      <c r="J220" s="100"/>
      <c r="K220" s="100"/>
      <c r="L220" s="100"/>
      <c r="M220" s="100"/>
      <c r="N220" s="102"/>
      <c r="O220" s="103"/>
      <c r="P220" s="105"/>
    </row>
    <row r="221" spans="1:16" x14ac:dyDescent="0.3">
      <c r="A221" s="97" t="e">
        <f>'Cover Page'!$D$5</f>
        <v>#N/A</v>
      </c>
      <c r="B221" s="98" t="str">
        <f>IFERROR(VLOOKUP(A221,'District Codes'!D:F,3,FALSE),"")</f>
        <v/>
      </c>
      <c r="C221" s="99" t="str">
        <f>IFERROR(VLOOKUP(A221,'District Codes'!A:B,2,FALSE),"")</f>
        <v/>
      </c>
      <c r="D221" s="106"/>
      <c r="E221" s="203" t="str">
        <f>IFERROR(VLOOKUP(D221, 'School Codes'!D:E,2,FALSE),"")</f>
        <v/>
      </c>
      <c r="F221" s="100"/>
      <c r="G221" s="100"/>
      <c r="H221" s="100"/>
      <c r="I221" s="100"/>
      <c r="J221" s="100"/>
      <c r="K221" s="100"/>
      <c r="L221" s="100"/>
      <c r="M221" s="100"/>
      <c r="N221" s="102"/>
      <c r="O221" s="103"/>
      <c r="P221" s="105"/>
    </row>
    <row r="222" spans="1:16" x14ac:dyDescent="0.3">
      <c r="A222" s="97" t="e">
        <f>'Cover Page'!$D$5</f>
        <v>#N/A</v>
      </c>
      <c r="B222" s="98" t="str">
        <f>IFERROR(VLOOKUP(A222,'District Codes'!D:F,3,FALSE),"")</f>
        <v/>
      </c>
      <c r="C222" s="99" t="str">
        <f>IFERROR(VLOOKUP(A222,'District Codes'!A:B,2,FALSE),"")</f>
        <v/>
      </c>
      <c r="D222" s="106"/>
      <c r="E222" s="203" t="str">
        <f>IFERROR(VLOOKUP(D222, 'School Codes'!D:E,2,FALSE),"")</f>
        <v/>
      </c>
      <c r="F222" s="100"/>
      <c r="G222" s="100"/>
      <c r="H222" s="100"/>
      <c r="I222" s="100"/>
      <c r="J222" s="100"/>
      <c r="K222" s="100"/>
      <c r="L222" s="100"/>
      <c r="M222" s="100"/>
      <c r="N222" s="102"/>
      <c r="O222" s="103"/>
      <c r="P222" s="105"/>
    </row>
    <row r="223" spans="1:16" x14ac:dyDescent="0.3">
      <c r="A223" s="97" t="e">
        <f>'Cover Page'!$D$5</f>
        <v>#N/A</v>
      </c>
      <c r="B223" s="98" t="str">
        <f>IFERROR(VLOOKUP(A223,'District Codes'!D:F,3,FALSE),"")</f>
        <v/>
      </c>
      <c r="C223" s="99" t="str">
        <f>IFERROR(VLOOKUP(A223,'District Codes'!A:B,2,FALSE),"")</f>
        <v/>
      </c>
      <c r="D223" s="106"/>
      <c r="E223" s="203" t="str">
        <f>IFERROR(VLOOKUP(D223, 'School Codes'!D:E,2,FALSE),"")</f>
        <v/>
      </c>
      <c r="F223" s="100"/>
      <c r="G223" s="100"/>
      <c r="H223" s="100"/>
      <c r="I223" s="100"/>
      <c r="J223" s="100"/>
      <c r="K223" s="100"/>
      <c r="L223" s="100"/>
      <c r="M223" s="100"/>
      <c r="N223" s="102"/>
      <c r="O223" s="103"/>
      <c r="P223" s="105"/>
    </row>
    <row r="224" spans="1:16" ht="14.4" thickBot="1" x14ac:dyDescent="0.35">
      <c r="A224" s="97" t="e">
        <f>'Cover Page'!$D$5</f>
        <v>#N/A</v>
      </c>
      <c r="B224" s="98" t="str">
        <f>IFERROR(VLOOKUP(A224,'District Codes'!D:F,3,FALSE),"")</f>
        <v/>
      </c>
      <c r="C224" s="99" t="str">
        <f>IFERROR(VLOOKUP(A224,'District Codes'!A:B,2,FALSE),"")</f>
        <v/>
      </c>
      <c r="D224" s="104"/>
      <c r="E224" s="203" t="str">
        <f>IFERROR(VLOOKUP(D224, 'School Codes'!D:E,2,FALSE),"")</f>
        <v/>
      </c>
      <c r="F224" s="100"/>
      <c r="G224" s="100"/>
      <c r="H224" s="100"/>
      <c r="I224" s="100"/>
      <c r="J224" s="100"/>
      <c r="K224" s="100"/>
      <c r="L224" s="100"/>
      <c r="M224" s="100"/>
      <c r="N224" s="102"/>
      <c r="O224" s="103"/>
      <c r="P224" s="105"/>
    </row>
    <row r="225" spans="1:16" x14ac:dyDescent="0.3">
      <c r="A225" s="97" t="e">
        <f>'Cover Page'!$D$5</f>
        <v>#N/A</v>
      </c>
      <c r="B225" s="98" t="str">
        <f>IFERROR(VLOOKUP(A225,'District Codes'!D:F,3,FALSE),"")</f>
        <v/>
      </c>
      <c r="C225" s="99" t="str">
        <f>IFERROR(VLOOKUP(A225,'District Codes'!A:B,2,FALSE),"")</f>
        <v/>
      </c>
      <c r="D225" s="104"/>
      <c r="E225" s="203" t="str">
        <f>IFERROR(VLOOKUP(D225, 'School Codes'!D:E,2,FALSE),"")</f>
        <v/>
      </c>
      <c r="F225" s="100"/>
      <c r="G225" s="100"/>
      <c r="H225" s="100"/>
      <c r="I225" s="101"/>
      <c r="J225" s="100"/>
      <c r="K225" s="100"/>
      <c r="L225" s="100"/>
      <c r="M225" s="100"/>
      <c r="N225" s="102"/>
      <c r="O225" s="103"/>
      <c r="P225" s="105"/>
    </row>
    <row r="226" spans="1:16" x14ac:dyDescent="0.3">
      <c r="A226" s="97" t="e">
        <f>'Cover Page'!$D$5</f>
        <v>#N/A</v>
      </c>
      <c r="B226" s="98" t="str">
        <f>IFERROR(VLOOKUP(A226,'District Codes'!D:F,3,FALSE),"")</f>
        <v/>
      </c>
      <c r="C226" s="99" t="str">
        <f>IFERROR(VLOOKUP(A226,'District Codes'!A:B,2,FALSE),"")</f>
        <v/>
      </c>
      <c r="D226" s="104"/>
      <c r="E226" s="203" t="str">
        <f>IFERROR(VLOOKUP(D226, 'School Codes'!D:E,2,FALSE),"")</f>
        <v/>
      </c>
      <c r="F226" s="100"/>
      <c r="G226" s="100"/>
      <c r="H226" s="100"/>
      <c r="I226" s="100"/>
      <c r="J226" s="100"/>
      <c r="K226" s="100"/>
      <c r="L226" s="100"/>
      <c r="M226" s="100"/>
      <c r="N226" s="102"/>
      <c r="O226" s="103"/>
      <c r="P226" s="105"/>
    </row>
    <row r="227" spans="1:16" x14ac:dyDescent="0.3">
      <c r="A227" s="97" t="e">
        <f>'Cover Page'!$D$5</f>
        <v>#N/A</v>
      </c>
      <c r="B227" s="98" t="str">
        <f>IFERROR(VLOOKUP(A227,'District Codes'!D:F,3,FALSE),"")</f>
        <v/>
      </c>
      <c r="C227" s="99" t="str">
        <f>IFERROR(VLOOKUP(A227,'District Codes'!A:B,2,FALSE),"")</f>
        <v/>
      </c>
      <c r="D227" s="104"/>
      <c r="E227" s="203" t="str">
        <f>IFERROR(VLOOKUP(D227, 'School Codes'!D:E,2,FALSE),"")</f>
        <v/>
      </c>
      <c r="F227" s="100"/>
      <c r="G227" s="100"/>
      <c r="H227" s="100"/>
      <c r="I227" s="100"/>
      <c r="J227" s="100"/>
      <c r="K227" s="100"/>
      <c r="L227" s="100"/>
      <c r="M227" s="100"/>
      <c r="N227" s="102"/>
      <c r="O227" s="103"/>
      <c r="P227" s="105"/>
    </row>
    <row r="228" spans="1:16" x14ac:dyDescent="0.3">
      <c r="A228" s="97" t="e">
        <f>'Cover Page'!$D$5</f>
        <v>#N/A</v>
      </c>
      <c r="B228" s="98" t="str">
        <f>IFERROR(VLOOKUP(A228,'District Codes'!D:F,3,FALSE),"")</f>
        <v/>
      </c>
      <c r="C228" s="99" t="str">
        <f>IFERROR(VLOOKUP(A228,'District Codes'!A:B,2,FALSE),"")</f>
        <v/>
      </c>
      <c r="D228" s="104"/>
      <c r="E228" s="203" t="str">
        <f>IFERROR(VLOOKUP(D228, 'School Codes'!D:E,2,FALSE),"")</f>
        <v/>
      </c>
      <c r="F228" s="100"/>
      <c r="G228" s="100"/>
      <c r="H228" s="100"/>
      <c r="I228" s="100"/>
      <c r="J228" s="100"/>
      <c r="K228" s="100"/>
      <c r="L228" s="100"/>
      <c r="M228" s="100"/>
      <c r="N228" s="102"/>
      <c r="O228" s="103"/>
      <c r="P228" s="105"/>
    </row>
    <row r="229" spans="1:16" x14ac:dyDescent="0.3">
      <c r="A229" s="97" t="e">
        <f>'Cover Page'!$D$5</f>
        <v>#N/A</v>
      </c>
      <c r="B229" s="98" t="str">
        <f>IFERROR(VLOOKUP(A229,'District Codes'!D:F,3,FALSE),"")</f>
        <v/>
      </c>
      <c r="C229" s="99" t="str">
        <f>IFERROR(VLOOKUP(A229,'District Codes'!A:B,2,FALSE),"")</f>
        <v/>
      </c>
      <c r="D229" s="104"/>
      <c r="E229" s="203" t="str">
        <f>IFERROR(VLOOKUP(D229, 'School Codes'!D:E,2,FALSE),"")</f>
        <v/>
      </c>
      <c r="F229" s="100"/>
      <c r="G229" s="100"/>
      <c r="H229" s="100"/>
      <c r="I229" s="100"/>
      <c r="J229" s="100"/>
      <c r="K229" s="100"/>
      <c r="L229" s="100"/>
      <c r="M229" s="100"/>
      <c r="N229" s="102"/>
      <c r="O229" s="103"/>
      <c r="P229" s="105"/>
    </row>
    <row r="230" spans="1:16" x14ac:dyDescent="0.3">
      <c r="A230" s="97" t="e">
        <f>'Cover Page'!$D$5</f>
        <v>#N/A</v>
      </c>
      <c r="B230" s="98" t="str">
        <f>IFERROR(VLOOKUP(A230,'District Codes'!D:F,3,FALSE),"")</f>
        <v/>
      </c>
      <c r="C230" s="99" t="str">
        <f>IFERROR(VLOOKUP(A230,'District Codes'!A:B,2,FALSE),"")</f>
        <v/>
      </c>
      <c r="D230" s="104"/>
      <c r="E230" s="203" t="str">
        <f>IFERROR(VLOOKUP(D230, 'School Codes'!D:E,2,FALSE),"")</f>
        <v/>
      </c>
      <c r="F230" s="100"/>
      <c r="G230" s="100"/>
      <c r="H230" s="100"/>
      <c r="I230" s="100"/>
      <c r="J230" s="100"/>
      <c r="K230" s="100"/>
      <c r="L230" s="100"/>
      <c r="M230" s="100"/>
      <c r="N230" s="102"/>
      <c r="O230" s="103"/>
      <c r="P230" s="105"/>
    </row>
    <row r="231" spans="1:16" x14ac:dyDescent="0.3">
      <c r="A231" s="97" t="e">
        <f>'Cover Page'!$D$5</f>
        <v>#N/A</v>
      </c>
      <c r="B231" s="98" t="str">
        <f>IFERROR(VLOOKUP(A231,'District Codes'!D:F,3,FALSE),"")</f>
        <v/>
      </c>
      <c r="C231" s="99" t="str">
        <f>IFERROR(VLOOKUP(A231,'District Codes'!A:B,2,FALSE),"")</f>
        <v/>
      </c>
      <c r="D231" s="104"/>
      <c r="E231" s="203" t="str">
        <f>IFERROR(VLOOKUP(D231, 'School Codes'!D:E,2,FALSE),"")</f>
        <v/>
      </c>
      <c r="F231" s="100"/>
      <c r="G231" s="100"/>
      <c r="H231" s="100"/>
      <c r="I231" s="100"/>
      <c r="J231" s="100"/>
      <c r="K231" s="100"/>
      <c r="L231" s="100"/>
      <c r="M231" s="100"/>
      <c r="N231" s="102"/>
      <c r="O231" s="103"/>
      <c r="P231" s="105"/>
    </row>
    <row r="232" spans="1:16" x14ac:dyDescent="0.3">
      <c r="A232" s="97" t="e">
        <f>'Cover Page'!$D$5</f>
        <v>#N/A</v>
      </c>
      <c r="B232" s="98" t="str">
        <f>IFERROR(VLOOKUP(A232,'District Codes'!D:F,3,FALSE),"")</f>
        <v/>
      </c>
      <c r="C232" s="99" t="str">
        <f>IFERROR(VLOOKUP(A232,'District Codes'!A:B,2,FALSE),"")</f>
        <v/>
      </c>
      <c r="D232" s="104"/>
      <c r="E232" s="203" t="str">
        <f>IFERROR(VLOOKUP(D232, 'School Codes'!D:E,2,FALSE),"")</f>
        <v/>
      </c>
      <c r="F232" s="100"/>
      <c r="G232" s="100"/>
      <c r="H232" s="100"/>
      <c r="I232" s="100"/>
      <c r="J232" s="100"/>
      <c r="K232" s="100"/>
      <c r="L232" s="100"/>
      <c r="M232" s="100"/>
      <c r="N232" s="102"/>
      <c r="O232" s="103"/>
      <c r="P232" s="105"/>
    </row>
    <row r="233" spans="1:16" x14ac:dyDescent="0.3">
      <c r="A233" s="97" t="e">
        <f>'Cover Page'!$D$5</f>
        <v>#N/A</v>
      </c>
      <c r="B233" s="98" t="str">
        <f>IFERROR(VLOOKUP(A233,'District Codes'!D:F,3,FALSE),"")</f>
        <v/>
      </c>
      <c r="C233" s="99" t="str">
        <f>IFERROR(VLOOKUP(A233,'District Codes'!A:B,2,FALSE),"")</f>
        <v/>
      </c>
      <c r="D233" s="104"/>
      <c r="E233" s="203" t="str">
        <f>IFERROR(VLOOKUP(D233, 'School Codes'!D:E,2,FALSE),"")</f>
        <v/>
      </c>
      <c r="F233" s="100"/>
      <c r="G233" s="100"/>
      <c r="H233" s="100"/>
      <c r="I233" s="100"/>
      <c r="J233" s="100"/>
      <c r="K233" s="100"/>
      <c r="L233" s="100"/>
      <c r="M233" s="100"/>
      <c r="N233" s="102"/>
      <c r="O233" s="103"/>
      <c r="P233" s="105"/>
    </row>
    <row r="234" spans="1:16" x14ac:dyDescent="0.3">
      <c r="A234" s="97" t="e">
        <f>'Cover Page'!$D$5</f>
        <v>#N/A</v>
      </c>
      <c r="B234" s="98" t="str">
        <f>IFERROR(VLOOKUP(A234,'District Codes'!D:F,3,FALSE),"")</f>
        <v/>
      </c>
      <c r="C234" s="99" t="str">
        <f>IFERROR(VLOOKUP(A234,'District Codes'!A:B,2,FALSE),"")</f>
        <v/>
      </c>
      <c r="D234" s="106"/>
      <c r="E234" s="203" t="str">
        <f>IFERROR(VLOOKUP(D234, 'School Codes'!D:E,2,FALSE),"")</f>
        <v/>
      </c>
      <c r="F234" s="100"/>
      <c r="G234" s="100"/>
      <c r="H234" s="100"/>
      <c r="I234" s="100"/>
      <c r="J234" s="100"/>
      <c r="K234" s="100"/>
      <c r="L234" s="100"/>
      <c r="M234" s="100"/>
      <c r="N234" s="102"/>
      <c r="O234" s="103"/>
      <c r="P234" s="105"/>
    </row>
    <row r="235" spans="1:16" x14ac:dyDescent="0.3">
      <c r="A235" s="97" t="e">
        <f>'Cover Page'!$D$5</f>
        <v>#N/A</v>
      </c>
      <c r="B235" s="98" t="str">
        <f>IFERROR(VLOOKUP(A235,'District Codes'!D:F,3,FALSE),"")</f>
        <v/>
      </c>
      <c r="C235" s="99" t="str">
        <f>IFERROR(VLOOKUP(A235,'District Codes'!A:B,2,FALSE),"")</f>
        <v/>
      </c>
      <c r="D235" s="106"/>
      <c r="E235" s="203" t="str">
        <f>IFERROR(VLOOKUP(D235, 'School Codes'!D:E,2,FALSE),"")</f>
        <v/>
      </c>
      <c r="F235" s="100"/>
      <c r="G235" s="100"/>
      <c r="H235" s="100"/>
      <c r="I235" s="100"/>
      <c r="J235" s="100"/>
      <c r="K235" s="100"/>
      <c r="L235" s="100"/>
      <c r="M235" s="100"/>
      <c r="N235" s="102"/>
      <c r="O235" s="103"/>
      <c r="P235" s="105"/>
    </row>
    <row r="236" spans="1:16" x14ac:dyDescent="0.3">
      <c r="A236" s="97" t="e">
        <f>'Cover Page'!$D$5</f>
        <v>#N/A</v>
      </c>
      <c r="B236" s="98" t="str">
        <f>IFERROR(VLOOKUP(A236,'District Codes'!D:F,3,FALSE),"")</f>
        <v/>
      </c>
      <c r="C236" s="99" t="str">
        <f>IFERROR(VLOOKUP(A236,'District Codes'!A:B,2,FALSE),"")</f>
        <v/>
      </c>
      <c r="D236" s="106"/>
      <c r="E236" s="203" t="str">
        <f>IFERROR(VLOOKUP(D236, 'School Codes'!D:E,2,FALSE),"")</f>
        <v/>
      </c>
      <c r="F236" s="100"/>
      <c r="G236" s="100"/>
      <c r="H236" s="100"/>
      <c r="I236" s="100"/>
      <c r="J236" s="100"/>
      <c r="K236" s="100"/>
      <c r="L236" s="100"/>
      <c r="M236" s="100"/>
      <c r="N236" s="102"/>
      <c r="O236" s="103"/>
      <c r="P236" s="105"/>
    </row>
    <row r="237" spans="1:16" ht="14.4" thickBot="1" x14ac:dyDescent="0.35">
      <c r="A237" s="97" t="e">
        <f>'Cover Page'!$D$5</f>
        <v>#N/A</v>
      </c>
      <c r="B237" s="98" t="str">
        <f>IFERROR(VLOOKUP(A237,'District Codes'!D:F,3,FALSE),"")</f>
        <v/>
      </c>
      <c r="C237" s="99" t="str">
        <f>IFERROR(VLOOKUP(A237,'District Codes'!A:B,2,FALSE),"")</f>
        <v/>
      </c>
      <c r="D237" s="104"/>
      <c r="E237" s="203" t="str">
        <f>IFERROR(VLOOKUP(D237, 'School Codes'!D:E,2,FALSE),"")</f>
        <v/>
      </c>
      <c r="F237" s="100"/>
      <c r="G237" s="100"/>
      <c r="H237" s="100"/>
      <c r="I237" s="100"/>
      <c r="J237" s="100"/>
      <c r="K237" s="100"/>
      <c r="L237" s="100"/>
      <c r="M237" s="100"/>
      <c r="N237" s="102"/>
      <c r="O237" s="103"/>
      <c r="P237" s="105"/>
    </row>
    <row r="238" spans="1:16" x14ac:dyDescent="0.3">
      <c r="A238" s="97" t="e">
        <f>'Cover Page'!$D$5</f>
        <v>#N/A</v>
      </c>
      <c r="B238" s="98" t="str">
        <f>IFERROR(VLOOKUP(A238,'District Codes'!D:F,3,FALSE),"")</f>
        <v/>
      </c>
      <c r="C238" s="99" t="str">
        <f>IFERROR(VLOOKUP(A238,'District Codes'!A:B,2,FALSE),"")</f>
        <v/>
      </c>
      <c r="D238" s="104"/>
      <c r="E238" s="203" t="str">
        <f>IFERROR(VLOOKUP(D238, 'School Codes'!D:E,2,FALSE),"")</f>
        <v/>
      </c>
      <c r="F238" s="100"/>
      <c r="G238" s="100"/>
      <c r="H238" s="100"/>
      <c r="I238" s="101"/>
      <c r="J238" s="100"/>
      <c r="K238" s="100"/>
      <c r="L238" s="100"/>
      <c r="M238" s="100"/>
      <c r="N238" s="102"/>
      <c r="O238" s="103"/>
      <c r="P238" s="105"/>
    </row>
    <row r="239" spans="1:16" x14ac:dyDescent="0.3">
      <c r="A239" s="97" t="e">
        <f>'Cover Page'!$D$5</f>
        <v>#N/A</v>
      </c>
      <c r="B239" s="98" t="str">
        <f>IFERROR(VLOOKUP(A239,'District Codes'!D:F,3,FALSE),"")</f>
        <v/>
      </c>
      <c r="C239" s="99" t="str">
        <f>IFERROR(VLOOKUP(A239,'District Codes'!A:B,2,FALSE),"")</f>
        <v/>
      </c>
      <c r="D239" s="104"/>
      <c r="E239" s="203" t="str">
        <f>IFERROR(VLOOKUP(D239, 'School Codes'!D:E,2,FALSE),"")</f>
        <v/>
      </c>
      <c r="F239" s="100"/>
      <c r="G239" s="100"/>
      <c r="H239" s="100"/>
      <c r="I239" s="100"/>
      <c r="J239" s="100"/>
      <c r="K239" s="100"/>
      <c r="L239" s="100"/>
      <c r="M239" s="100"/>
      <c r="N239" s="102"/>
      <c r="O239" s="103"/>
      <c r="P239" s="105"/>
    </row>
    <row r="240" spans="1:16" x14ac:dyDescent="0.3">
      <c r="A240" s="97" t="e">
        <f>'Cover Page'!$D$5</f>
        <v>#N/A</v>
      </c>
      <c r="B240" s="98" t="str">
        <f>IFERROR(VLOOKUP(A240,'District Codes'!D:F,3,FALSE),"")</f>
        <v/>
      </c>
      <c r="C240" s="99" t="str">
        <f>IFERROR(VLOOKUP(A240,'District Codes'!A:B,2,FALSE),"")</f>
        <v/>
      </c>
      <c r="D240" s="104"/>
      <c r="E240" s="203" t="str">
        <f>IFERROR(VLOOKUP(D240, 'School Codes'!D:E,2,FALSE),"")</f>
        <v/>
      </c>
      <c r="F240" s="100"/>
      <c r="G240" s="100"/>
      <c r="H240" s="100"/>
      <c r="I240" s="100"/>
      <c r="J240" s="100"/>
      <c r="K240" s="100"/>
      <c r="L240" s="100"/>
      <c r="M240" s="100"/>
      <c r="N240" s="102"/>
      <c r="O240" s="103"/>
      <c r="P240" s="105"/>
    </row>
    <row r="241" spans="1:16" x14ac:dyDescent="0.3">
      <c r="A241" s="97" t="e">
        <f>'Cover Page'!$D$5</f>
        <v>#N/A</v>
      </c>
      <c r="B241" s="98" t="str">
        <f>IFERROR(VLOOKUP(A241,'District Codes'!D:F,3,FALSE),"")</f>
        <v/>
      </c>
      <c r="C241" s="99" t="str">
        <f>IFERROR(VLOOKUP(A241,'District Codes'!A:B,2,FALSE),"")</f>
        <v/>
      </c>
      <c r="D241" s="104"/>
      <c r="E241" s="203" t="str">
        <f>IFERROR(VLOOKUP(D241, 'School Codes'!D:E,2,FALSE),"")</f>
        <v/>
      </c>
      <c r="F241" s="100"/>
      <c r="G241" s="100"/>
      <c r="H241" s="100"/>
      <c r="I241" s="100"/>
      <c r="J241" s="100"/>
      <c r="K241" s="100"/>
      <c r="L241" s="100"/>
      <c r="M241" s="100"/>
      <c r="N241" s="102"/>
      <c r="O241" s="103"/>
      <c r="P241" s="105"/>
    </row>
    <row r="242" spans="1:16" x14ac:dyDescent="0.3">
      <c r="A242" s="97" t="e">
        <f>'Cover Page'!$D$5</f>
        <v>#N/A</v>
      </c>
      <c r="B242" s="98" t="str">
        <f>IFERROR(VLOOKUP(A242,'District Codes'!D:F,3,FALSE),"")</f>
        <v/>
      </c>
      <c r="C242" s="99" t="str">
        <f>IFERROR(VLOOKUP(A242,'District Codes'!A:B,2,FALSE),"")</f>
        <v/>
      </c>
      <c r="D242" s="104"/>
      <c r="E242" s="203" t="str">
        <f>IFERROR(VLOOKUP(D242, 'School Codes'!D:E,2,FALSE),"")</f>
        <v/>
      </c>
      <c r="F242" s="100"/>
      <c r="G242" s="100"/>
      <c r="H242" s="100"/>
      <c r="I242" s="100"/>
      <c r="J242" s="100"/>
      <c r="K242" s="100"/>
      <c r="L242" s="100"/>
      <c r="M242" s="100"/>
      <c r="N242" s="102"/>
      <c r="O242" s="103"/>
      <c r="P242" s="105"/>
    </row>
    <row r="243" spans="1:16" x14ac:dyDescent="0.3">
      <c r="A243" s="97" t="e">
        <f>'Cover Page'!$D$5</f>
        <v>#N/A</v>
      </c>
      <c r="B243" s="98" t="str">
        <f>IFERROR(VLOOKUP(A243,'District Codes'!D:F,3,FALSE),"")</f>
        <v/>
      </c>
      <c r="C243" s="99" t="str">
        <f>IFERROR(VLOOKUP(A243,'District Codes'!A:B,2,FALSE),"")</f>
        <v/>
      </c>
      <c r="D243" s="104"/>
      <c r="E243" s="203" t="str">
        <f>IFERROR(VLOOKUP(D243, 'School Codes'!D:E,2,FALSE),"")</f>
        <v/>
      </c>
      <c r="F243" s="100"/>
      <c r="G243" s="100"/>
      <c r="H243" s="100"/>
      <c r="I243" s="100"/>
      <c r="J243" s="100"/>
      <c r="K243" s="100"/>
      <c r="L243" s="100"/>
      <c r="M243" s="100"/>
      <c r="N243" s="102"/>
      <c r="O243" s="103"/>
      <c r="P243" s="105"/>
    </row>
    <row r="244" spans="1:16" x14ac:dyDescent="0.3">
      <c r="A244" s="97" t="e">
        <f>'Cover Page'!$D$5</f>
        <v>#N/A</v>
      </c>
      <c r="B244" s="98" t="str">
        <f>IFERROR(VLOOKUP(A244,'District Codes'!D:F,3,FALSE),"")</f>
        <v/>
      </c>
      <c r="C244" s="99" t="str">
        <f>IFERROR(VLOOKUP(A244,'District Codes'!A:B,2,FALSE),"")</f>
        <v/>
      </c>
      <c r="D244" s="104"/>
      <c r="E244" s="203" t="str">
        <f>IFERROR(VLOOKUP(D244, 'School Codes'!D:E,2,FALSE),"")</f>
        <v/>
      </c>
      <c r="F244" s="100"/>
      <c r="G244" s="100"/>
      <c r="H244" s="100"/>
      <c r="I244" s="100"/>
      <c r="J244" s="100"/>
      <c r="K244" s="100"/>
      <c r="L244" s="100"/>
      <c r="M244" s="100"/>
      <c r="N244" s="102"/>
      <c r="O244" s="103"/>
      <c r="P244" s="105"/>
    </row>
    <row r="245" spans="1:16" x14ac:dyDescent="0.3">
      <c r="A245" s="97" t="e">
        <f>'Cover Page'!$D$5</f>
        <v>#N/A</v>
      </c>
      <c r="B245" s="98" t="str">
        <f>IFERROR(VLOOKUP(A245,'District Codes'!D:F,3,FALSE),"")</f>
        <v/>
      </c>
      <c r="C245" s="99" t="str">
        <f>IFERROR(VLOOKUP(A245,'District Codes'!A:B,2,FALSE),"")</f>
        <v/>
      </c>
      <c r="D245" s="104"/>
      <c r="E245" s="203" t="str">
        <f>IFERROR(VLOOKUP(D245, 'School Codes'!D:E,2,FALSE),"")</f>
        <v/>
      </c>
      <c r="F245" s="100"/>
      <c r="G245" s="100"/>
      <c r="H245" s="100"/>
      <c r="I245" s="100"/>
      <c r="J245" s="100"/>
      <c r="K245" s="100"/>
      <c r="L245" s="100"/>
      <c r="M245" s="100"/>
      <c r="N245" s="102"/>
      <c r="O245" s="103"/>
      <c r="P245" s="105"/>
    </row>
    <row r="246" spans="1:16" x14ac:dyDescent="0.3">
      <c r="A246" s="97" t="e">
        <f>'Cover Page'!$D$5</f>
        <v>#N/A</v>
      </c>
      <c r="B246" s="98" t="str">
        <f>IFERROR(VLOOKUP(A246,'District Codes'!D:F,3,FALSE),"")</f>
        <v/>
      </c>
      <c r="C246" s="99" t="str">
        <f>IFERROR(VLOOKUP(A246,'District Codes'!A:B,2,FALSE),"")</f>
        <v/>
      </c>
      <c r="D246" s="104"/>
      <c r="E246" s="203" t="str">
        <f>IFERROR(VLOOKUP(D246, 'School Codes'!D:E,2,FALSE),"")</f>
        <v/>
      </c>
      <c r="F246" s="100"/>
      <c r="G246" s="100"/>
      <c r="H246" s="100"/>
      <c r="I246" s="100"/>
      <c r="J246" s="100"/>
      <c r="K246" s="100"/>
      <c r="L246" s="100"/>
      <c r="M246" s="100"/>
      <c r="N246" s="102"/>
      <c r="O246" s="103"/>
      <c r="P246" s="105"/>
    </row>
    <row r="247" spans="1:16" x14ac:dyDescent="0.3">
      <c r="A247" s="97" t="e">
        <f>'Cover Page'!$D$5</f>
        <v>#N/A</v>
      </c>
      <c r="B247" s="98" t="str">
        <f>IFERROR(VLOOKUP(A247,'District Codes'!D:F,3,FALSE),"")</f>
        <v/>
      </c>
      <c r="C247" s="99" t="str">
        <f>IFERROR(VLOOKUP(A247,'District Codes'!A:B,2,FALSE),"")</f>
        <v/>
      </c>
      <c r="D247" s="106"/>
      <c r="E247" s="203" t="str">
        <f>IFERROR(VLOOKUP(D247, 'School Codes'!D:E,2,FALSE),"")</f>
        <v/>
      </c>
      <c r="F247" s="100"/>
      <c r="G247" s="100"/>
      <c r="H247" s="100"/>
      <c r="I247" s="100"/>
      <c r="J247" s="100"/>
      <c r="K247" s="100"/>
      <c r="L247" s="100"/>
      <c r="M247" s="100"/>
      <c r="N247" s="102"/>
      <c r="O247" s="103"/>
      <c r="P247" s="105"/>
    </row>
    <row r="248" spans="1:16" x14ac:dyDescent="0.3">
      <c r="A248" s="97" t="e">
        <f>'Cover Page'!$D$5</f>
        <v>#N/A</v>
      </c>
      <c r="B248" s="98" t="str">
        <f>IFERROR(VLOOKUP(A248,'District Codes'!D:F,3,FALSE),"")</f>
        <v/>
      </c>
      <c r="C248" s="99" t="str">
        <f>IFERROR(VLOOKUP(A248,'District Codes'!A:B,2,FALSE),"")</f>
        <v/>
      </c>
      <c r="D248" s="106"/>
      <c r="E248" s="203" t="str">
        <f>IFERROR(VLOOKUP(D248, 'School Codes'!D:E,2,FALSE),"")</f>
        <v/>
      </c>
      <c r="F248" s="100"/>
      <c r="G248" s="100"/>
      <c r="H248" s="100"/>
      <c r="I248" s="100"/>
      <c r="J248" s="100"/>
      <c r="K248" s="100"/>
      <c r="L248" s="100"/>
      <c r="M248" s="100"/>
      <c r="N248" s="102"/>
      <c r="O248" s="103"/>
      <c r="P248" s="105"/>
    </row>
    <row r="249" spans="1:16" x14ac:dyDescent="0.3">
      <c r="A249" s="97" t="e">
        <f>'Cover Page'!$D$5</f>
        <v>#N/A</v>
      </c>
      <c r="B249" s="98" t="str">
        <f>IFERROR(VLOOKUP(A249,'District Codes'!D:F,3,FALSE),"")</f>
        <v/>
      </c>
      <c r="C249" s="99" t="str">
        <f>IFERROR(VLOOKUP(A249,'District Codes'!A:B,2,FALSE),"")</f>
        <v/>
      </c>
      <c r="D249" s="106"/>
      <c r="E249" s="203" t="str">
        <f>IFERROR(VLOOKUP(D249, 'School Codes'!D:E,2,FALSE),"")</f>
        <v/>
      </c>
      <c r="F249" s="100"/>
      <c r="G249" s="100"/>
      <c r="H249" s="100"/>
      <c r="I249" s="100"/>
      <c r="J249" s="100"/>
      <c r="K249" s="100"/>
      <c r="L249" s="100"/>
      <c r="M249" s="100"/>
      <c r="N249" s="102"/>
      <c r="O249" s="103"/>
      <c r="P249" s="105"/>
    </row>
    <row r="250" spans="1:16" ht="14.4" thickBot="1" x14ac:dyDescent="0.35">
      <c r="A250" s="97" t="e">
        <f>'Cover Page'!$D$5</f>
        <v>#N/A</v>
      </c>
      <c r="B250" s="98" t="str">
        <f>IFERROR(VLOOKUP(A250,'District Codes'!D:F,3,FALSE),"")</f>
        <v/>
      </c>
      <c r="C250" s="99" t="str">
        <f>IFERROR(VLOOKUP(A250,'District Codes'!A:B,2,FALSE),"")</f>
        <v/>
      </c>
      <c r="D250" s="104"/>
      <c r="E250" s="203" t="str">
        <f>IFERROR(VLOOKUP(D250, 'School Codes'!D:E,2,FALSE),"")</f>
        <v/>
      </c>
      <c r="F250" s="100"/>
      <c r="G250" s="100"/>
      <c r="H250" s="100"/>
      <c r="I250" s="100"/>
      <c r="J250" s="100"/>
      <c r="K250" s="100"/>
      <c r="L250" s="100"/>
      <c r="M250" s="100"/>
      <c r="N250" s="102"/>
      <c r="O250" s="103"/>
      <c r="P250" s="105"/>
    </row>
    <row r="251" spans="1:16" x14ac:dyDescent="0.3">
      <c r="A251" s="97" t="e">
        <f>'Cover Page'!$D$5</f>
        <v>#N/A</v>
      </c>
      <c r="B251" s="98" t="str">
        <f>IFERROR(VLOOKUP(A251,'District Codes'!D:F,3,FALSE),"")</f>
        <v/>
      </c>
      <c r="C251" s="99" t="str">
        <f>IFERROR(VLOOKUP(A251,'District Codes'!A:B,2,FALSE),"")</f>
        <v/>
      </c>
      <c r="D251" s="104"/>
      <c r="E251" s="203" t="str">
        <f>IFERROR(VLOOKUP(D251, 'School Codes'!D:E,2,FALSE),"")</f>
        <v/>
      </c>
      <c r="F251" s="100"/>
      <c r="G251" s="100"/>
      <c r="H251" s="100"/>
      <c r="I251" s="101"/>
      <c r="J251" s="100"/>
      <c r="K251" s="100"/>
      <c r="L251" s="100"/>
      <c r="M251" s="100"/>
      <c r="N251" s="102"/>
      <c r="O251" s="103"/>
      <c r="P251" s="105"/>
    </row>
    <row r="252" spans="1:16" x14ac:dyDescent="0.3">
      <c r="A252" s="97" t="e">
        <f>'Cover Page'!$D$5</f>
        <v>#N/A</v>
      </c>
      <c r="B252" s="98" t="str">
        <f>IFERROR(VLOOKUP(A252,'District Codes'!D:F,3,FALSE),"")</f>
        <v/>
      </c>
      <c r="C252" s="99" t="str">
        <f>IFERROR(VLOOKUP(A252,'District Codes'!A:B,2,FALSE),"")</f>
        <v/>
      </c>
      <c r="D252" s="104"/>
      <c r="E252" s="203" t="str">
        <f>IFERROR(VLOOKUP(D252, 'School Codes'!D:E,2,FALSE),"")</f>
        <v/>
      </c>
      <c r="F252" s="100"/>
      <c r="G252" s="100"/>
      <c r="H252" s="100"/>
      <c r="I252" s="100"/>
      <c r="J252" s="100"/>
      <c r="K252" s="100"/>
      <c r="L252" s="100"/>
      <c r="M252" s="100"/>
      <c r="N252" s="102"/>
      <c r="O252" s="103"/>
      <c r="P252" s="105"/>
    </row>
    <row r="253" spans="1:16" x14ac:dyDescent="0.3">
      <c r="A253" s="97" t="e">
        <f>'Cover Page'!$D$5</f>
        <v>#N/A</v>
      </c>
      <c r="B253" s="98" t="str">
        <f>IFERROR(VLOOKUP(A253,'District Codes'!D:F,3,FALSE),"")</f>
        <v/>
      </c>
      <c r="C253" s="99" t="str">
        <f>IFERROR(VLOOKUP(A253,'District Codes'!A:B,2,FALSE),"")</f>
        <v/>
      </c>
      <c r="D253" s="104"/>
      <c r="E253" s="203" t="str">
        <f>IFERROR(VLOOKUP(D253, 'School Codes'!D:E,2,FALSE),"")</f>
        <v/>
      </c>
      <c r="F253" s="100"/>
      <c r="G253" s="100"/>
      <c r="H253" s="100"/>
      <c r="I253" s="100"/>
      <c r="J253" s="100"/>
      <c r="K253" s="100"/>
      <c r="L253" s="100"/>
      <c r="M253" s="100"/>
      <c r="N253" s="102"/>
      <c r="O253" s="103"/>
      <c r="P253" s="105"/>
    </row>
    <row r="254" spans="1:16" x14ac:dyDescent="0.3">
      <c r="A254" s="97" t="e">
        <f>'Cover Page'!$D$5</f>
        <v>#N/A</v>
      </c>
      <c r="B254" s="98" t="str">
        <f>IFERROR(VLOOKUP(A254,'District Codes'!D:F,3,FALSE),"")</f>
        <v/>
      </c>
      <c r="C254" s="99" t="str">
        <f>IFERROR(VLOOKUP(A254,'District Codes'!A:B,2,FALSE),"")</f>
        <v/>
      </c>
      <c r="D254" s="104"/>
      <c r="E254" s="203" t="str">
        <f>IFERROR(VLOOKUP(D254, 'School Codes'!D:E,2,FALSE),"")</f>
        <v/>
      </c>
      <c r="F254" s="100"/>
      <c r="G254" s="100"/>
      <c r="H254" s="100"/>
      <c r="I254" s="100"/>
      <c r="J254" s="100"/>
      <c r="K254" s="100"/>
      <c r="L254" s="100"/>
      <c r="M254" s="100"/>
      <c r="N254" s="102"/>
      <c r="O254" s="103"/>
      <c r="P254" s="105"/>
    </row>
    <row r="255" spans="1:16" x14ac:dyDescent="0.3">
      <c r="A255" s="97" t="e">
        <f>'Cover Page'!$D$5</f>
        <v>#N/A</v>
      </c>
      <c r="B255" s="98" t="str">
        <f>IFERROR(VLOOKUP(A255,'District Codes'!D:F,3,FALSE),"")</f>
        <v/>
      </c>
      <c r="C255" s="99" t="str">
        <f>IFERROR(VLOOKUP(A255,'District Codes'!A:B,2,FALSE),"")</f>
        <v/>
      </c>
      <c r="D255" s="104"/>
      <c r="E255" s="203" t="str">
        <f>IFERROR(VLOOKUP(D255, 'School Codes'!D:E,2,FALSE),"")</f>
        <v/>
      </c>
      <c r="F255" s="100"/>
      <c r="G255" s="100"/>
      <c r="H255" s="100"/>
      <c r="I255" s="100"/>
      <c r="J255" s="100"/>
      <c r="K255" s="100"/>
      <c r="L255" s="100"/>
      <c r="M255" s="100"/>
      <c r="N255" s="102"/>
      <c r="O255" s="103"/>
      <c r="P255" s="105"/>
    </row>
    <row r="256" spans="1:16" x14ac:dyDescent="0.3">
      <c r="A256" s="97" t="e">
        <f>'Cover Page'!$D$5</f>
        <v>#N/A</v>
      </c>
      <c r="B256" s="98" t="str">
        <f>IFERROR(VLOOKUP(A256,'District Codes'!D:F,3,FALSE),"")</f>
        <v/>
      </c>
      <c r="C256" s="107" t="str">
        <f>IFERROR(VLOOKUP(A256,'District Codes'!A:B,2,FALSE),"")</f>
        <v/>
      </c>
      <c r="D256" s="104"/>
      <c r="E256" s="203" t="str">
        <f>IFERROR(VLOOKUP(D256, 'School Codes'!D:E,2,FALSE),"")</f>
        <v/>
      </c>
      <c r="F256" s="100"/>
      <c r="G256" s="100"/>
      <c r="H256" s="100"/>
      <c r="I256" s="100"/>
      <c r="J256" s="100"/>
      <c r="K256" s="100"/>
      <c r="L256" s="100"/>
      <c r="M256" s="100"/>
      <c r="N256" s="102"/>
      <c r="O256" s="103"/>
      <c r="P256" s="105"/>
    </row>
    <row r="257" spans="1:16" x14ac:dyDescent="0.3">
      <c r="A257" s="97" t="e">
        <f>'Cover Page'!$D$5</f>
        <v>#N/A</v>
      </c>
      <c r="B257" s="98" t="str">
        <f>IFERROR(VLOOKUP(A257,'District Codes'!D:F,3,FALSE),"")</f>
        <v/>
      </c>
      <c r="C257" s="107" t="str">
        <f>IFERROR(VLOOKUP(A257,'District Codes'!A:B,2,FALSE),"")</f>
        <v/>
      </c>
      <c r="D257" s="104"/>
      <c r="E257" s="203" t="str">
        <f>IFERROR(VLOOKUP(D257, 'School Codes'!D:E,2,FALSE),"")</f>
        <v/>
      </c>
      <c r="F257" s="100"/>
      <c r="G257" s="100"/>
      <c r="H257" s="100"/>
      <c r="I257" s="100"/>
      <c r="J257" s="100"/>
      <c r="K257" s="100"/>
      <c r="L257" s="100"/>
      <c r="M257" s="100"/>
      <c r="N257" s="102"/>
      <c r="O257" s="103"/>
      <c r="P257" s="105"/>
    </row>
    <row r="258" spans="1:16" x14ac:dyDescent="0.3">
      <c r="A258" s="97" t="e">
        <f>'Cover Page'!$D$5</f>
        <v>#N/A</v>
      </c>
      <c r="B258" s="98" t="str">
        <f>IFERROR(VLOOKUP(A258,'District Codes'!D:F,3,FALSE),"")</f>
        <v/>
      </c>
      <c r="C258" s="107" t="str">
        <f>IFERROR(VLOOKUP(A258,'District Codes'!A:B,2,FALSE),"")</f>
        <v/>
      </c>
      <c r="D258" s="104"/>
      <c r="E258" s="203" t="str">
        <f>IFERROR(VLOOKUP(D258, 'School Codes'!D:E,2,FALSE),"")</f>
        <v/>
      </c>
      <c r="F258" s="100"/>
      <c r="G258" s="100"/>
      <c r="H258" s="100"/>
      <c r="I258" s="100"/>
      <c r="J258" s="100"/>
      <c r="K258" s="100"/>
      <c r="L258" s="100"/>
      <c r="M258" s="100"/>
      <c r="N258" s="102"/>
      <c r="O258" s="103"/>
      <c r="P258" s="105"/>
    </row>
    <row r="259" spans="1:16" x14ac:dyDescent="0.3">
      <c r="A259" s="97" t="e">
        <f>'Cover Page'!$D$5</f>
        <v>#N/A</v>
      </c>
      <c r="B259" s="98" t="str">
        <f>IFERROR(VLOOKUP(A259,'District Codes'!D:F,3,FALSE),"")</f>
        <v/>
      </c>
      <c r="C259" s="107" t="str">
        <f>IFERROR(VLOOKUP(A259,'District Codes'!A:B,2,FALSE),"")</f>
        <v/>
      </c>
      <c r="D259" s="104"/>
      <c r="E259" s="203" t="str">
        <f>IFERROR(VLOOKUP(D259, 'School Codes'!D:E,2,FALSE),"")</f>
        <v/>
      </c>
      <c r="F259" s="100"/>
      <c r="G259" s="100"/>
      <c r="H259" s="100"/>
      <c r="I259" s="100"/>
      <c r="J259" s="100"/>
      <c r="K259" s="100"/>
      <c r="L259" s="100"/>
      <c r="M259" s="100"/>
      <c r="N259" s="102"/>
      <c r="O259" s="103"/>
      <c r="P259" s="105"/>
    </row>
    <row r="260" spans="1:16" x14ac:dyDescent="0.3">
      <c r="A260" s="97" t="e">
        <f>'Cover Page'!$D$5</f>
        <v>#N/A</v>
      </c>
      <c r="B260" s="98" t="str">
        <f>IFERROR(VLOOKUP(A260,'District Codes'!D:F,3,FALSE),"")</f>
        <v/>
      </c>
      <c r="C260" s="107" t="str">
        <f>IFERROR(VLOOKUP(A260,'District Codes'!A:B,2,FALSE),"")</f>
        <v/>
      </c>
      <c r="D260" s="106"/>
      <c r="E260" s="203" t="str">
        <f>IFERROR(VLOOKUP(D260, 'School Codes'!D:E,2,FALSE),"")</f>
        <v/>
      </c>
      <c r="F260" s="100"/>
      <c r="G260" s="100"/>
      <c r="H260" s="100"/>
      <c r="I260" s="100"/>
      <c r="J260" s="100"/>
      <c r="K260" s="100"/>
      <c r="L260" s="100"/>
      <c r="M260" s="100"/>
      <c r="N260" s="102"/>
      <c r="O260" s="103"/>
      <c r="P260" s="105"/>
    </row>
    <row r="261" spans="1:16" x14ac:dyDescent="0.3">
      <c r="A261" s="97" t="e">
        <f>'Cover Page'!$D$5</f>
        <v>#N/A</v>
      </c>
      <c r="B261" s="98" t="str">
        <f>IFERROR(VLOOKUP(A261,'District Codes'!D:F,3,FALSE),"")</f>
        <v/>
      </c>
      <c r="C261" s="107" t="str">
        <f>IFERROR(VLOOKUP(A261,'District Codes'!A:B,2,FALSE),"")</f>
        <v/>
      </c>
      <c r="D261" s="106"/>
      <c r="E261" s="203" t="str">
        <f>IFERROR(VLOOKUP(D261, 'School Codes'!D:E,2,FALSE),"")</f>
        <v/>
      </c>
      <c r="F261" s="100"/>
      <c r="G261" s="100"/>
      <c r="H261" s="100"/>
      <c r="I261" s="100"/>
      <c r="J261" s="100"/>
      <c r="K261" s="100"/>
      <c r="L261" s="100"/>
      <c r="M261" s="100"/>
      <c r="N261" s="102"/>
      <c r="O261" s="103"/>
      <c r="P261" s="105"/>
    </row>
    <row r="262" spans="1:16" x14ac:dyDescent="0.3">
      <c r="A262" s="97" t="e">
        <f>'Cover Page'!$D$5</f>
        <v>#N/A</v>
      </c>
      <c r="B262" s="98" t="str">
        <f>IFERROR(VLOOKUP(A262,'District Codes'!D:F,3,FALSE),"")</f>
        <v/>
      </c>
      <c r="C262" s="107" t="str">
        <f>IFERROR(VLOOKUP(A262,'District Codes'!A:B,2,FALSE),"")</f>
        <v/>
      </c>
      <c r="D262" s="106"/>
      <c r="E262" s="203" t="str">
        <f>IFERROR(VLOOKUP(D262, 'School Codes'!D:E,2,FALSE),"")</f>
        <v/>
      </c>
      <c r="F262" s="100"/>
      <c r="G262" s="100"/>
      <c r="H262" s="100"/>
      <c r="I262" s="100"/>
      <c r="J262" s="100"/>
      <c r="K262" s="100"/>
      <c r="L262" s="100"/>
      <c r="M262" s="100"/>
      <c r="N262" s="102"/>
      <c r="O262" s="103"/>
      <c r="P262" s="105"/>
    </row>
    <row r="263" spans="1:16" ht="14.4" thickBot="1" x14ac:dyDescent="0.35">
      <c r="A263" s="97" t="e">
        <f>'Cover Page'!$D$5</f>
        <v>#N/A</v>
      </c>
      <c r="B263" s="98" t="str">
        <f>IFERROR(VLOOKUP(A263,'District Codes'!D:F,3,FALSE),"")</f>
        <v/>
      </c>
      <c r="C263" s="107" t="str">
        <f>IFERROR(VLOOKUP(A263,'District Codes'!A:B,2,FALSE),"")</f>
        <v/>
      </c>
      <c r="D263" s="104"/>
      <c r="E263" s="203" t="str">
        <f>IFERROR(VLOOKUP(D263, 'School Codes'!D:E,2,FALSE),"")</f>
        <v/>
      </c>
      <c r="F263" s="100"/>
      <c r="G263" s="100"/>
      <c r="H263" s="100"/>
      <c r="I263" s="100"/>
      <c r="J263" s="100"/>
      <c r="K263" s="100"/>
      <c r="L263" s="100"/>
      <c r="M263" s="100"/>
      <c r="N263" s="102"/>
      <c r="O263" s="103"/>
      <c r="P263" s="105"/>
    </row>
    <row r="264" spans="1:16" x14ac:dyDescent="0.3">
      <c r="A264" s="97" t="e">
        <f>'Cover Page'!$D$5</f>
        <v>#N/A</v>
      </c>
      <c r="B264" s="98" t="str">
        <f>IFERROR(VLOOKUP(A264,'District Codes'!D:F,3,FALSE),"")</f>
        <v/>
      </c>
      <c r="C264" s="107" t="str">
        <f>IFERROR(VLOOKUP(A264,'District Codes'!A:B,2,FALSE),"")</f>
        <v/>
      </c>
      <c r="D264" s="104"/>
      <c r="E264" s="203" t="str">
        <f>IFERROR(VLOOKUP(D264, 'School Codes'!D:E,2,FALSE),"")</f>
        <v/>
      </c>
      <c r="F264" s="100"/>
      <c r="G264" s="100"/>
      <c r="H264" s="100"/>
      <c r="I264" s="101"/>
      <c r="J264" s="100"/>
      <c r="K264" s="100"/>
      <c r="L264" s="100"/>
      <c r="M264" s="100"/>
      <c r="N264" s="102"/>
      <c r="O264" s="103"/>
      <c r="P264" s="105"/>
    </row>
    <row r="265" spans="1:16" x14ac:dyDescent="0.3">
      <c r="A265" s="97" t="e">
        <f>'Cover Page'!$D$5</f>
        <v>#N/A</v>
      </c>
      <c r="B265" s="98" t="str">
        <f>IFERROR(VLOOKUP(A265,'District Codes'!D:F,3,FALSE),"")</f>
        <v/>
      </c>
      <c r="C265" s="107" t="str">
        <f>IFERROR(VLOOKUP(A265,'District Codes'!A:B,2,FALSE),"")</f>
        <v/>
      </c>
      <c r="D265" s="104"/>
      <c r="E265" s="203" t="str">
        <f>IFERROR(VLOOKUP(D265, 'School Codes'!D:E,2,FALSE),"")</f>
        <v/>
      </c>
      <c r="F265" s="100"/>
      <c r="G265" s="100"/>
      <c r="H265" s="100"/>
      <c r="I265" s="100"/>
      <c r="J265" s="100"/>
      <c r="K265" s="100"/>
      <c r="L265" s="100"/>
      <c r="M265" s="100"/>
      <c r="N265" s="102"/>
      <c r="O265" s="103"/>
      <c r="P265" s="105"/>
    </row>
    <row r="266" spans="1:16" x14ac:dyDescent="0.3">
      <c r="A266" s="97" t="e">
        <f>'Cover Page'!$D$5</f>
        <v>#N/A</v>
      </c>
      <c r="B266" s="98" t="str">
        <f>IFERROR(VLOOKUP(A266,'District Codes'!D:F,3,FALSE),"")</f>
        <v/>
      </c>
      <c r="C266" s="107" t="str">
        <f>IFERROR(VLOOKUP(A266,'District Codes'!A:B,2,FALSE),"")</f>
        <v/>
      </c>
      <c r="D266" s="104"/>
      <c r="E266" s="203" t="str">
        <f>IFERROR(VLOOKUP(D266, 'School Codes'!D:E,2,FALSE),"")</f>
        <v/>
      </c>
      <c r="F266" s="100"/>
      <c r="G266" s="100"/>
      <c r="H266" s="100"/>
      <c r="I266" s="100"/>
      <c r="J266" s="100"/>
      <c r="K266" s="100"/>
      <c r="L266" s="100"/>
      <c r="M266" s="100"/>
      <c r="N266" s="102"/>
      <c r="O266" s="103"/>
      <c r="P266" s="105"/>
    </row>
    <row r="267" spans="1:16" x14ac:dyDescent="0.3">
      <c r="A267" s="97" t="e">
        <f>'Cover Page'!$D$5</f>
        <v>#N/A</v>
      </c>
      <c r="B267" s="98" t="str">
        <f>IFERROR(VLOOKUP(A267,'District Codes'!D:F,3,FALSE),"")</f>
        <v/>
      </c>
      <c r="C267" s="107" t="str">
        <f>IFERROR(VLOOKUP(A267,'District Codes'!A:B,2,FALSE),"")</f>
        <v/>
      </c>
      <c r="D267" s="104"/>
      <c r="E267" s="203" t="str">
        <f>IFERROR(VLOOKUP(D267, 'School Codes'!D:E,2,FALSE),"")</f>
        <v/>
      </c>
      <c r="F267" s="100"/>
      <c r="G267" s="100"/>
      <c r="H267" s="100"/>
      <c r="I267" s="100"/>
      <c r="J267" s="100"/>
      <c r="K267" s="100"/>
      <c r="L267" s="100"/>
      <c r="M267" s="100"/>
      <c r="N267" s="102"/>
      <c r="O267" s="103"/>
      <c r="P267" s="105"/>
    </row>
    <row r="268" spans="1:16" x14ac:dyDescent="0.3">
      <c r="A268" s="97" t="e">
        <f>'Cover Page'!$D$5</f>
        <v>#N/A</v>
      </c>
      <c r="B268" s="98" t="str">
        <f>IFERROR(VLOOKUP(A268,'District Codes'!D:F,3,FALSE),"")</f>
        <v/>
      </c>
      <c r="C268" s="107" t="str">
        <f>IFERROR(VLOOKUP(A268,'District Codes'!A:B,2,FALSE),"")</f>
        <v/>
      </c>
      <c r="D268" s="104"/>
      <c r="E268" s="203" t="str">
        <f>IFERROR(VLOOKUP(D268, 'School Codes'!D:E,2,FALSE),"")</f>
        <v/>
      </c>
      <c r="F268" s="100"/>
      <c r="G268" s="100"/>
      <c r="H268" s="100"/>
      <c r="I268" s="100"/>
      <c r="J268" s="100"/>
      <c r="K268" s="100"/>
      <c r="L268" s="100"/>
      <c r="M268" s="100"/>
      <c r="N268" s="102"/>
      <c r="O268" s="103"/>
      <c r="P268" s="105"/>
    </row>
    <row r="269" spans="1:16" x14ac:dyDescent="0.3">
      <c r="A269" s="97" t="e">
        <f>'Cover Page'!$D$5</f>
        <v>#N/A</v>
      </c>
      <c r="B269" s="98" t="str">
        <f>IFERROR(VLOOKUP(A269,'District Codes'!D:F,3,FALSE),"")</f>
        <v/>
      </c>
      <c r="C269" s="107" t="str">
        <f>IFERROR(VLOOKUP(A269,'District Codes'!A:B,2,FALSE),"")</f>
        <v/>
      </c>
      <c r="D269" s="104"/>
      <c r="E269" s="203" t="str">
        <f>IFERROR(VLOOKUP(D269, 'School Codes'!D:E,2,FALSE),"")</f>
        <v/>
      </c>
      <c r="F269" s="100"/>
      <c r="G269" s="100"/>
      <c r="H269" s="100"/>
      <c r="I269" s="100"/>
      <c r="J269" s="100"/>
      <c r="K269" s="100"/>
      <c r="L269" s="100"/>
      <c r="M269" s="100"/>
      <c r="N269" s="102"/>
      <c r="O269" s="103"/>
      <c r="P269" s="105"/>
    </row>
    <row r="270" spans="1:16" x14ac:dyDescent="0.3">
      <c r="A270" s="97" t="e">
        <f>'Cover Page'!$D$5</f>
        <v>#N/A</v>
      </c>
      <c r="B270" s="98" t="str">
        <f>IFERROR(VLOOKUP(A270,'District Codes'!D:F,3,FALSE),"")</f>
        <v/>
      </c>
      <c r="C270" s="107" t="str">
        <f>IFERROR(VLOOKUP(A270,'District Codes'!A:B,2,FALSE),"")</f>
        <v/>
      </c>
      <c r="D270" s="104"/>
      <c r="E270" s="203" t="str">
        <f>IFERROR(VLOOKUP(D270, 'School Codes'!D:E,2,FALSE),"")</f>
        <v/>
      </c>
      <c r="F270" s="100"/>
      <c r="G270" s="100"/>
      <c r="H270" s="100"/>
      <c r="I270" s="100"/>
      <c r="J270" s="100"/>
      <c r="K270" s="100"/>
      <c r="L270" s="100"/>
      <c r="M270" s="100"/>
      <c r="N270" s="102"/>
      <c r="O270" s="103"/>
      <c r="P270" s="105"/>
    </row>
    <row r="271" spans="1:16" x14ac:dyDescent="0.3">
      <c r="A271" s="97" t="e">
        <f>'Cover Page'!$D$5</f>
        <v>#N/A</v>
      </c>
      <c r="B271" s="98" t="str">
        <f>IFERROR(VLOOKUP(A271,'District Codes'!D:F,3,FALSE),"")</f>
        <v/>
      </c>
      <c r="C271" s="107" t="str">
        <f>IFERROR(VLOOKUP(A271,'District Codes'!A:B,2,FALSE),"")</f>
        <v/>
      </c>
      <c r="D271" s="104"/>
      <c r="E271" s="203" t="str">
        <f>IFERROR(VLOOKUP(D271, 'School Codes'!D:E,2,FALSE),"")</f>
        <v/>
      </c>
      <c r="F271" s="100"/>
      <c r="G271" s="100"/>
      <c r="H271" s="100"/>
      <c r="I271" s="100"/>
      <c r="J271" s="100"/>
      <c r="K271" s="100"/>
      <c r="L271" s="100"/>
      <c r="M271" s="100"/>
      <c r="N271" s="102"/>
      <c r="O271" s="103"/>
      <c r="P271" s="105"/>
    </row>
    <row r="272" spans="1:16" x14ac:dyDescent="0.3">
      <c r="A272" s="97" t="e">
        <f>'Cover Page'!$D$5</f>
        <v>#N/A</v>
      </c>
      <c r="B272" s="98" t="str">
        <f>IFERROR(VLOOKUP(A272,'District Codes'!D:F,3,FALSE),"")</f>
        <v/>
      </c>
      <c r="C272" s="107" t="str">
        <f>IFERROR(VLOOKUP(A272,'District Codes'!A:B,2,FALSE),"")</f>
        <v/>
      </c>
      <c r="D272" s="104"/>
      <c r="E272" s="203" t="str">
        <f>IFERROR(VLOOKUP(D272, 'School Codes'!D:E,2,FALSE),"")</f>
        <v/>
      </c>
      <c r="F272" s="100"/>
      <c r="G272" s="100"/>
      <c r="H272" s="100"/>
      <c r="I272" s="100"/>
      <c r="J272" s="100"/>
      <c r="K272" s="100"/>
      <c r="L272" s="100"/>
      <c r="M272" s="100"/>
      <c r="N272" s="102"/>
      <c r="O272" s="103"/>
      <c r="P272" s="105"/>
    </row>
    <row r="273" spans="1:16" x14ac:dyDescent="0.3">
      <c r="A273" s="97" t="e">
        <f>'Cover Page'!$D$5</f>
        <v>#N/A</v>
      </c>
      <c r="B273" s="98" t="str">
        <f>IFERROR(VLOOKUP(A273,'District Codes'!D:F,3,FALSE),"")</f>
        <v/>
      </c>
      <c r="C273" s="107" t="str">
        <f>IFERROR(VLOOKUP(A273,'District Codes'!A:B,2,FALSE),"")</f>
        <v/>
      </c>
      <c r="D273" s="106"/>
      <c r="E273" s="203" t="str">
        <f>IFERROR(VLOOKUP(D273, 'School Codes'!D:E,2,FALSE),"")</f>
        <v/>
      </c>
      <c r="F273" s="100"/>
      <c r="G273" s="100"/>
      <c r="H273" s="100"/>
      <c r="I273" s="100"/>
      <c r="J273" s="100"/>
      <c r="K273" s="100"/>
      <c r="L273" s="100"/>
      <c r="M273" s="100"/>
      <c r="N273" s="102"/>
      <c r="O273" s="103"/>
      <c r="P273" s="105"/>
    </row>
    <row r="274" spans="1:16" x14ac:dyDescent="0.3">
      <c r="A274" s="97" t="e">
        <f>'Cover Page'!$D$5</f>
        <v>#N/A</v>
      </c>
      <c r="B274" s="98" t="str">
        <f>IFERROR(VLOOKUP(A274,'District Codes'!D:F,3,FALSE),"")</f>
        <v/>
      </c>
      <c r="C274" s="107" t="str">
        <f>IFERROR(VLOOKUP(A274,'District Codes'!A:B,2,FALSE),"")</f>
        <v/>
      </c>
      <c r="D274" s="106"/>
      <c r="E274" s="203" t="str">
        <f>IFERROR(VLOOKUP(D274, 'School Codes'!D:E,2,FALSE),"")</f>
        <v/>
      </c>
      <c r="F274" s="100"/>
      <c r="G274" s="100"/>
      <c r="H274" s="100"/>
      <c r="I274" s="100"/>
      <c r="J274" s="100"/>
      <c r="K274" s="100"/>
      <c r="L274" s="100"/>
      <c r="M274" s="100"/>
      <c r="N274" s="102"/>
      <c r="O274" s="103"/>
      <c r="P274" s="105"/>
    </row>
    <row r="275" spans="1:16" x14ac:dyDescent="0.3">
      <c r="A275" s="97" t="e">
        <f>'Cover Page'!$D$5</f>
        <v>#N/A</v>
      </c>
      <c r="B275" s="98" t="str">
        <f>IFERROR(VLOOKUP(A275,'District Codes'!D:F,3,FALSE),"")</f>
        <v/>
      </c>
      <c r="C275" s="107" t="str">
        <f>IFERROR(VLOOKUP(A275,'District Codes'!A:B,2,FALSE),"")</f>
        <v/>
      </c>
      <c r="D275" s="106"/>
      <c r="E275" s="203" t="str">
        <f>IFERROR(VLOOKUP(D275, 'School Codes'!D:E,2,FALSE),"")</f>
        <v/>
      </c>
      <c r="F275" s="100"/>
      <c r="G275" s="100"/>
      <c r="H275" s="100"/>
      <c r="I275" s="100"/>
      <c r="J275" s="100"/>
      <c r="K275" s="100"/>
      <c r="L275" s="100"/>
      <c r="M275" s="100"/>
      <c r="N275" s="102"/>
      <c r="O275" s="103"/>
      <c r="P275" s="105"/>
    </row>
    <row r="276" spans="1:16" ht="14.4" thickBot="1" x14ac:dyDescent="0.35">
      <c r="A276" s="97" t="e">
        <f>'Cover Page'!$D$5</f>
        <v>#N/A</v>
      </c>
      <c r="B276" s="98" t="str">
        <f>IFERROR(VLOOKUP(A276,'District Codes'!D:F,3,FALSE),"")</f>
        <v/>
      </c>
      <c r="C276" s="107" t="str">
        <f>IFERROR(VLOOKUP(A276,'District Codes'!A:B,2,FALSE),"")</f>
        <v/>
      </c>
      <c r="D276" s="104"/>
      <c r="E276" s="203" t="str">
        <f>IFERROR(VLOOKUP(D276, 'School Codes'!D:E,2,FALSE),"")</f>
        <v/>
      </c>
      <c r="F276" s="100"/>
      <c r="G276" s="100"/>
      <c r="H276" s="100"/>
      <c r="I276" s="100"/>
      <c r="J276" s="100"/>
      <c r="K276" s="100"/>
      <c r="L276" s="100"/>
      <c r="M276" s="100"/>
      <c r="N276" s="102"/>
      <c r="O276" s="103"/>
      <c r="P276" s="105"/>
    </row>
    <row r="277" spans="1:16" x14ac:dyDescent="0.3">
      <c r="A277" s="97" t="e">
        <f>'Cover Page'!$D$5</f>
        <v>#N/A</v>
      </c>
      <c r="B277" s="98" t="str">
        <f>IFERROR(VLOOKUP(A277,'District Codes'!D:F,3,FALSE),"")</f>
        <v/>
      </c>
      <c r="C277" s="107" t="str">
        <f>IFERROR(VLOOKUP(A277,'District Codes'!A:B,2,FALSE),"")</f>
        <v/>
      </c>
      <c r="D277" s="104"/>
      <c r="E277" s="203" t="str">
        <f>IFERROR(VLOOKUP(D277, 'School Codes'!D:E,2,FALSE),"")</f>
        <v/>
      </c>
      <c r="F277" s="100"/>
      <c r="G277" s="100"/>
      <c r="H277" s="100"/>
      <c r="I277" s="101"/>
      <c r="J277" s="100"/>
      <c r="K277" s="100"/>
      <c r="L277" s="100"/>
      <c r="M277" s="100"/>
      <c r="N277" s="102"/>
      <c r="O277" s="103"/>
      <c r="P277" s="105"/>
    </row>
    <row r="278" spans="1:16" x14ac:dyDescent="0.3">
      <c r="A278" s="97" t="e">
        <f>'Cover Page'!$D$5</f>
        <v>#N/A</v>
      </c>
      <c r="B278" s="98" t="str">
        <f>IFERROR(VLOOKUP(A278,'District Codes'!D:F,3,FALSE),"")</f>
        <v/>
      </c>
      <c r="C278" s="107" t="str">
        <f>IFERROR(VLOOKUP(A278,'District Codes'!A:B,2,FALSE),"")</f>
        <v/>
      </c>
      <c r="D278" s="104"/>
      <c r="E278" s="203" t="str">
        <f>IFERROR(VLOOKUP(D278, 'School Codes'!D:E,2,FALSE),"")</f>
        <v/>
      </c>
      <c r="F278" s="100"/>
      <c r="G278" s="100"/>
      <c r="H278" s="100"/>
      <c r="I278" s="100"/>
      <c r="J278" s="100"/>
      <c r="K278" s="100"/>
      <c r="L278" s="100"/>
      <c r="M278" s="100"/>
      <c r="N278" s="102"/>
      <c r="O278" s="103"/>
      <c r="P278" s="105"/>
    </row>
    <row r="279" spans="1:16" x14ac:dyDescent="0.3">
      <c r="A279" s="97" t="e">
        <f>'Cover Page'!$D$5</f>
        <v>#N/A</v>
      </c>
      <c r="B279" s="98" t="str">
        <f>IFERROR(VLOOKUP(A279,'District Codes'!D:F,3,FALSE),"")</f>
        <v/>
      </c>
      <c r="C279" s="107" t="str">
        <f>IFERROR(VLOOKUP(A279,'District Codes'!A:B,2,FALSE),"")</f>
        <v/>
      </c>
      <c r="D279" s="104"/>
      <c r="E279" s="203" t="str">
        <f>IFERROR(VLOOKUP(D279, 'School Codes'!D:E,2,FALSE),"")</f>
        <v/>
      </c>
      <c r="F279" s="100"/>
      <c r="G279" s="100"/>
      <c r="H279" s="100"/>
      <c r="I279" s="100"/>
      <c r="J279" s="100"/>
      <c r="K279" s="100"/>
      <c r="L279" s="100"/>
      <c r="M279" s="100"/>
      <c r="N279" s="102"/>
      <c r="O279" s="103"/>
      <c r="P279" s="105"/>
    </row>
    <row r="280" spans="1:16" x14ac:dyDescent="0.3">
      <c r="A280" s="97" t="e">
        <f>'Cover Page'!$D$5</f>
        <v>#N/A</v>
      </c>
      <c r="B280" s="98" t="str">
        <f>IFERROR(VLOOKUP(A280,'District Codes'!D:F,3,FALSE),"")</f>
        <v/>
      </c>
      <c r="C280" s="107" t="str">
        <f>IFERROR(VLOOKUP(A280,'District Codes'!A:B,2,FALSE),"")</f>
        <v/>
      </c>
      <c r="D280" s="104"/>
      <c r="E280" s="203" t="str">
        <f>IFERROR(VLOOKUP(D280, 'School Codes'!D:E,2,FALSE),"")</f>
        <v/>
      </c>
      <c r="F280" s="100"/>
      <c r="G280" s="100"/>
      <c r="H280" s="100"/>
      <c r="I280" s="100"/>
      <c r="J280" s="100"/>
      <c r="K280" s="100"/>
      <c r="L280" s="100"/>
      <c r="M280" s="100"/>
      <c r="N280" s="102"/>
      <c r="O280" s="103"/>
      <c r="P280" s="105"/>
    </row>
    <row r="281" spans="1:16" x14ac:dyDescent="0.3">
      <c r="A281" s="97" t="e">
        <f>'Cover Page'!$D$5</f>
        <v>#N/A</v>
      </c>
      <c r="B281" s="98" t="str">
        <f>IFERROR(VLOOKUP(A281,'District Codes'!D:F,3,FALSE),"")</f>
        <v/>
      </c>
      <c r="C281" s="107" t="str">
        <f>IFERROR(VLOOKUP(A281,'District Codes'!A:B,2,FALSE),"")</f>
        <v/>
      </c>
      <c r="D281" s="104"/>
      <c r="E281" s="203" t="str">
        <f>IFERROR(VLOOKUP(D281, 'School Codes'!D:E,2,FALSE),"")</f>
        <v/>
      </c>
      <c r="F281" s="100"/>
      <c r="G281" s="100"/>
      <c r="H281" s="100"/>
      <c r="I281" s="100"/>
      <c r="J281" s="100"/>
      <c r="K281" s="100"/>
      <c r="L281" s="100"/>
      <c r="M281" s="100"/>
      <c r="N281" s="102"/>
      <c r="O281" s="103"/>
      <c r="P281" s="105"/>
    </row>
    <row r="282" spans="1:16" x14ac:dyDescent="0.3">
      <c r="A282" s="97" t="e">
        <f>'Cover Page'!$D$5</f>
        <v>#N/A</v>
      </c>
      <c r="B282" s="98" t="str">
        <f>IFERROR(VLOOKUP(A282,'District Codes'!D:F,3,FALSE),"")</f>
        <v/>
      </c>
      <c r="C282" s="107" t="str">
        <f>IFERROR(VLOOKUP(A282,'District Codes'!A:B,2,FALSE),"")</f>
        <v/>
      </c>
      <c r="D282" s="104"/>
      <c r="E282" s="203" t="str">
        <f>IFERROR(VLOOKUP(D282, 'School Codes'!D:E,2,FALSE),"")</f>
        <v/>
      </c>
      <c r="F282" s="100"/>
      <c r="G282" s="100"/>
      <c r="H282" s="100"/>
      <c r="I282" s="100"/>
      <c r="J282" s="100"/>
      <c r="K282" s="100"/>
      <c r="L282" s="100"/>
      <c r="M282" s="100"/>
      <c r="N282" s="102"/>
      <c r="O282" s="103"/>
      <c r="P282" s="105"/>
    </row>
    <row r="283" spans="1:16" x14ac:dyDescent="0.3">
      <c r="A283" s="97" t="e">
        <f>'Cover Page'!$D$5</f>
        <v>#N/A</v>
      </c>
      <c r="B283" s="98" t="str">
        <f>IFERROR(VLOOKUP(A283,'District Codes'!D:F,3,FALSE),"")</f>
        <v/>
      </c>
      <c r="C283" s="107" t="str">
        <f>IFERROR(VLOOKUP(A283,'District Codes'!A:B,2,FALSE),"")</f>
        <v/>
      </c>
      <c r="D283" s="104"/>
      <c r="E283" s="203" t="str">
        <f>IFERROR(VLOOKUP(D283, 'School Codes'!D:E,2,FALSE),"")</f>
        <v/>
      </c>
      <c r="F283" s="100"/>
      <c r="G283" s="100"/>
      <c r="H283" s="100"/>
      <c r="I283" s="100"/>
      <c r="J283" s="100"/>
      <c r="K283" s="100"/>
      <c r="L283" s="100"/>
      <c r="M283" s="100"/>
      <c r="N283" s="102"/>
      <c r="O283" s="103"/>
      <c r="P283" s="105"/>
    </row>
    <row r="284" spans="1:16" x14ac:dyDescent="0.3">
      <c r="A284" s="97" t="e">
        <f>'Cover Page'!$D$5</f>
        <v>#N/A</v>
      </c>
      <c r="B284" s="98" t="str">
        <f>IFERROR(VLOOKUP(A284,'District Codes'!D:F,3,FALSE),"")</f>
        <v/>
      </c>
      <c r="C284" s="107" t="str">
        <f>IFERROR(VLOOKUP(A284,'District Codes'!A:B,2,FALSE),"")</f>
        <v/>
      </c>
      <c r="D284" s="104"/>
      <c r="E284" s="203" t="str">
        <f>IFERROR(VLOOKUP(D284, 'School Codes'!D:E,2,FALSE),"")</f>
        <v/>
      </c>
      <c r="F284" s="100"/>
      <c r="G284" s="100"/>
      <c r="H284" s="100"/>
      <c r="I284" s="100"/>
      <c r="J284" s="100"/>
      <c r="K284" s="100"/>
      <c r="L284" s="100"/>
      <c r="M284" s="100"/>
      <c r="N284" s="102"/>
      <c r="O284" s="103"/>
      <c r="P284" s="105"/>
    </row>
    <row r="285" spans="1:16" x14ac:dyDescent="0.3">
      <c r="A285" s="97" t="e">
        <f>'Cover Page'!$D$5</f>
        <v>#N/A</v>
      </c>
      <c r="B285" s="98" t="str">
        <f>IFERROR(VLOOKUP(A285,'District Codes'!D:F,3,FALSE),"")</f>
        <v/>
      </c>
      <c r="C285" s="107" t="str">
        <f>IFERROR(VLOOKUP(A285,'District Codes'!A:B,2,FALSE),"")</f>
        <v/>
      </c>
      <c r="D285" s="104"/>
      <c r="E285" s="203" t="str">
        <f>IFERROR(VLOOKUP(D285, 'School Codes'!D:E,2,FALSE),"")</f>
        <v/>
      </c>
      <c r="F285" s="100"/>
      <c r="G285" s="100"/>
      <c r="H285" s="100"/>
      <c r="I285" s="100"/>
      <c r="J285" s="100"/>
      <c r="K285" s="100"/>
      <c r="L285" s="100"/>
      <c r="M285" s="100"/>
      <c r="N285" s="102"/>
      <c r="O285" s="103"/>
      <c r="P285" s="105"/>
    </row>
    <row r="286" spans="1:16" x14ac:dyDescent="0.3">
      <c r="A286" s="97" t="e">
        <f>'Cover Page'!$D$5</f>
        <v>#N/A</v>
      </c>
      <c r="B286" s="98" t="str">
        <f>IFERROR(VLOOKUP(A286,'District Codes'!D:F,3,FALSE),"")</f>
        <v/>
      </c>
      <c r="C286" s="107" t="str">
        <f>IFERROR(VLOOKUP(A286,'District Codes'!A:B,2,FALSE),"")</f>
        <v/>
      </c>
      <c r="D286" s="106"/>
      <c r="E286" s="203" t="str">
        <f>IFERROR(VLOOKUP(D286, 'School Codes'!D:E,2,FALSE),"")</f>
        <v/>
      </c>
      <c r="F286" s="100"/>
      <c r="G286" s="100"/>
      <c r="H286" s="100"/>
      <c r="I286" s="100"/>
      <c r="J286" s="100"/>
      <c r="K286" s="100"/>
      <c r="L286" s="100"/>
      <c r="M286" s="100"/>
      <c r="N286" s="102"/>
      <c r="O286" s="103"/>
      <c r="P286" s="105"/>
    </row>
    <row r="287" spans="1:16" x14ac:dyDescent="0.3">
      <c r="A287" s="97" t="e">
        <f>'Cover Page'!$D$5</f>
        <v>#N/A</v>
      </c>
      <c r="B287" s="98" t="str">
        <f>IFERROR(VLOOKUP(A287,'District Codes'!D:F,3,FALSE),"")</f>
        <v/>
      </c>
      <c r="C287" s="107" t="str">
        <f>IFERROR(VLOOKUP(A287,'District Codes'!A:B,2,FALSE),"")</f>
        <v/>
      </c>
      <c r="D287" s="106"/>
      <c r="E287" s="203" t="str">
        <f>IFERROR(VLOOKUP(D287, 'School Codes'!D:E,2,FALSE),"")</f>
        <v/>
      </c>
      <c r="F287" s="100"/>
      <c r="G287" s="100"/>
      <c r="H287" s="100"/>
      <c r="I287" s="100"/>
      <c r="J287" s="100"/>
      <c r="K287" s="100"/>
      <c r="L287" s="100"/>
      <c r="M287" s="100"/>
      <c r="N287" s="102"/>
      <c r="O287" s="103"/>
      <c r="P287" s="105"/>
    </row>
    <row r="288" spans="1:16" x14ac:dyDescent="0.3">
      <c r="A288" s="97" t="e">
        <f>'Cover Page'!$D$5</f>
        <v>#N/A</v>
      </c>
      <c r="B288" s="98" t="str">
        <f>IFERROR(VLOOKUP(A288,'District Codes'!D:F,3,FALSE),"")</f>
        <v/>
      </c>
      <c r="C288" s="107" t="str">
        <f>IFERROR(VLOOKUP(A288,'District Codes'!A:B,2,FALSE),"")</f>
        <v/>
      </c>
      <c r="D288" s="106"/>
      <c r="E288" s="203" t="str">
        <f>IFERROR(VLOOKUP(D288, 'School Codes'!D:E,2,FALSE),"")</f>
        <v/>
      </c>
      <c r="F288" s="100"/>
      <c r="G288" s="100"/>
      <c r="H288" s="100"/>
      <c r="I288" s="100"/>
      <c r="J288" s="100"/>
      <c r="K288" s="100"/>
      <c r="L288" s="100"/>
      <c r="M288" s="100"/>
      <c r="N288" s="102"/>
      <c r="O288" s="103"/>
      <c r="P288" s="105"/>
    </row>
    <row r="289" spans="1:16" ht="14.4" thickBot="1" x14ac:dyDescent="0.35">
      <c r="A289" s="97" t="e">
        <f>'Cover Page'!$D$5</f>
        <v>#N/A</v>
      </c>
      <c r="B289" s="98" t="str">
        <f>IFERROR(VLOOKUP(A289,'District Codes'!D:F,3,FALSE),"")</f>
        <v/>
      </c>
      <c r="C289" s="107" t="str">
        <f>IFERROR(VLOOKUP(A289,'District Codes'!A:B,2,FALSE),"")</f>
        <v/>
      </c>
      <c r="D289" s="104"/>
      <c r="E289" s="203" t="str">
        <f>IFERROR(VLOOKUP(D289, 'School Codes'!D:E,2,FALSE),"")</f>
        <v/>
      </c>
      <c r="F289" s="100"/>
      <c r="G289" s="100"/>
      <c r="H289" s="100"/>
      <c r="I289" s="100"/>
      <c r="J289" s="100"/>
      <c r="K289" s="100"/>
      <c r="L289" s="100"/>
      <c r="M289" s="100"/>
      <c r="N289" s="102"/>
      <c r="O289" s="103"/>
      <c r="P289" s="105"/>
    </row>
    <row r="290" spans="1:16" x14ac:dyDescent="0.3">
      <c r="A290" s="97" t="e">
        <f>'Cover Page'!$D$5</f>
        <v>#N/A</v>
      </c>
      <c r="B290" s="98" t="str">
        <f>IFERROR(VLOOKUP(A290,'District Codes'!D:F,3,FALSE),"")</f>
        <v/>
      </c>
      <c r="C290" s="107" t="str">
        <f>IFERROR(VLOOKUP(A290,'District Codes'!A:B,2,FALSE),"")</f>
        <v/>
      </c>
      <c r="D290" s="104"/>
      <c r="E290" s="203" t="str">
        <f>IFERROR(VLOOKUP(D290, 'School Codes'!D:E,2,FALSE),"")</f>
        <v/>
      </c>
      <c r="F290" s="100"/>
      <c r="G290" s="100"/>
      <c r="H290" s="100"/>
      <c r="I290" s="101"/>
      <c r="J290" s="100"/>
      <c r="K290" s="100"/>
      <c r="L290" s="100"/>
      <c r="M290" s="100"/>
      <c r="N290" s="102"/>
      <c r="O290" s="103"/>
      <c r="P290" s="105"/>
    </row>
    <row r="291" spans="1:16" x14ac:dyDescent="0.3">
      <c r="A291" s="97" t="e">
        <f>'Cover Page'!$D$5</f>
        <v>#N/A</v>
      </c>
      <c r="B291" s="98" t="str">
        <f>IFERROR(VLOOKUP(A291,'District Codes'!D:F,3,FALSE),"")</f>
        <v/>
      </c>
      <c r="C291" s="107" t="str">
        <f>IFERROR(VLOOKUP(A291,'District Codes'!A:B,2,FALSE),"")</f>
        <v/>
      </c>
      <c r="D291" s="104"/>
      <c r="E291" s="203" t="str">
        <f>IFERROR(VLOOKUP(D291, 'School Codes'!D:E,2,FALSE),"")</f>
        <v/>
      </c>
      <c r="F291" s="100"/>
      <c r="G291" s="100"/>
      <c r="H291" s="100"/>
      <c r="I291" s="100"/>
      <c r="J291" s="100"/>
      <c r="K291" s="100"/>
      <c r="L291" s="100"/>
      <c r="M291" s="100"/>
      <c r="N291" s="102"/>
      <c r="O291" s="103"/>
      <c r="P291" s="105"/>
    </row>
    <row r="292" spans="1:16" x14ac:dyDescent="0.3">
      <c r="A292" s="97" t="e">
        <f>'Cover Page'!$D$5</f>
        <v>#N/A</v>
      </c>
      <c r="B292" s="98" t="str">
        <f>IFERROR(VLOOKUP(A292,'District Codes'!D:F,3,FALSE),"")</f>
        <v/>
      </c>
      <c r="C292" s="107" t="str">
        <f>IFERROR(VLOOKUP(A292,'District Codes'!A:B,2,FALSE),"")</f>
        <v/>
      </c>
      <c r="D292" s="104"/>
      <c r="E292" s="203" t="str">
        <f>IFERROR(VLOOKUP(D292, 'School Codes'!D:E,2,FALSE),"")</f>
        <v/>
      </c>
      <c r="F292" s="100"/>
      <c r="G292" s="100"/>
      <c r="H292" s="100"/>
      <c r="I292" s="100"/>
      <c r="J292" s="100"/>
      <c r="K292" s="100"/>
      <c r="L292" s="100"/>
      <c r="M292" s="100"/>
      <c r="N292" s="102"/>
      <c r="O292" s="103"/>
      <c r="P292" s="105"/>
    </row>
    <row r="293" spans="1:16" x14ac:dyDescent="0.3">
      <c r="A293" s="97" t="e">
        <f>'Cover Page'!$D$5</f>
        <v>#N/A</v>
      </c>
      <c r="B293" s="98" t="str">
        <f>IFERROR(VLOOKUP(A293,'District Codes'!D:F,3,FALSE),"")</f>
        <v/>
      </c>
      <c r="C293" s="107" t="str">
        <f>IFERROR(VLOOKUP(A293,'District Codes'!A:B,2,FALSE),"")</f>
        <v/>
      </c>
      <c r="D293" s="104"/>
      <c r="E293" s="203" t="str">
        <f>IFERROR(VLOOKUP(D293, 'School Codes'!D:E,2,FALSE),"")</f>
        <v/>
      </c>
      <c r="F293" s="100"/>
      <c r="G293" s="100"/>
      <c r="H293" s="100"/>
      <c r="I293" s="100"/>
      <c r="J293" s="100"/>
      <c r="K293" s="100"/>
      <c r="L293" s="100"/>
      <c r="M293" s="100"/>
      <c r="N293" s="102"/>
      <c r="O293" s="103"/>
      <c r="P293" s="105"/>
    </row>
    <row r="294" spans="1:16" x14ac:dyDescent="0.3">
      <c r="A294" s="97" t="e">
        <f>'Cover Page'!$D$5</f>
        <v>#N/A</v>
      </c>
      <c r="B294" s="98" t="str">
        <f>IFERROR(VLOOKUP(A294,'District Codes'!D:F,3,FALSE),"")</f>
        <v/>
      </c>
      <c r="C294" s="107" t="str">
        <f>IFERROR(VLOOKUP(A294,'District Codes'!A:B,2,FALSE),"")</f>
        <v/>
      </c>
      <c r="D294" s="104"/>
      <c r="E294" s="203" t="str">
        <f>IFERROR(VLOOKUP(D294, 'School Codes'!D:E,2,FALSE),"")</f>
        <v/>
      </c>
      <c r="F294" s="100"/>
      <c r="G294" s="100"/>
      <c r="H294" s="100"/>
      <c r="I294" s="100"/>
      <c r="J294" s="100"/>
      <c r="K294" s="100"/>
      <c r="L294" s="100"/>
      <c r="M294" s="100"/>
      <c r="N294" s="102"/>
      <c r="O294" s="103"/>
      <c r="P294" s="105"/>
    </row>
    <row r="295" spans="1:16" x14ac:dyDescent="0.3">
      <c r="A295" s="97" t="e">
        <f>'Cover Page'!$D$5</f>
        <v>#N/A</v>
      </c>
      <c r="B295" s="98" t="str">
        <f>IFERROR(VLOOKUP(A295,'District Codes'!D:F,3,FALSE),"")</f>
        <v/>
      </c>
      <c r="C295" s="107" t="str">
        <f>IFERROR(VLOOKUP(A295,'District Codes'!A:B,2,FALSE),"")</f>
        <v/>
      </c>
      <c r="D295" s="104"/>
      <c r="E295" s="203" t="str">
        <f>IFERROR(VLOOKUP(D295, 'School Codes'!D:E,2,FALSE),"")</f>
        <v/>
      </c>
      <c r="F295" s="100"/>
      <c r="G295" s="100"/>
      <c r="H295" s="100"/>
      <c r="I295" s="100"/>
      <c r="J295" s="100"/>
      <c r="K295" s="100"/>
      <c r="L295" s="100"/>
      <c r="M295" s="100"/>
      <c r="N295" s="102"/>
      <c r="O295" s="103"/>
      <c r="P295" s="105"/>
    </row>
    <row r="296" spans="1:16" x14ac:dyDescent="0.3">
      <c r="A296" s="97" t="e">
        <f>'Cover Page'!$D$5</f>
        <v>#N/A</v>
      </c>
      <c r="B296" s="98" t="str">
        <f>IFERROR(VLOOKUP(A296,'District Codes'!D:F,3,FALSE),"")</f>
        <v/>
      </c>
      <c r="C296" s="107" t="str">
        <f>IFERROR(VLOOKUP(A296,'District Codes'!A:B,2,FALSE),"")</f>
        <v/>
      </c>
      <c r="D296" s="104"/>
      <c r="E296" s="203" t="str">
        <f>IFERROR(VLOOKUP(D296, 'School Codes'!D:E,2,FALSE),"")</f>
        <v/>
      </c>
      <c r="F296" s="100"/>
      <c r="G296" s="100"/>
      <c r="H296" s="100"/>
      <c r="I296" s="100"/>
      <c r="J296" s="100"/>
      <c r="K296" s="100"/>
      <c r="L296" s="100"/>
      <c r="M296" s="100"/>
      <c r="N296" s="102"/>
      <c r="O296" s="103"/>
      <c r="P296" s="105"/>
    </row>
    <row r="297" spans="1:16" x14ac:dyDescent="0.3">
      <c r="A297" s="97" t="e">
        <f>'Cover Page'!$D$5</f>
        <v>#N/A</v>
      </c>
      <c r="B297" s="98" t="str">
        <f>IFERROR(VLOOKUP(A297,'District Codes'!D:F,3,FALSE),"")</f>
        <v/>
      </c>
      <c r="C297" s="107" t="str">
        <f>IFERROR(VLOOKUP(A297,'District Codes'!A:B,2,FALSE),"")</f>
        <v/>
      </c>
      <c r="D297" s="104"/>
      <c r="E297" s="203" t="str">
        <f>IFERROR(VLOOKUP(D297, 'School Codes'!D:E,2,FALSE),"")</f>
        <v/>
      </c>
      <c r="F297" s="100"/>
      <c r="G297" s="100"/>
      <c r="H297" s="100"/>
      <c r="I297" s="100"/>
      <c r="J297" s="100"/>
      <c r="K297" s="100"/>
      <c r="L297" s="100"/>
      <c r="M297" s="100"/>
      <c r="N297" s="102"/>
      <c r="O297" s="103"/>
      <c r="P297" s="105"/>
    </row>
    <row r="298" spans="1:16" x14ac:dyDescent="0.3">
      <c r="A298" s="97" t="e">
        <f>'Cover Page'!$D$5</f>
        <v>#N/A</v>
      </c>
      <c r="B298" s="98" t="str">
        <f>IFERROR(VLOOKUP(A298,'District Codes'!D:F,3,FALSE),"")</f>
        <v/>
      </c>
      <c r="C298" s="107" t="str">
        <f>IFERROR(VLOOKUP(A298,'District Codes'!A:B,2,FALSE),"")</f>
        <v/>
      </c>
      <c r="D298" s="104"/>
      <c r="E298" s="203" t="str">
        <f>IFERROR(VLOOKUP(D298, 'School Codes'!D:E,2,FALSE),"")</f>
        <v/>
      </c>
      <c r="F298" s="100"/>
      <c r="G298" s="100"/>
      <c r="H298" s="100"/>
      <c r="I298" s="100"/>
      <c r="J298" s="100"/>
      <c r="K298" s="100"/>
      <c r="L298" s="100"/>
      <c r="M298" s="100"/>
      <c r="N298" s="102"/>
      <c r="O298" s="103"/>
      <c r="P298" s="105"/>
    </row>
    <row r="299" spans="1:16" x14ac:dyDescent="0.3">
      <c r="A299" s="97" t="e">
        <f>'Cover Page'!$D$5</f>
        <v>#N/A</v>
      </c>
      <c r="B299" s="98" t="str">
        <f>IFERROR(VLOOKUP(A299,'District Codes'!D:F,3,FALSE),"")</f>
        <v/>
      </c>
      <c r="C299" s="107" t="str">
        <f>IFERROR(VLOOKUP(A299,'District Codes'!A:B,2,FALSE),"")</f>
        <v/>
      </c>
      <c r="D299" s="106"/>
      <c r="E299" s="203" t="str">
        <f>IFERROR(VLOOKUP(D299, 'School Codes'!D:E,2,FALSE),"")</f>
        <v/>
      </c>
      <c r="F299" s="100"/>
      <c r="G299" s="100"/>
      <c r="H299" s="100"/>
      <c r="I299" s="100"/>
      <c r="J299" s="100"/>
      <c r="K299" s="100"/>
      <c r="L299" s="100"/>
      <c r="M299" s="100"/>
      <c r="N299" s="102"/>
      <c r="O299" s="103"/>
      <c r="P299" s="105"/>
    </row>
    <row r="300" spans="1:16" x14ac:dyDescent="0.3">
      <c r="A300" s="97" t="e">
        <f>'Cover Page'!$D$5</f>
        <v>#N/A</v>
      </c>
      <c r="B300" s="98" t="str">
        <f>IFERROR(VLOOKUP(A300,'District Codes'!D:F,3,FALSE),"")</f>
        <v/>
      </c>
      <c r="C300" s="107" t="str">
        <f>IFERROR(VLOOKUP(A300,'District Codes'!A:B,2,FALSE),"")</f>
        <v/>
      </c>
      <c r="D300" s="106"/>
      <c r="E300" s="203" t="str">
        <f>IFERROR(VLOOKUP(D300, 'School Codes'!D:E,2,FALSE),"")</f>
        <v/>
      </c>
      <c r="F300" s="100"/>
      <c r="G300" s="100"/>
      <c r="H300" s="100"/>
      <c r="I300" s="100"/>
      <c r="J300" s="100"/>
      <c r="K300" s="100"/>
      <c r="L300" s="100"/>
      <c r="M300" s="100"/>
      <c r="N300" s="102"/>
      <c r="O300" s="103"/>
      <c r="P300" s="105"/>
    </row>
    <row r="301" spans="1:16" x14ac:dyDescent="0.3">
      <c r="A301" s="97" t="e">
        <f>'Cover Page'!$D$5</f>
        <v>#N/A</v>
      </c>
      <c r="B301" s="98" t="str">
        <f>IFERROR(VLOOKUP(A301,'District Codes'!D:F,3,FALSE),"")</f>
        <v/>
      </c>
      <c r="C301" s="107" t="str">
        <f>IFERROR(VLOOKUP(A301,'District Codes'!A:B,2,FALSE),"")</f>
        <v/>
      </c>
      <c r="D301" s="106"/>
      <c r="E301" s="203" t="str">
        <f>IFERROR(VLOOKUP(D301, 'School Codes'!D:E,2,FALSE),"")</f>
        <v/>
      </c>
      <c r="F301" s="100"/>
      <c r="G301" s="100"/>
      <c r="H301" s="100"/>
      <c r="I301" s="100"/>
      <c r="J301" s="100"/>
      <c r="K301" s="100"/>
      <c r="L301" s="100"/>
      <c r="M301" s="100"/>
      <c r="N301" s="102"/>
      <c r="O301" s="103"/>
      <c r="P301" s="105"/>
    </row>
    <row r="302" spans="1:16" ht="14.4" thickBot="1" x14ac:dyDescent="0.35">
      <c r="A302" s="97" t="e">
        <f>'Cover Page'!$D$5</f>
        <v>#N/A</v>
      </c>
      <c r="B302" s="98" t="str">
        <f>IFERROR(VLOOKUP(A302,'District Codes'!D:F,3,FALSE),"")</f>
        <v/>
      </c>
      <c r="C302" s="107" t="str">
        <f>IFERROR(VLOOKUP(A302,'District Codes'!A:B,2,FALSE),"")</f>
        <v/>
      </c>
      <c r="D302" s="104"/>
      <c r="E302" s="203" t="str">
        <f>IFERROR(VLOOKUP(D302, 'School Codes'!D:E,2,FALSE),"")</f>
        <v/>
      </c>
      <c r="F302" s="100"/>
      <c r="G302" s="100"/>
      <c r="H302" s="100"/>
      <c r="I302" s="100"/>
      <c r="J302" s="100"/>
      <c r="K302" s="100"/>
      <c r="L302" s="100"/>
      <c r="M302" s="100"/>
      <c r="N302" s="102"/>
      <c r="O302" s="103"/>
      <c r="P302" s="105"/>
    </row>
    <row r="303" spans="1:16" x14ac:dyDescent="0.3">
      <c r="A303" s="97" t="e">
        <f>'Cover Page'!$D$5</f>
        <v>#N/A</v>
      </c>
      <c r="B303" s="98" t="str">
        <f>IFERROR(VLOOKUP(A303,'District Codes'!D:F,3,FALSE),"")</f>
        <v/>
      </c>
      <c r="C303" s="107" t="str">
        <f>IFERROR(VLOOKUP(A303,'District Codes'!A:B,2,FALSE),"")</f>
        <v/>
      </c>
      <c r="D303" s="104"/>
      <c r="E303" s="203" t="str">
        <f>IFERROR(VLOOKUP(D303, 'School Codes'!D:E,2,FALSE),"")</f>
        <v/>
      </c>
      <c r="F303" s="100"/>
      <c r="G303" s="100"/>
      <c r="H303" s="100"/>
      <c r="I303" s="101"/>
      <c r="J303" s="100"/>
      <c r="K303" s="100"/>
      <c r="L303" s="100"/>
      <c r="M303" s="100"/>
      <c r="N303" s="102"/>
      <c r="O303" s="103"/>
      <c r="P303" s="105"/>
    </row>
    <row r="304" spans="1:16" ht="14.4" thickBot="1" x14ac:dyDescent="0.35">
      <c r="A304" s="97" t="e">
        <f>'Cover Page'!$D$5</f>
        <v>#N/A</v>
      </c>
      <c r="B304" s="109" t="str">
        <f>IFERROR(VLOOKUP(A304,'District Codes'!D:F,3,FALSE),"")</f>
        <v/>
      </c>
      <c r="C304" s="110" t="str">
        <f>IFERROR(VLOOKUP(A304,'District Codes'!A:B,2,FALSE),"")</f>
        <v/>
      </c>
      <c r="D304" s="104"/>
      <c r="E304" s="203" t="str">
        <f>IFERROR(VLOOKUP(D304, 'School Codes'!D:E,2,FALSE),"")</f>
        <v/>
      </c>
      <c r="F304" s="100"/>
      <c r="G304" s="100"/>
      <c r="H304" s="100"/>
      <c r="I304" s="100"/>
      <c r="J304" s="100"/>
      <c r="K304" s="100"/>
      <c r="L304" s="100"/>
      <c r="M304" s="100"/>
      <c r="N304" s="102"/>
      <c r="O304" s="103"/>
      <c r="P304" s="105"/>
    </row>
    <row r="305" spans="1:16" x14ac:dyDescent="0.3">
      <c r="A305" s="97" t="e">
        <f>'Cover Page'!$D$5</f>
        <v>#N/A</v>
      </c>
      <c r="B305" s="98" t="str">
        <f>IFERROR(VLOOKUP(A305,'District Codes'!D:F,3,FALSE),"")</f>
        <v/>
      </c>
      <c r="C305" s="99" t="str">
        <f>IFERROR(VLOOKUP(A305,'District Codes'!A:B,2,FALSE),"")</f>
        <v/>
      </c>
      <c r="D305" s="104"/>
      <c r="E305" s="203" t="str">
        <f>IFERROR(VLOOKUP(D305, 'School Codes'!D:E,2,FALSE),"")</f>
        <v/>
      </c>
      <c r="F305" s="100"/>
      <c r="G305" s="100"/>
      <c r="H305" s="100"/>
      <c r="I305" s="100"/>
      <c r="J305" s="100"/>
      <c r="K305" s="100"/>
      <c r="L305" s="100"/>
      <c r="M305" s="100"/>
      <c r="N305" s="102"/>
      <c r="O305" s="103"/>
      <c r="P305" s="105"/>
    </row>
    <row r="306" spans="1:16" x14ac:dyDescent="0.3">
      <c r="A306" s="97" t="e">
        <f>'Cover Page'!$D$5</f>
        <v>#N/A</v>
      </c>
      <c r="B306" s="98" t="str">
        <f>IFERROR(VLOOKUP(A306,'District Codes'!D:F,3,FALSE),"")</f>
        <v/>
      </c>
      <c r="C306" s="99" t="str">
        <f>IFERROR(VLOOKUP(A306,'District Codes'!A:B,2,FALSE),"")</f>
        <v/>
      </c>
      <c r="D306" s="104"/>
      <c r="E306" s="203" t="str">
        <f>IFERROR(VLOOKUP(D306, 'School Codes'!D:E,2,FALSE),"")</f>
        <v/>
      </c>
      <c r="F306" s="100"/>
      <c r="G306" s="100"/>
      <c r="H306" s="100"/>
      <c r="I306" s="100"/>
      <c r="J306" s="100"/>
      <c r="K306" s="100"/>
      <c r="L306" s="100"/>
      <c r="M306" s="100"/>
      <c r="N306" s="102"/>
      <c r="O306" s="103"/>
      <c r="P306" s="105"/>
    </row>
    <row r="307" spans="1:16" x14ac:dyDescent="0.3">
      <c r="A307" s="97" t="e">
        <f>'Cover Page'!$D$5</f>
        <v>#N/A</v>
      </c>
      <c r="B307" s="98" t="str">
        <f>IFERROR(VLOOKUP(A307,'District Codes'!D:F,3,FALSE),"")</f>
        <v/>
      </c>
      <c r="C307" s="99" t="str">
        <f>IFERROR(VLOOKUP(A307,'District Codes'!A:B,2,FALSE),"")</f>
        <v/>
      </c>
      <c r="D307" s="104"/>
      <c r="E307" s="203" t="str">
        <f>IFERROR(VLOOKUP(D307, 'School Codes'!D:E,2,FALSE),"")</f>
        <v/>
      </c>
      <c r="F307" s="100"/>
      <c r="G307" s="100"/>
      <c r="H307" s="100"/>
      <c r="I307" s="100"/>
      <c r="J307" s="100"/>
      <c r="K307" s="100"/>
      <c r="L307" s="100"/>
      <c r="M307" s="100"/>
      <c r="N307" s="102"/>
      <c r="O307" s="103"/>
      <c r="P307" s="105"/>
    </row>
    <row r="308" spans="1:16" x14ac:dyDescent="0.3">
      <c r="A308" s="97" t="e">
        <f>'Cover Page'!$D$5</f>
        <v>#N/A</v>
      </c>
      <c r="B308" s="98" t="str">
        <f>IFERROR(VLOOKUP(A308,'District Codes'!D:F,3,FALSE),"")</f>
        <v/>
      </c>
      <c r="C308" s="99" t="str">
        <f>IFERROR(VLOOKUP(A308,'District Codes'!A:B,2,FALSE),"")</f>
        <v/>
      </c>
      <c r="D308" s="104"/>
      <c r="E308" s="203" t="str">
        <f>IFERROR(VLOOKUP(D308, 'School Codes'!D:E,2,FALSE),"")</f>
        <v/>
      </c>
      <c r="F308" s="100"/>
      <c r="G308" s="100"/>
      <c r="H308" s="100"/>
      <c r="I308" s="100"/>
      <c r="J308" s="100"/>
      <c r="K308" s="100"/>
      <c r="L308" s="100"/>
      <c r="M308" s="100"/>
      <c r="N308" s="102"/>
      <c r="O308" s="103"/>
      <c r="P308" s="105"/>
    </row>
    <row r="309" spans="1:16" x14ac:dyDescent="0.3">
      <c r="A309" s="97" t="e">
        <f>'Cover Page'!$D$5</f>
        <v>#N/A</v>
      </c>
      <c r="B309" s="98" t="str">
        <f>IFERROR(VLOOKUP(A309,'District Codes'!D:F,3,FALSE),"")</f>
        <v/>
      </c>
      <c r="C309" s="99" t="str">
        <f>IFERROR(VLOOKUP(A309,'District Codes'!A:B,2,FALSE),"")</f>
        <v/>
      </c>
      <c r="D309" s="104"/>
      <c r="E309" s="203" t="str">
        <f>IFERROR(VLOOKUP(D309, 'School Codes'!D:E,2,FALSE),"")</f>
        <v/>
      </c>
      <c r="F309" s="100"/>
      <c r="G309" s="100"/>
      <c r="H309" s="100"/>
      <c r="I309" s="100"/>
      <c r="J309" s="100"/>
      <c r="K309" s="100"/>
      <c r="L309" s="100"/>
      <c r="M309" s="100"/>
      <c r="N309" s="102"/>
      <c r="O309" s="103"/>
      <c r="P309" s="105"/>
    </row>
    <row r="310" spans="1:16" x14ac:dyDescent="0.3">
      <c r="A310" s="97" t="e">
        <f>'Cover Page'!$D$5</f>
        <v>#N/A</v>
      </c>
      <c r="B310" s="98" t="str">
        <f>IFERROR(VLOOKUP(A310,'District Codes'!D:F,3,FALSE),"")</f>
        <v/>
      </c>
      <c r="C310" s="99" t="str">
        <f>IFERROR(VLOOKUP(A310,'District Codes'!A:B,2,FALSE),"")</f>
        <v/>
      </c>
      <c r="D310" s="104"/>
      <c r="E310" s="203" t="str">
        <f>IFERROR(VLOOKUP(D310, 'School Codes'!D:E,2,FALSE),"")</f>
        <v/>
      </c>
      <c r="F310" s="100"/>
      <c r="G310" s="100"/>
      <c r="H310" s="100"/>
      <c r="I310" s="100"/>
      <c r="J310" s="100"/>
      <c r="K310" s="100"/>
      <c r="L310" s="100"/>
      <c r="M310" s="100"/>
      <c r="N310" s="102"/>
      <c r="O310" s="103"/>
      <c r="P310" s="105"/>
    </row>
    <row r="311" spans="1:16" x14ac:dyDescent="0.3">
      <c r="A311" s="97" t="e">
        <f>'Cover Page'!$D$5</f>
        <v>#N/A</v>
      </c>
      <c r="B311" s="98" t="str">
        <f>IFERROR(VLOOKUP(A311,'District Codes'!D:F,3,FALSE),"")</f>
        <v/>
      </c>
      <c r="C311" s="99" t="str">
        <f>IFERROR(VLOOKUP(A311,'District Codes'!A:B,2,FALSE),"")</f>
        <v/>
      </c>
      <c r="D311" s="104"/>
      <c r="E311" s="203" t="str">
        <f>IFERROR(VLOOKUP(D311, 'School Codes'!D:E,2,FALSE),"")</f>
        <v/>
      </c>
      <c r="F311" s="100"/>
      <c r="G311" s="100"/>
      <c r="H311" s="100"/>
      <c r="I311" s="100"/>
      <c r="J311" s="100"/>
      <c r="K311" s="100"/>
      <c r="L311" s="100"/>
      <c r="M311" s="100"/>
      <c r="N311" s="102"/>
      <c r="O311" s="103"/>
      <c r="P311" s="105"/>
    </row>
    <row r="312" spans="1:16" x14ac:dyDescent="0.3">
      <c r="A312" s="97" t="e">
        <f>'Cover Page'!$D$5</f>
        <v>#N/A</v>
      </c>
      <c r="B312" s="98" t="str">
        <f>IFERROR(VLOOKUP(A312,'District Codes'!D:F,3,FALSE),"")</f>
        <v/>
      </c>
      <c r="C312" s="99" t="str">
        <f>IFERROR(VLOOKUP(A312,'District Codes'!A:B,2,FALSE),"")</f>
        <v/>
      </c>
      <c r="D312" s="106"/>
      <c r="E312" s="203" t="str">
        <f>IFERROR(VLOOKUP(D312, 'School Codes'!D:E,2,FALSE),"")</f>
        <v/>
      </c>
      <c r="F312" s="100"/>
      <c r="G312" s="100"/>
      <c r="H312" s="100"/>
      <c r="I312" s="100"/>
      <c r="J312" s="100"/>
      <c r="K312" s="100"/>
      <c r="L312" s="100"/>
      <c r="M312" s="100"/>
      <c r="N312" s="102"/>
      <c r="O312" s="103"/>
      <c r="P312" s="105"/>
    </row>
    <row r="313" spans="1:16" x14ac:dyDescent="0.3">
      <c r="A313" s="97" t="e">
        <f>'Cover Page'!$D$5</f>
        <v>#N/A</v>
      </c>
      <c r="B313" s="98" t="str">
        <f>IFERROR(VLOOKUP(A313,'District Codes'!D:F,3,FALSE),"")</f>
        <v/>
      </c>
      <c r="C313" s="99" t="str">
        <f>IFERROR(VLOOKUP(A313,'District Codes'!A:B,2,FALSE),"")</f>
        <v/>
      </c>
      <c r="D313" s="106"/>
      <c r="E313" s="203" t="str">
        <f>IFERROR(VLOOKUP(D313, 'School Codes'!D:E,2,FALSE),"")</f>
        <v/>
      </c>
      <c r="F313" s="100"/>
      <c r="G313" s="100"/>
      <c r="H313" s="100"/>
      <c r="I313" s="100"/>
      <c r="J313" s="100"/>
      <c r="K313" s="100"/>
      <c r="L313" s="100"/>
      <c r="M313" s="100"/>
      <c r="N313" s="102"/>
      <c r="O313" s="103"/>
      <c r="P313" s="105"/>
    </row>
    <row r="314" spans="1:16" x14ac:dyDescent="0.3">
      <c r="A314" s="97" t="e">
        <f>'Cover Page'!$D$5</f>
        <v>#N/A</v>
      </c>
      <c r="B314" s="98" t="str">
        <f>IFERROR(VLOOKUP(A314,'District Codes'!D:F,3,FALSE),"")</f>
        <v/>
      </c>
      <c r="C314" s="99" t="str">
        <f>IFERROR(VLOOKUP(A314,'District Codes'!A:B,2,FALSE),"")</f>
        <v/>
      </c>
      <c r="D314" s="106"/>
      <c r="E314" s="203" t="str">
        <f>IFERROR(VLOOKUP(D314, 'School Codes'!D:E,2,FALSE),"")</f>
        <v/>
      </c>
      <c r="F314" s="100"/>
      <c r="G314" s="100"/>
      <c r="H314" s="100"/>
      <c r="I314" s="100"/>
      <c r="J314" s="100"/>
      <c r="K314" s="100"/>
      <c r="L314" s="100"/>
      <c r="M314" s="100"/>
      <c r="N314" s="102"/>
      <c r="O314" s="103"/>
      <c r="P314" s="105"/>
    </row>
    <row r="315" spans="1:16" ht="14.4" thickBot="1" x14ac:dyDescent="0.35">
      <c r="A315" s="97" t="e">
        <f>'Cover Page'!$D$5</f>
        <v>#N/A</v>
      </c>
      <c r="B315" s="98" t="str">
        <f>IFERROR(VLOOKUP(A315,'District Codes'!D:F,3,FALSE),"")</f>
        <v/>
      </c>
      <c r="C315" s="99" t="str">
        <f>IFERROR(VLOOKUP(A315,'District Codes'!A:B,2,FALSE),"")</f>
        <v/>
      </c>
      <c r="D315" s="104"/>
      <c r="E315" s="203" t="str">
        <f>IFERROR(VLOOKUP(D315, 'School Codes'!D:E,2,FALSE),"")</f>
        <v/>
      </c>
      <c r="F315" s="100"/>
      <c r="G315" s="100"/>
      <c r="H315" s="100"/>
      <c r="I315" s="100"/>
      <c r="J315" s="100"/>
      <c r="K315" s="100"/>
      <c r="L315" s="100"/>
      <c r="M315" s="100"/>
      <c r="N315" s="102"/>
      <c r="O315" s="103"/>
      <c r="P315" s="105"/>
    </row>
    <row r="316" spans="1:16" x14ac:dyDescent="0.3">
      <c r="A316" s="97" t="e">
        <f>'Cover Page'!$D$5</f>
        <v>#N/A</v>
      </c>
      <c r="B316" s="98" t="str">
        <f>IFERROR(VLOOKUP(A316,'District Codes'!D:F,3,FALSE),"")</f>
        <v/>
      </c>
      <c r="C316" s="99" t="str">
        <f>IFERROR(VLOOKUP(A316,'District Codes'!A:B,2,FALSE),"")</f>
        <v/>
      </c>
      <c r="D316" s="104"/>
      <c r="E316" s="203" t="str">
        <f>IFERROR(VLOOKUP(D316, 'School Codes'!D:E,2,FALSE),"")</f>
        <v/>
      </c>
      <c r="F316" s="100"/>
      <c r="G316" s="100"/>
      <c r="H316" s="100"/>
      <c r="I316" s="101"/>
      <c r="J316" s="100"/>
      <c r="K316" s="100"/>
      <c r="L316" s="100"/>
      <c r="M316" s="100"/>
      <c r="N316" s="102"/>
      <c r="O316" s="103"/>
      <c r="P316" s="105"/>
    </row>
    <row r="317" spans="1:16" x14ac:dyDescent="0.3">
      <c r="A317" s="97" t="e">
        <f>'Cover Page'!$D$5</f>
        <v>#N/A</v>
      </c>
      <c r="B317" s="98" t="str">
        <f>IFERROR(VLOOKUP(A317,'District Codes'!D:F,3,FALSE),"")</f>
        <v/>
      </c>
      <c r="C317" s="99" t="str">
        <f>IFERROR(VLOOKUP(A317,'District Codes'!A:B,2,FALSE),"")</f>
        <v/>
      </c>
      <c r="D317" s="104"/>
      <c r="E317" s="203" t="str">
        <f>IFERROR(VLOOKUP(D317, 'School Codes'!D:E,2,FALSE),"")</f>
        <v/>
      </c>
      <c r="F317" s="100"/>
      <c r="G317" s="100"/>
      <c r="H317" s="100"/>
      <c r="I317" s="100"/>
      <c r="J317" s="100"/>
      <c r="K317" s="100"/>
      <c r="L317" s="100"/>
      <c r="M317" s="100"/>
      <c r="N317" s="102"/>
      <c r="O317" s="103"/>
      <c r="P317" s="105"/>
    </row>
    <row r="318" spans="1:16" x14ac:dyDescent="0.3">
      <c r="A318" s="97" t="e">
        <f>'Cover Page'!$D$5</f>
        <v>#N/A</v>
      </c>
      <c r="B318" s="98" t="str">
        <f>IFERROR(VLOOKUP(A318,'District Codes'!D:F,3,FALSE),"")</f>
        <v/>
      </c>
      <c r="C318" s="99" t="str">
        <f>IFERROR(VLOOKUP(A318,'District Codes'!A:B,2,FALSE),"")</f>
        <v/>
      </c>
      <c r="D318" s="104"/>
      <c r="E318" s="203" t="str">
        <f>IFERROR(VLOOKUP(D318, 'School Codes'!D:E,2,FALSE),"")</f>
        <v/>
      </c>
      <c r="F318" s="100"/>
      <c r="G318" s="100"/>
      <c r="H318" s="100"/>
      <c r="I318" s="100"/>
      <c r="J318" s="100"/>
      <c r="K318" s="100"/>
      <c r="L318" s="100"/>
      <c r="M318" s="100"/>
      <c r="N318" s="102"/>
      <c r="O318" s="103"/>
      <c r="P318" s="105"/>
    </row>
    <row r="319" spans="1:16" x14ac:dyDescent="0.3">
      <c r="A319" s="97" t="e">
        <f>'Cover Page'!$D$5</f>
        <v>#N/A</v>
      </c>
      <c r="B319" s="98" t="str">
        <f>IFERROR(VLOOKUP(A319,'District Codes'!D:F,3,FALSE),"")</f>
        <v/>
      </c>
      <c r="C319" s="99" t="str">
        <f>IFERROR(VLOOKUP(A319,'District Codes'!A:B,2,FALSE),"")</f>
        <v/>
      </c>
      <c r="D319" s="104"/>
      <c r="E319" s="203" t="str">
        <f>IFERROR(VLOOKUP(D319, 'School Codes'!D:E,2,FALSE),"")</f>
        <v/>
      </c>
      <c r="F319" s="100"/>
      <c r="G319" s="100"/>
      <c r="H319" s="100"/>
      <c r="I319" s="100"/>
      <c r="J319" s="100"/>
      <c r="K319" s="100"/>
      <c r="L319" s="100"/>
      <c r="M319" s="100"/>
      <c r="N319" s="102"/>
      <c r="O319" s="103"/>
      <c r="P319" s="105"/>
    </row>
    <row r="320" spans="1:16" x14ac:dyDescent="0.3">
      <c r="A320" s="97" t="e">
        <f>'Cover Page'!$D$5</f>
        <v>#N/A</v>
      </c>
      <c r="B320" s="98" t="str">
        <f>IFERROR(VLOOKUP(A320,'District Codes'!D:F,3,FALSE),"")</f>
        <v/>
      </c>
      <c r="C320" s="99" t="str">
        <f>IFERROR(VLOOKUP(A320,'District Codes'!A:B,2,FALSE),"")</f>
        <v/>
      </c>
      <c r="D320" s="104"/>
      <c r="E320" s="203" t="str">
        <f>IFERROR(VLOOKUP(D320, 'School Codes'!D:E,2,FALSE),"")</f>
        <v/>
      </c>
      <c r="F320" s="100"/>
      <c r="G320" s="100"/>
      <c r="H320" s="100"/>
      <c r="I320" s="100"/>
      <c r="J320" s="100"/>
      <c r="K320" s="100"/>
      <c r="L320" s="100"/>
      <c r="M320" s="100"/>
      <c r="N320" s="102"/>
      <c r="O320" s="103"/>
      <c r="P320" s="105"/>
    </row>
    <row r="321" spans="1:16" x14ac:dyDescent="0.3">
      <c r="A321" s="97" t="e">
        <f>'Cover Page'!$D$5</f>
        <v>#N/A</v>
      </c>
      <c r="B321" s="98" t="str">
        <f>IFERROR(VLOOKUP(A321,'District Codes'!D:F,3,FALSE),"")</f>
        <v/>
      </c>
      <c r="C321" s="99" t="str">
        <f>IFERROR(VLOOKUP(A321,'District Codes'!A:B,2,FALSE),"")</f>
        <v/>
      </c>
      <c r="D321" s="104"/>
      <c r="E321" s="203" t="str">
        <f>IFERROR(VLOOKUP(D321, 'School Codes'!D:E,2,FALSE),"")</f>
        <v/>
      </c>
      <c r="F321" s="100"/>
      <c r="G321" s="100"/>
      <c r="H321" s="100"/>
      <c r="I321" s="100"/>
      <c r="J321" s="100"/>
      <c r="K321" s="100"/>
      <c r="L321" s="100"/>
      <c r="M321" s="100"/>
      <c r="N321" s="102"/>
      <c r="O321" s="103"/>
      <c r="P321" s="105"/>
    </row>
    <row r="322" spans="1:16" x14ac:dyDescent="0.3">
      <c r="A322" s="97" t="e">
        <f>'Cover Page'!$D$5</f>
        <v>#N/A</v>
      </c>
      <c r="B322" s="98" t="str">
        <f>IFERROR(VLOOKUP(A322,'District Codes'!D:F,3,FALSE),"")</f>
        <v/>
      </c>
      <c r="C322" s="99" t="str">
        <f>IFERROR(VLOOKUP(A322,'District Codes'!A:B,2,FALSE),"")</f>
        <v/>
      </c>
      <c r="D322" s="104"/>
      <c r="E322" s="203" t="str">
        <f>IFERROR(VLOOKUP(D322, 'School Codes'!D:E,2,FALSE),"")</f>
        <v/>
      </c>
      <c r="F322" s="100"/>
      <c r="G322" s="100"/>
      <c r="H322" s="100"/>
      <c r="I322" s="100"/>
      <c r="J322" s="100"/>
      <c r="K322" s="100"/>
      <c r="L322" s="100"/>
      <c r="M322" s="100"/>
      <c r="N322" s="102"/>
      <c r="O322" s="103"/>
      <c r="P322" s="105"/>
    </row>
    <row r="323" spans="1:16" x14ac:dyDescent="0.3">
      <c r="A323" s="97" t="e">
        <f>'Cover Page'!$D$5</f>
        <v>#N/A</v>
      </c>
      <c r="B323" s="98" t="str">
        <f>IFERROR(VLOOKUP(A323,'District Codes'!D:F,3,FALSE),"")</f>
        <v/>
      </c>
      <c r="C323" s="99" t="str">
        <f>IFERROR(VLOOKUP(A323,'District Codes'!A:B,2,FALSE),"")</f>
        <v/>
      </c>
      <c r="D323" s="104"/>
      <c r="E323" s="203" t="str">
        <f>IFERROR(VLOOKUP(D323, 'School Codes'!D:E,2,FALSE),"")</f>
        <v/>
      </c>
      <c r="F323" s="100"/>
      <c r="G323" s="100"/>
      <c r="H323" s="100"/>
      <c r="I323" s="100"/>
      <c r="J323" s="100"/>
      <c r="K323" s="100"/>
      <c r="L323" s="100"/>
      <c r="M323" s="100"/>
      <c r="N323" s="102"/>
      <c r="O323" s="103"/>
      <c r="P323" s="105"/>
    </row>
    <row r="324" spans="1:16" x14ac:dyDescent="0.3">
      <c r="A324" s="97" t="e">
        <f>'Cover Page'!$D$5</f>
        <v>#N/A</v>
      </c>
      <c r="B324" s="98" t="str">
        <f>IFERROR(VLOOKUP(A324,'District Codes'!D:F,3,FALSE),"")</f>
        <v/>
      </c>
      <c r="C324" s="99" t="str">
        <f>IFERROR(VLOOKUP(A324,'District Codes'!A:B,2,FALSE),"")</f>
        <v/>
      </c>
      <c r="D324" s="104"/>
      <c r="E324" s="203" t="str">
        <f>IFERROR(VLOOKUP(D324, 'School Codes'!D:E,2,FALSE),"")</f>
        <v/>
      </c>
      <c r="F324" s="100"/>
      <c r="G324" s="100"/>
      <c r="H324" s="100"/>
      <c r="I324" s="100"/>
      <c r="J324" s="100"/>
      <c r="K324" s="100"/>
      <c r="L324" s="100"/>
      <c r="M324" s="100"/>
      <c r="N324" s="102"/>
      <c r="O324" s="103"/>
      <c r="P324" s="105"/>
    </row>
    <row r="325" spans="1:16" x14ac:dyDescent="0.3">
      <c r="A325" s="97" t="e">
        <f>'Cover Page'!$D$5</f>
        <v>#N/A</v>
      </c>
      <c r="B325" s="98" t="str">
        <f>IFERROR(VLOOKUP(A325,'District Codes'!D:F,3,FALSE),"")</f>
        <v/>
      </c>
      <c r="C325" s="99" t="str">
        <f>IFERROR(VLOOKUP(A325,'District Codes'!A:B,2,FALSE),"")</f>
        <v/>
      </c>
      <c r="D325" s="106"/>
      <c r="E325" s="203" t="str">
        <f>IFERROR(VLOOKUP(D325, 'School Codes'!D:E,2,FALSE),"")</f>
        <v/>
      </c>
      <c r="F325" s="100"/>
      <c r="G325" s="100"/>
      <c r="H325" s="100"/>
      <c r="I325" s="100"/>
      <c r="J325" s="100"/>
      <c r="K325" s="100"/>
      <c r="L325" s="100"/>
      <c r="M325" s="100"/>
      <c r="N325" s="102"/>
      <c r="O325" s="103"/>
      <c r="P325" s="105"/>
    </row>
    <row r="326" spans="1:16" x14ac:dyDescent="0.3">
      <c r="A326" s="97" t="e">
        <f>'Cover Page'!$D$5</f>
        <v>#N/A</v>
      </c>
      <c r="B326" s="98" t="str">
        <f>IFERROR(VLOOKUP(A326,'District Codes'!D:F,3,FALSE),"")</f>
        <v/>
      </c>
      <c r="C326" s="99" t="str">
        <f>IFERROR(VLOOKUP(A326,'District Codes'!A:B,2,FALSE),"")</f>
        <v/>
      </c>
      <c r="D326" s="106"/>
      <c r="E326" s="203" t="str">
        <f>IFERROR(VLOOKUP(D326, 'School Codes'!D:E,2,FALSE),"")</f>
        <v/>
      </c>
      <c r="F326" s="100"/>
      <c r="G326" s="100"/>
      <c r="H326" s="100"/>
      <c r="I326" s="100"/>
      <c r="J326" s="100"/>
      <c r="K326" s="100"/>
      <c r="L326" s="100"/>
      <c r="M326" s="100"/>
      <c r="N326" s="102"/>
      <c r="O326" s="103"/>
      <c r="P326" s="105"/>
    </row>
    <row r="327" spans="1:16" x14ac:dyDescent="0.3">
      <c r="A327" s="97" t="e">
        <f>'Cover Page'!$D$5</f>
        <v>#N/A</v>
      </c>
      <c r="B327" s="98" t="str">
        <f>IFERROR(VLOOKUP(A327,'District Codes'!D:F,3,FALSE),"")</f>
        <v/>
      </c>
      <c r="C327" s="99" t="str">
        <f>IFERROR(VLOOKUP(A327,'District Codes'!A:B,2,FALSE),"")</f>
        <v/>
      </c>
      <c r="D327" s="106"/>
      <c r="E327" s="203" t="str">
        <f>IFERROR(VLOOKUP(D327, 'School Codes'!D:E,2,FALSE),"")</f>
        <v/>
      </c>
      <c r="F327" s="100"/>
      <c r="G327" s="100"/>
      <c r="H327" s="100"/>
      <c r="I327" s="100"/>
      <c r="J327" s="100"/>
      <c r="K327" s="100"/>
      <c r="L327" s="100"/>
      <c r="M327" s="100"/>
      <c r="N327" s="102"/>
      <c r="O327" s="103"/>
      <c r="P327" s="105"/>
    </row>
    <row r="328" spans="1:16" ht="14.4" thickBot="1" x14ac:dyDescent="0.35">
      <c r="A328" s="97" t="e">
        <f>'Cover Page'!$D$5</f>
        <v>#N/A</v>
      </c>
      <c r="B328" s="98" t="str">
        <f>IFERROR(VLOOKUP(A328,'District Codes'!D:F,3,FALSE),"")</f>
        <v/>
      </c>
      <c r="C328" s="99" t="str">
        <f>IFERROR(VLOOKUP(A328,'District Codes'!A:B,2,FALSE),"")</f>
        <v/>
      </c>
      <c r="D328" s="104"/>
      <c r="E328" s="203" t="str">
        <f>IFERROR(VLOOKUP(D328, 'School Codes'!D:E,2,FALSE),"")</f>
        <v/>
      </c>
      <c r="F328" s="100"/>
      <c r="G328" s="100"/>
      <c r="H328" s="100"/>
      <c r="I328" s="100"/>
      <c r="J328" s="100"/>
      <c r="K328" s="100"/>
      <c r="L328" s="100"/>
      <c r="M328" s="100"/>
      <c r="N328" s="102"/>
      <c r="O328" s="103"/>
      <c r="P328" s="105"/>
    </row>
    <row r="329" spans="1:16" x14ac:dyDescent="0.3">
      <c r="A329" s="97" t="e">
        <f>'Cover Page'!$D$5</f>
        <v>#N/A</v>
      </c>
      <c r="B329" s="98" t="str">
        <f>IFERROR(VLOOKUP(A329,'District Codes'!D:F,3,FALSE),"")</f>
        <v/>
      </c>
      <c r="C329" s="99" t="str">
        <f>IFERROR(VLOOKUP(A329,'District Codes'!A:B,2,FALSE),"")</f>
        <v/>
      </c>
      <c r="D329" s="104"/>
      <c r="E329" s="203" t="str">
        <f>IFERROR(VLOOKUP(D329, 'School Codes'!D:E,2,FALSE),"")</f>
        <v/>
      </c>
      <c r="F329" s="100"/>
      <c r="G329" s="100"/>
      <c r="H329" s="100"/>
      <c r="I329" s="101"/>
      <c r="J329" s="100"/>
      <c r="K329" s="100"/>
      <c r="L329" s="100"/>
      <c r="M329" s="100"/>
      <c r="N329" s="102"/>
      <c r="O329" s="103"/>
      <c r="P329" s="105"/>
    </row>
    <row r="330" spans="1:16" x14ac:dyDescent="0.3">
      <c r="A330" s="97" t="e">
        <f>'Cover Page'!$D$5</f>
        <v>#N/A</v>
      </c>
      <c r="B330" s="98" t="str">
        <f>IFERROR(VLOOKUP(A330,'District Codes'!D:F,3,FALSE),"")</f>
        <v/>
      </c>
      <c r="C330" s="99" t="str">
        <f>IFERROR(VLOOKUP(A330,'District Codes'!A:B,2,FALSE),"")</f>
        <v/>
      </c>
      <c r="D330" s="104"/>
      <c r="E330" s="203" t="str">
        <f>IFERROR(VLOOKUP(D330, 'School Codes'!D:E,2,FALSE),"")</f>
        <v/>
      </c>
      <c r="F330" s="100"/>
      <c r="G330" s="100"/>
      <c r="H330" s="100"/>
      <c r="I330" s="100"/>
      <c r="J330" s="100"/>
      <c r="K330" s="100"/>
      <c r="L330" s="100"/>
      <c r="M330" s="100"/>
      <c r="N330" s="102"/>
      <c r="O330" s="103"/>
      <c r="P330" s="105"/>
    </row>
    <row r="331" spans="1:16" x14ac:dyDescent="0.3">
      <c r="A331" s="97" t="e">
        <f>'Cover Page'!$D$5</f>
        <v>#N/A</v>
      </c>
      <c r="B331" s="98" t="str">
        <f>IFERROR(VLOOKUP(A331,'District Codes'!D:F,3,FALSE),"")</f>
        <v/>
      </c>
      <c r="C331" s="99" t="str">
        <f>IFERROR(VLOOKUP(A331,'District Codes'!A:B,2,FALSE),"")</f>
        <v/>
      </c>
      <c r="D331" s="104"/>
      <c r="E331" s="203" t="str">
        <f>IFERROR(VLOOKUP(D331, 'School Codes'!D:E,2,FALSE),"")</f>
        <v/>
      </c>
      <c r="F331" s="100"/>
      <c r="G331" s="100"/>
      <c r="H331" s="100"/>
      <c r="I331" s="100"/>
      <c r="J331" s="100"/>
      <c r="K331" s="100"/>
      <c r="L331" s="100"/>
      <c r="M331" s="100"/>
      <c r="N331" s="102"/>
      <c r="O331" s="103"/>
      <c r="P331" s="105"/>
    </row>
    <row r="332" spans="1:16" x14ac:dyDescent="0.3">
      <c r="A332" s="97" t="e">
        <f>'Cover Page'!$D$5</f>
        <v>#N/A</v>
      </c>
      <c r="B332" s="98" t="str">
        <f>IFERROR(VLOOKUP(A332,'District Codes'!D:F,3,FALSE),"")</f>
        <v/>
      </c>
      <c r="C332" s="99" t="str">
        <f>IFERROR(VLOOKUP(A332,'District Codes'!A:B,2,FALSE),"")</f>
        <v/>
      </c>
      <c r="D332" s="104"/>
      <c r="E332" s="203" t="str">
        <f>IFERROR(VLOOKUP(D332, 'School Codes'!D:E,2,FALSE),"")</f>
        <v/>
      </c>
      <c r="F332" s="100"/>
      <c r="G332" s="100"/>
      <c r="H332" s="100"/>
      <c r="I332" s="100"/>
      <c r="J332" s="100"/>
      <c r="K332" s="100"/>
      <c r="L332" s="100"/>
      <c r="M332" s="100"/>
      <c r="N332" s="102"/>
      <c r="O332" s="103"/>
      <c r="P332" s="105"/>
    </row>
    <row r="333" spans="1:16" x14ac:dyDescent="0.3">
      <c r="A333" s="97" t="e">
        <f>'Cover Page'!$D$5</f>
        <v>#N/A</v>
      </c>
      <c r="B333" s="98" t="str">
        <f>IFERROR(VLOOKUP(A333,'District Codes'!D:F,3,FALSE),"")</f>
        <v/>
      </c>
      <c r="C333" s="99" t="str">
        <f>IFERROR(VLOOKUP(A333,'District Codes'!A:B,2,FALSE),"")</f>
        <v/>
      </c>
      <c r="D333" s="104"/>
      <c r="E333" s="203" t="str">
        <f>IFERROR(VLOOKUP(D333, 'School Codes'!D:E,2,FALSE),"")</f>
        <v/>
      </c>
      <c r="F333" s="100"/>
      <c r="G333" s="100"/>
      <c r="H333" s="100"/>
      <c r="I333" s="100"/>
      <c r="J333" s="100"/>
      <c r="K333" s="100"/>
      <c r="L333" s="100"/>
      <c r="M333" s="100"/>
      <c r="N333" s="102"/>
      <c r="O333" s="103"/>
      <c r="P333" s="105"/>
    </row>
    <row r="334" spans="1:16" x14ac:dyDescent="0.3">
      <c r="A334" s="97" t="e">
        <f>'Cover Page'!$D$5</f>
        <v>#N/A</v>
      </c>
      <c r="B334" s="98" t="str">
        <f>IFERROR(VLOOKUP(A334,'District Codes'!D:F,3,FALSE),"")</f>
        <v/>
      </c>
      <c r="C334" s="99" t="str">
        <f>IFERROR(VLOOKUP(A334,'District Codes'!A:B,2,FALSE),"")</f>
        <v/>
      </c>
      <c r="D334" s="104"/>
      <c r="E334" s="203" t="str">
        <f>IFERROR(VLOOKUP(D334, 'School Codes'!D:E,2,FALSE),"")</f>
        <v/>
      </c>
      <c r="F334" s="100"/>
      <c r="G334" s="100"/>
      <c r="H334" s="100"/>
      <c r="I334" s="100"/>
      <c r="J334" s="100"/>
      <c r="K334" s="100"/>
      <c r="L334" s="100"/>
      <c r="M334" s="100"/>
      <c r="N334" s="102"/>
      <c r="O334" s="103"/>
      <c r="P334" s="105"/>
    </row>
    <row r="335" spans="1:16" x14ac:dyDescent="0.3">
      <c r="A335" s="97" t="e">
        <f>'Cover Page'!$D$5</f>
        <v>#N/A</v>
      </c>
      <c r="B335" s="98" t="str">
        <f>IFERROR(VLOOKUP(A335,'District Codes'!D:F,3,FALSE),"")</f>
        <v/>
      </c>
      <c r="C335" s="99" t="str">
        <f>IFERROR(VLOOKUP(A335,'District Codes'!A:B,2,FALSE),"")</f>
        <v/>
      </c>
      <c r="D335" s="104"/>
      <c r="E335" s="203" t="str">
        <f>IFERROR(VLOOKUP(D335, 'School Codes'!D:E,2,FALSE),"")</f>
        <v/>
      </c>
      <c r="F335" s="100"/>
      <c r="G335" s="100"/>
      <c r="H335" s="100"/>
      <c r="I335" s="100"/>
      <c r="J335" s="100"/>
      <c r="K335" s="100"/>
      <c r="L335" s="100"/>
      <c r="M335" s="100"/>
      <c r="N335" s="102"/>
      <c r="O335" s="103"/>
      <c r="P335" s="105"/>
    </row>
    <row r="336" spans="1:16" x14ac:dyDescent="0.3">
      <c r="A336" s="97" t="e">
        <f>'Cover Page'!$D$5</f>
        <v>#N/A</v>
      </c>
      <c r="B336" s="98" t="str">
        <f>IFERROR(VLOOKUP(A336,'District Codes'!D:F,3,FALSE),"")</f>
        <v/>
      </c>
      <c r="C336" s="99" t="str">
        <f>IFERROR(VLOOKUP(A336,'District Codes'!A:B,2,FALSE),"")</f>
        <v/>
      </c>
      <c r="D336" s="104"/>
      <c r="E336" s="203" t="str">
        <f>IFERROR(VLOOKUP(D336, 'School Codes'!D:E,2,FALSE),"")</f>
        <v/>
      </c>
      <c r="F336" s="100"/>
      <c r="G336" s="100"/>
      <c r="H336" s="100"/>
      <c r="I336" s="100"/>
      <c r="J336" s="100"/>
      <c r="K336" s="100"/>
      <c r="L336" s="100"/>
      <c r="M336" s="100"/>
      <c r="N336" s="102"/>
      <c r="O336" s="103"/>
      <c r="P336" s="105"/>
    </row>
    <row r="337" spans="1:16" x14ac:dyDescent="0.3">
      <c r="A337" s="97" t="e">
        <f>'Cover Page'!$D$5</f>
        <v>#N/A</v>
      </c>
      <c r="B337" s="98" t="str">
        <f>IFERROR(VLOOKUP(A337,'District Codes'!D:F,3,FALSE),"")</f>
        <v/>
      </c>
      <c r="C337" s="99" t="str">
        <f>IFERROR(VLOOKUP(A337,'District Codes'!A:B,2,FALSE),"")</f>
        <v/>
      </c>
      <c r="D337" s="104"/>
      <c r="E337" s="203" t="str">
        <f>IFERROR(VLOOKUP(D337, 'School Codes'!D:E,2,FALSE),"")</f>
        <v/>
      </c>
      <c r="F337" s="100"/>
      <c r="G337" s="100"/>
      <c r="H337" s="100"/>
      <c r="I337" s="100"/>
      <c r="J337" s="100"/>
      <c r="K337" s="100"/>
      <c r="L337" s="100"/>
      <c r="M337" s="100"/>
      <c r="N337" s="102"/>
      <c r="O337" s="103"/>
      <c r="P337" s="105"/>
    </row>
    <row r="338" spans="1:16" x14ac:dyDescent="0.3">
      <c r="A338" s="97" t="e">
        <f>'Cover Page'!$D$5</f>
        <v>#N/A</v>
      </c>
      <c r="B338" s="98" t="str">
        <f>IFERROR(VLOOKUP(A338,'District Codes'!D:F,3,FALSE),"")</f>
        <v/>
      </c>
      <c r="C338" s="99" t="str">
        <f>IFERROR(VLOOKUP(A338,'District Codes'!A:B,2,FALSE),"")</f>
        <v/>
      </c>
      <c r="D338" s="106"/>
      <c r="E338" s="203" t="str">
        <f>IFERROR(VLOOKUP(D338, 'School Codes'!D:E,2,FALSE),"")</f>
        <v/>
      </c>
      <c r="F338" s="100"/>
      <c r="G338" s="100"/>
      <c r="H338" s="100"/>
      <c r="I338" s="100"/>
      <c r="J338" s="100"/>
      <c r="K338" s="100"/>
      <c r="L338" s="100"/>
      <c r="M338" s="100"/>
      <c r="N338" s="102"/>
      <c r="O338" s="103"/>
      <c r="P338" s="105"/>
    </row>
    <row r="339" spans="1:16" x14ac:dyDescent="0.3">
      <c r="A339" s="97" t="e">
        <f>'Cover Page'!$D$5</f>
        <v>#N/A</v>
      </c>
      <c r="B339" s="98" t="str">
        <f>IFERROR(VLOOKUP(A339,'District Codes'!D:F,3,FALSE),"")</f>
        <v/>
      </c>
      <c r="C339" s="99" t="str">
        <f>IFERROR(VLOOKUP(A339,'District Codes'!A:B,2,FALSE),"")</f>
        <v/>
      </c>
      <c r="D339" s="106"/>
      <c r="E339" s="203" t="str">
        <f>IFERROR(VLOOKUP(D339, 'School Codes'!D:E,2,FALSE),"")</f>
        <v/>
      </c>
      <c r="F339" s="100"/>
      <c r="G339" s="100"/>
      <c r="H339" s="100"/>
      <c r="I339" s="100"/>
      <c r="J339" s="100"/>
      <c r="K339" s="100"/>
      <c r="L339" s="100"/>
      <c r="M339" s="100"/>
      <c r="N339" s="102"/>
      <c r="O339" s="103"/>
      <c r="P339" s="105"/>
    </row>
    <row r="340" spans="1:16" x14ac:dyDescent="0.3">
      <c r="A340" s="97" t="e">
        <f>'Cover Page'!$D$5</f>
        <v>#N/A</v>
      </c>
      <c r="B340" s="98" t="str">
        <f>IFERROR(VLOOKUP(A340,'District Codes'!D:F,3,FALSE),"")</f>
        <v/>
      </c>
      <c r="C340" s="99" t="str">
        <f>IFERROR(VLOOKUP(A340,'District Codes'!A:B,2,FALSE),"")</f>
        <v/>
      </c>
      <c r="D340" s="106"/>
      <c r="E340" s="203" t="str">
        <f>IFERROR(VLOOKUP(D340, 'School Codes'!D:E,2,FALSE),"")</f>
        <v/>
      </c>
      <c r="F340" s="100"/>
      <c r="G340" s="100"/>
      <c r="H340" s="100"/>
      <c r="I340" s="100"/>
      <c r="J340" s="100"/>
      <c r="K340" s="100"/>
      <c r="L340" s="100"/>
      <c r="M340" s="100"/>
      <c r="N340" s="102"/>
      <c r="O340" s="103"/>
      <c r="P340" s="105"/>
    </row>
    <row r="341" spans="1:16" ht="14.4" thickBot="1" x14ac:dyDescent="0.35">
      <c r="A341" s="97" t="e">
        <f>'Cover Page'!$D$5</f>
        <v>#N/A</v>
      </c>
      <c r="B341" s="98" t="str">
        <f>IFERROR(VLOOKUP(A341,'District Codes'!D:F,3,FALSE),"")</f>
        <v/>
      </c>
      <c r="C341" s="99" t="str">
        <f>IFERROR(VLOOKUP(A341,'District Codes'!A:B,2,FALSE),"")</f>
        <v/>
      </c>
      <c r="D341" s="104"/>
      <c r="E341" s="203" t="str">
        <f>IFERROR(VLOOKUP(D341, 'School Codes'!D:E,2,FALSE),"")</f>
        <v/>
      </c>
      <c r="F341" s="100"/>
      <c r="G341" s="100"/>
      <c r="H341" s="100"/>
      <c r="I341" s="100"/>
      <c r="J341" s="100"/>
      <c r="K341" s="100"/>
      <c r="L341" s="100"/>
      <c r="M341" s="100"/>
      <c r="N341" s="102"/>
      <c r="O341" s="103"/>
      <c r="P341" s="105"/>
    </row>
    <row r="342" spans="1:16" x14ac:dyDescent="0.3">
      <c r="A342" s="97" t="e">
        <f>'Cover Page'!$D$5</f>
        <v>#N/A</v>
      </c>
      <c r="B342" s="98" t="str">
        <f>IFERROR(VLOOKUP(A342,'District Codes'!D:F,3,FALSE),"")</f>
        <v/>
      </c>
      <c r="C342" s="99" t="str">
        <f>IFERROR(VLOOKUP(A342,'District Codes'!A:B,2,FALSE),"")</f>
        <v/>
      </c>
      <c r="D342" s="104"/>
      <c r="E342" s="203" t="str">
        <f>IFERROR(VLOOKUP(D342, 'School Codes'!D:E,2,FALSE),"")</f>
        <v/>
      </c>
      <c r="F342" s="100"/>
      <c r="G342" s="100"/>
      <c r="H342" s="100"/>
      <c r="I342" s="101"/>
      <c r="J342" s="100"/>
      <c r="K342" s="100"/>
      <c r="L342" s="100"/>
      <c r="M342" s="100"/>
      <c r="N342" s="102"/>
      <c r="O342" s="103"/>
      <c r="P342" s="105"/>
    </row>
    <row r="343" spans="1:16" x14ac:dyDescent="0.3">
      <c r="A343" s="97" t="e">
        <f>'Cover Page'!$D$5</f>
        <v>#N/A</v>
      </c>
      <c r="B343" s="98" t="str">
        <f>IFERROR(VLOOKUP(A343,'District Codes'!D:F,3,FALSE),"")</f>
        <v/>
      </c>
      <c r="C343" s="99" t="str">
        <f>IFERROR(VLOOKUP(A343,'District Codes'!A:B,2,FALSE),"")</f>
        <v/>
      </c>
      <c r="D343" s="104"/>
      <c r="E343" s="203" t="str">
        <f>IFERROR(VLOOKUP(D343, 'School Codes'!D:E,2,FALSE),"")</f>
        <v/>
      </c>
      <c r="F343" s="100"/>
      <c r="G343" s="100"/>
      <c r="H343" s="100"/>
      <c r="I343" s="100"/>
      <c r="J343" s="100"/>
      <c r="K343" s="100"/>
      <c r="L343" s="100"/>
      <c r="M343" s="100"/>
      <c r="N343" s="102"/>
      <c r="O343" s="103"/>
      <c r="P343" s="105"/>
    </row>
    <row r="344" spans="1:16" x14ac:dyDescent="0.3">
      <c r="A344" s="97" t="e">
        <f>'Cover Page'!$D$5</f>
        <v>#N/A</v>
      </c>
      <c r="B344" s="98" t="str">
        <f>IFERROR(VLOOKUP(A344,'District Codes'!D:F,3,FALSE),"")</f>
        <v/>
      </c>
      <c r="C344" s="99" t="str">
        <f>IFERROR(VLOOKUP(A344,'District Codes'!A:B,2,FALSE),"")</f>
        <v/>
      </c>
      <c r="D344" s="104"/>
      <c r="E344" s="203" t="str">
        <f>IFERROR(VLOOKUP(D344, 'School Codes'!D:E,2,FALSE),"")</f>
        <v/>
      </c>
      <c r="F344" s="100"/>
      <c r="G344" s="100"/>
      <c r="H344" s="100"/>
      <c r="I344" s="100"/>
      <c r="J344" s="100"/>
      <c r="K344" s="100"/>
      <c r="L344" s="100"/>
      <c r="M344" s="100"/>
      <c r="N344" s="102"/>
      <c r="O344" s="103"/>
      <c r="P344" s="105"/>
    </row>
    <row r="345" spans="1:16" x14ac:dyDescent="0.3">
      <c r="A345" s="97" t="e">
        <f>'Cover Page'!$D$5</f>
        <v>#N/A</v>
      </c>
      <c r="B345" s="98" t="str">
        <f>IFERROR(VLOOKUP(A345,'District Codes'!D:F,3,FALSE),"")</f>
        <v/>
      </c>
      <c r="C345" s="99" t="str">
        <f>IFERROR(VLOOKUP(A345,'District Codes'!A:B,2,FALSE),"")</f>
        <v/>
      </c>
      <c r="D345" s="104"/>
      <c r="E345" s="203" t="str">
        <f>IFERROR(VLOOKUP(D345, 'School Codes'!D:E,2,FALSE),"")</f>
        <v/>
      </c>
      <c r="F345" s="100"/>
      <c r="G345" s="100"/>
      <c r="H345" s="100"/>
      <c r="I345" s="100"/>
      <c r="J345" s="100"/>
      <c r="K345" s="100"/>
      <c r="L345" s="100"/>
      <c r="M345" s="100"/>
      <c r="N345" s="102"/>
      <c r="O345" s="103"/>
      <c r="P345" s="105"/>
    </row>
    <row r="346" spans="1:16" x14ac:dyDescent="0.3">
      <c r="A346" s="97" t="e">
        <f>'Cover Page'!$D$5</f>
        <v>#N/A</v>
      </c>
      <c r="B346" s="98" t="str">
        <f>IFERROR(VLOOKUP(A346,'District Codes'!D:F,3,FALSE),"")</f>
        <v/>
      </c>
      <c r="C346" s="99" t="str">
        <f>IFERROR(VLOOKUP(A346,'District Codes'!A:B,2,FALSE),"")</f>
        <v/>
      </c>
      <c r="D346" s="104"/>
      <c r="E346" s="203" t="str">
        <f>IFERROR(VLOOKUP(D346, 'School Codes'!D:E,2,FALSE),"")</f>
        <v/>
      </c>
      <c r="F346" s="100"/>
      <c r="G346" s="100"/>
      <c r="H346" s="100"/>
      <c r="I346" s="100"/>
      <c r="J346" s="100"/>
      <c r="K346" s="100"/>
      <c r="L346" s="100"/>
      <c r="M346" s="100"/>
      <c r="N346" s="102"/>
      <c r="O346" s="103"/>
      <c r="P346" s="105"/>
    </row>
    <row r="347" spans="1:16" x14ac:dyDescent="0.3">
      <c r="A347" s="97" t="e">
        <f>'Cover Page'!$D$5</f>
        <v>#N/A</v>
      </c>
      <c r="B347" s="98" t="str">
        <f>IFERROR(VLOOKUP(A347,'District Codes'!D:F,3,FALSE),"")</f>
        <v/>
      </c>
      <c r="C347" s="99" t="str">
        <f>IFERROR(VLOOKUP(A347,'District Codes'!A:B,2,FALSE),"")</f>
        <v/>
      </c>
      <c r="D347" s="104"/>
      <c r="E347" s="203" t="str">
        <f>IFERROR(VLOOKUP(D347, 'School Codes'!D:E,2,FALSE),"")</f>
        <v/>
      </c>
      <c r="F347" s="100"/>
      <c r="G347" s="100"/>
      <c r="H347" s="100"/>
      <c r="I347" s="100"/>
      <c r="J347" s="100"/>
      <c r="K347" s="100"/>
      <c r="L347" s="100"/>
      <c r="M347" s="100"/>
      <c r="N347" s="102"/>
      <c r="O347" s="103"/>
      <c r="P347" s="105"/>
    </row>
    <row r="348" spans="1:16" x14ac:dyDescent="0.3">
      <c r="A348" s="97" t="e">
        <f>'Cover Page'!$D$5</f>
        <v>#N/A</v>
      </c>
      <c r="B348" s="98" t="str">
        <f>IFERROR(VLOOKUP(A348,'District Codes'!D:F,3,FALSE),"")</f>
        <v/>
      </c>
      <c r="C348" s="99" t="str">
        <f>IFERROR(VLOOKUP(A348,'District Codes'!A:B,2,FALSE),"")</f>
        <v/>
      </c>
      <c r="D348" s="104"/>
      <c r="E348" s="203" t="str">
        <f>IFERROR(VLOOKUP(D348, 'School Codes'!D:E,2,FALSE),"")</f>
        <v/>
      </c>
      <c r="F348" s="100"/>
      <c r="G348" s="100"/>
      <c r="H348" s="100"/>
      <c r="I348" s="100"/>
      <c r="J348" s="100"/>
      <c r="K348" s="100"/>
      <c r="L348" s="100"/>
      <c r="M348" s="100"/>
      <c r="N348" s="102"/>
      <c r="O348" s="103"/>
      <c r="P348" s="105"/>
    </row>
    <row r="349" spans="1:16" x14ac:dyDescent="0.3">
      <c r="A349" s="97" t="e">
        <f>'Cover Page'!$D$5</f>
        <v>#N/A</v>
      </c>
      <c r="B349" s="98" t="str">
        <f>IFERROR(VLOOKUP(A349,'District Codes'!D:F,3,FALSE),"")</f>
        <v/>
      </c>
      <c r="C349" s="99" t="str">
        <f>IFERROR(VLOOKUP(A349,'District Codes'!A:B,2,FALSE),"")</f>
        <v/>
      </c>
      <c r="D349" s="104"/>
      <c r="E349" s="203" t="str">
        <f>IFERROR(VLOOKUP(D349, 'School Codes'!D:E,2,FALSE),"")</f>
        <v/>
      </c>
      <c r="F349" s="100"/>
      <c r="G349" s="100"/>
      <c r="H349" s="100"/>
      <c r="I349" s="100"/>
      <c r="J349" s="100"/>
      <c r="K349" s="100"/>
      <c r="L349" s="100"/>
      <c r="M349" s="100"/>
      <c r="N349" s="102"/>
      <c r="O349" s="103"/>
      <c r="P349" s="105"/>
    </row>
    <row r="350" spans="1:16" x14ac:dyDescent="0.3">
      <c r="A350" s="97" t="e">
        <f>'Cover Page'!$D$5</f>
        <v>#N/A</v>
      </c>
      <c r="B350" s="98" t="str">
        <f>IFERROR(VLOOKUP(A350,'District Codes'!D:F,3,FALSE),"")</f>
        <v/>
      </c>
      <c r="C350" s="99" t="str">
        <f>IFERROR(VLOOKUP(A350,'District Codes'!A:B,2,FALSE),"")</f>
        <v/>
      </c>
      <c r="D350" s="104"/>
      <c r="E350" s="203" t="str">
        <f>IFERROR(VLOOKUP(D350, 'School Codes'!D:E,2,FALSE),"")</f>
        <v/>
      </c>
      <c r="F350" s="100"/>
      <c r="G350" s="100"/>
      <c r="H350" s="100"/>
      <c r="I350" s="100"/>
      <c r="J350" s="100"/>
      <c r="K350" s="100"/>
      <c r="L350" s="100"/>
      <c r="M350" s="100"/>
      <c r="N350" s="102"/>
      <c r="O350" s="103"/>
      <c r="P350" s="105"/>
    </row>
    <row r="351" spans="1:16" x14ac:dyDescent="0.3">
      <c r="A351" s="97" t="e">
        <f>'Cover Page'!$D$5</f>
        <v>#N/A</v>
      </c>
      <c r="B351" s="98" t="str">
        <f>IFERROR(VLOOKUP(A351,'District Codes'!D:F,3,FALSE),"")</f>
        <v/>
      </c>
      <c r="C351" s="99" t="str">
        <f>IFERROR(VLOOKUP(A351,'District Codes'!A:B,2,FALSE),"")</f>
        <v/>
      </c>
      <c r="D351" s="106"/>
      <c r="E351" s="203" t="str">
        <f>IFERROR(VLOOKUP(D351, 'School Codes'!D:E,2,FALSE),"")</f>
        <v/>
      </c>
      <c r="F351" s="100"/>
      <c r="G351" s="100"/>
      <c r="H351" s="100"/>
      <c r="I351" s="100"/>
      <c r="J351" s="100"/>
      <c r="K351" s="100"/>
      <c r="L351" s="100"/>
      <c r="M351" s="100"/>
      <c r="N351" s="102"/>
      <c r="O351" s="103"/>
      <c r="P351" s="105"/>
    </row>
    <row r="352" spans="1:16" x14ac:dyDescent="0.3">
      <c r="A352" s="97" t="e">
        <f>'Cover Page'!$D$5</f>
        <v>#N/A</v>
      </c>
      <c r="B352" s="98" t="str">
        <f>IFERROR(VLOOKUP(A352,'District Codes'!D:F,3,FALSE),"")</f>
        <v/>
      </c>
      <c r="C352" s="99" t="str">
        <f>IFERROR(VLOOKUP(A352,'District Codes'!A:B,2,FALSE),"")</f>
        <v/>
      </c>
      <c r="D352" s="106"/>
      <c r="E352" s="203" t="str">
        <f>IFERROR(VLOOKUP(D352, 'School Codes'!D:E,2,FALSE),"")</f>
        <v/>
      </c>
      <c r="F352" s="100"/>
      <c r="G352" s="100"/>
      <c r="H352" s="100"/>
      <c r="I352" s="100"/>
      <c r="J352" s="100"/>
      <c r="K352" s="100"/>
      <c r="L352" s="100"/>
      <c r="M352" s="100"/>
      <c r="N352" s="102"/>
      <c r="O352" s="103"/>
      <c r="P352" s="105"/>
    </row>
    <row r="353" spans="1:16" x14ac:dyDescent="0.3">
      <c r="A353" s="97" t="e">
        <f>'Cover Page'!$D$5</f>
        <v>#N/A</v>
      </c>
      <c r="B353" s="98" t="str">
        <f>IFERROR(VLOOKUP(A353,'District Codes'!D:F,3,FALSE),"")</f>
        <v/>
      </c>
      <c r="C353" s="99" t="str">
        <f>IFERROR(VLOOKUP(A353,'District Codes'!A:B,2,FALSE),"")</f>
        <v/>
      </c>
      <c r="D353" s="106"/>
      <c r="E353" s="203" t="str">
        <f>IFERROR(VLOOKUP(D353, 'School Codes'!D:E,2,FALSE),"")</f>
        <v/>
      </c>
      <c r="F353" s="100"/>
      <c r="G353" s="100"/>
      <c r="H353" s="100"/>
      <c r="I353" s="100"/>
      <c r="J353" s="100"/>
      <c r="K353" s="100"/>
      <c r="L353" s="100"/>
      <c r="M353" s="100"/>
      <c r="N353" s="102"/>
      <c r="O353" s="103"/>
      <c r="P353" s="105"/>
    </row>
    <row r="354" spans="1:16" ht="14.4" thickBot="1" x14ac:dyDescent="0.35">
      <c r="A354" s="97" t="e">
        <f>'Cover Page'!$D$5</f>
        <v>#N/A</v>
      </c>
      <c r="B354" s="98" t="str">
        <f>IFERROR(VLOOKUP(A354,'District Codes'!D:F,3,FALSE),"")</f>
        <v/>
      </c>
      <c r="C354" s="99" t="str">
        <f>IFERROR(VLOOKUP(A354,'District Codes'!A:B,2,FALSE),"")</f>
        <v/>
      </c>
      <c r="D354" s="104"/>
      <c r="E354" s="203" t="str">
        <f>IFERROR(VLOOKUP(D354, 'School Codes'!D:E,2,FALSE),"")</f>
        <v/>
      </c>
      <c r="F354" s="100"/>
      <c r="G354" s="100"/>
      <c r="H354" s="100"/>
      <c r="I354" s="100"/>
      <c r="J354" s="100"/>
      <c r="K354" s="100"/>
      <c r="L354" s="100"/>
      <c r="M354" s="100"/>
      <c r="N354" s="102"/>
      <c r="O354" s="103"/>
      <c r="P354" s="105"/>
    </row>
    <row r="355" spans="1:16" x14ac:dyDescent="0.3">
      <c r="A355" s="97" t="e">
        <f>'Cover Page'!$D$5</f>
        <v>#N/A</v>
      </c>
      <c r="B355" s="98" t="str">
        <f>IFERROR(VLOOKUP(A355,'District Codes'!D:F,3,FALSE),"")</f>
        <v/>
      </c>
      <c r="C355" s="99" t="str">
        <f>IFERROR(VLOOKUP(A355,'District Codes'!A:B,2,FALSE),"")</f>
        <v/>
      </c>
      <c r="D355" s="104"/>
      <c r="E355" s="203" t="str">
        <f>IFERROR(VLOOKUP(D355, 'School Codes'!D:E,2,FALSE),"")</f>
        <v/>
      </c>
      <c r="F355" s="100"/>
      <c r="G355" s="100"/>
      <c r="H355" s="100"/>
      <c r="I355" s="101"/>
      <c r="J355" s="100"/>
      <c r="K355" s="100"/>
      <c r="L355" s="100"/>
      <c r="M355" s="100"/>
      <c r="N355" s="102"/>
      <c r="O355" s="103"/>
      <c r="P355" s="105"/>
    </row>
    <row r="356" spans="1:16" x14ac:dyDescent="0.3">
      <c r="A356" s="97" t="e">
        <f>'Cover Page'!$D$5</f>
        <v>#N/A</v>
      </c>
      <c r="B356" s="98" t="str">
        <f>IFERROR(VLOOKUP(A356,'District Codes'!D:F,3,FALSE),"")</f>
        <v/>
      </c>
      <c r="C356" s="107" t="str">
        <f>IFERROR(VLOOKUP(A356,'District Codes'!A:B,2,FALSE),"")</f>
        <v/>
      </c>
      <c r="D356" s="104"/>
      <c r="E356" s="203" t="str">
        <f>IFERROR(VLOOKUP(D356, 'School Codes'!D:E,2,FALSE),"")</f>
        <v/>
      </c>
      <c r="F356" s="100"/>
      <c r="G356" s="100"/>
      <c r="H356" s="100"/>
      <c r="I356" s="100"/>
      <c r="J356" s="100"/>
      <c r="K356" s="100"/>
      <c r="L356" s="100"/>
      <c r="M356" s="100"/>
      <c r="N356" s="102"/>
      <c r="O356" s="103"/>
      <c r="P356" s="105"/>
    </row>
    <row r="357" spans="1:16" x14ac:dyDescent="0.3">
      <c r="A357" s="97" t="e">
        <f>'Cover Page'!$D$5</f>
        <v>#N/A</v>
      </c>
      <c r="B357" s="98" t="str">
        <f>IFERROR(VLOOKUP(A357,'District Codes'!D:F,3,FALSE),"")</f>
        <v/>
      </c>
      <c r="C357" s="107" t="str">
        <f>IFERROR(VLOOKUP(A357,'District Codes'!A:B,2,FALSE),"")</f>
        <v/>
      </c>
      <c r="D357" s="104"/>
      <c r="E357" s="203" t="str">
        <f>IFERROR(VLOOKUP(D357, 'School Codes'!D:E,2,FALSE),"")</f>
        <v/>
      </c>
      <c r="F357" s="100"/>
      <c r="G357" s="100"/>
      <c r="H357" s="100"/>
      <c r="I357" s="100"/>
      <c r="J357" s="100"/>
      <c r="K357" s="100"/>
      <c r="L357" s="100"/>
      <c r="M357" s="100"/>
      <c r="N357" s="102"/>
      <c r="O357" s="103"/>
      <c r="P357" s="105"/>
    </row>
    <row r="358" spans="1:16" x14ac:dyDescent="0.3">
      <c r="A358" s="97" t="e">
        <f>'Cover Page'!$D$5</f>
        <v>#N/A</v>
      </c>
      <c r="B358" s="98" t="str">
        <f>IFERROR(VLOOKUP(A358,'District Codes'!D:F,3,FALSE),"")</f>
        <v/>
      </c>
      <c r="C358" s="107" t="str">
        <f>IFERROR(VLOOKUP(A358,'District Codes'!A:B,2,FALSE),"")</f>
        <v/>
      </c>
      <c r="D358" s="104"/>
      <c r="E358" s="203" t="str">
        <f>IFERROR(VLOOKUP(D358, 'School Codes'!D:E,2,FALSE),"")</f>
        <v/>
      </c>
      <c r="F358" s="100"/>
      <c r="G358" s="100"/>
      <c r="H358" s="100"/>
      <c r="I358" s="100"/>
      <c r="J358" s="100"/>
      <c r="K358" s="100"/>
      <c r="L358" s="100"/>
      <c r="M358" s="100"/>
      <c r="N358" s="102"/>
      <c r="O358" s="103"/>
      <c r="P358" s="105"/>
    </row>
    <row r="359" spans="1:16" x14ac:dyDescent="0.3">
      <c r="A359" s="97" t="e">
        <f>'Cover Page'!$D$5</f>
        <v>#N/A</v>
      </c>
      <c r="B359" s="98" t="str">
        <f>IFERROR(VLOOKUP(A359,'District Codes'!D:F,3,FALSE),"")</f>
        <v/>
      </c>
      <c r="C359" s="107" t="str">
        <f>IFERROR(VLOOKUP(A359,'District Codes'!A:B,2,FALSE),"")</f>
        <v/>
      </c>
      <c r="D359" s="104"/>
      <c r="E359" s="203" t="str">
        <f>IFERROR(VLOOKUP(D359, 'School Codes'!D:E,2,FALSE),"")</f>
        <v/>
      </c>
      <c r="F359" s="100"/>
      <c r="G359" s="100"/>
      <c r="H359" s="100"/>
      <c r="I359" s="100"/>
      <c r="J359" s="100"/>
      <c r="K359" s="100"/>
      <c r="L359" s="100"/>
      <c r="M359" s="100"/>
      <c r="N359" s="102"/>
      <c r="O359" s="103"/>
      <c r="P359" s="105"/>
    </row>
    <row r="360" spans="1:16" x14ac:dyDescent="0.3">
      <c r="A360" s="97" t="e">
        <f>'Cover Page'!$D$5</f>
        <v>#N/A</v>
      </c>
      <c r="B360" s="98" t="str">
        <f>IFERROR(VLOOKUP(A360,'District Codes'!D:F,3,FALSE),"")</f>
        <v/>
      </c>
      <c r="C360" s="107" t="str">
        <f>IFERROR(VLOOKUP(A360,'District Codes'!A:B,2,FALSE),"")</f>
        <v/>
      </c>
      <c r="D360" s="104"/>
      <c r="E360" s="203" t="str">
        <f>IFERROR(VLOOKUP(D360, 'School Codes'!D:E,2,FALSE),"")</f>
        <v/>
      </c>
      <c r="F360" s="100"/>
      <c r="G360" s="100"/>
      <c r="H360" s="100"/>
      <c r="I360" s="100"/>
      <c r="J360" s="100"/>
      <c r="K360" s="100"/>
      <c r="L360" s="100"/>
      <c r="M360" s="100"/>
      <c r="N360" s="102"/>
      <c r="O360" s="103"/>
      <c r="P360" s="105"/>
    </row>
    <row r="361" spans="1:16" x14ac:dyDescent="0.3">
      <c r="A361" s="97" t="e">
        <f>'Cover Page'!$D$5</f>
        <v>#N/A</v>
      </c>
      <c r="B361" s="98" t="str">
        <f>IFERROR(VLOOKUP(A361,'District Codes'!D:F,3,FALSE),"")</f>
        <v/>
      </c>
      <c r="C361" s="107" t="str">
        <f>IFERROR(VLOOKUP(A361,'District Codes'!A:B,2,FALSE),"")</f>
        <v/>
      </c>
      <c r="D361" s="104"/>
      <c r="E361" s="203" t="str">
        <f>IFERROR(VLOOKUP(D361, 'School Codes'!D:E,2,FALSE),"")</f>
        <v/>
      </c>
      <c r="F361" s="100"/>
      <c r="G361" s="100"/>
      <c r="H361" s="100"/>
      <c r="I361" s="100"/>
      <c r="J361" s="100"/>
      <c r="K361" s="100"/>
      <c r="L361" s="100"/>
      <c r="M361" s="100"/>
      <c r="N361" s="102"/>
      <c r="O361" s="103"/>
      <c r="P361" s="105"/>
    </row>
    <row r="362" spans="1:16" x14ac:dyDescent="0.3">
      <c r="A362" s="97" t="e">
        <f>'Cover Page'!$D$5</f>
        <v>#N/A</v>
      </c>
      <c r="B362" s="98" t="str">
        <f>IFERROR(VLOOKUP(A362,'District Codes'!D:F,3,FALSE),"")</f>
        <v/>
      </c>
      <c r="C362" s="107" t="str">
        <f>IFERROR(VLOOKUP(A362,'District Codes'!A:B,2,FALSE),"")</f>
        <v/>
      </c>
      <c r="D362" s="104"/>
      <c r="E362" s="203" t="str">
        <f>IFERROR(VLOOKUP(D362, 'School Codes'!D:E,2,FALSE),"")</f>
        <v/>
      </c>
      <c r="F362" s="100"/>
      <c r="G362" s="100"/>
      <c r="H362" s="100"/>
      <c r="I362" s="100"/>
      <c r="J362" s="100"/>
      <c r="K362" s="100"/>
      <c r="L362" s="100"/>
      <c r="M362" s="100"/>
      <c r="N362" s="102"/>
      <c r="O362" s="103"/>
      <c r="P362" s="105"/>
    </row>
    <row r="363" spans="1:16" x14ac:dyDescent="0.3">
      <c r="A363" s="97" t="e">
        <f>'Cover Page'!$D$5</f>
        <v>#N/A</v>
      </c>
      <c r="B363" s="98" t="str">
        <f>IFERROR(VLOOKUP(A363,'District Codes'!D:F,3,FALSE),"")</f>
        <v/>
      </c>
      <c r="C363" s="107" t="str">
        <f>IFERROR(VLOOKUP(A363,'District Codes'!A:B,2,FALSE),"")</f>
        <v/>
      </c>
      <c r="D363" s="104"/>
      <c r="E363" s="203" t="str">
        <f>IFERROR(VLOOKUP(D363, 'School Codes'!D:E,2,FALSE),"")</f>
        <v/>
      </c>
      <c r="F363" s="100"/>
      <c r="G363" s="100"/>
      <c r="H363" s="100"/>
      <c r="I363" s="100"/>
      <c r="J363" s="100"/>
      <c r="K363" s="100"/>
      <c r="L363" s="100"/>
      <c r="M363" s="100"/>
      <c r="N363" s="102"/>
      <c r="O363" s="103"/>
      <c r="P363" s="105"/>
    </row>
    <row r="364" spans="1:16" x14ac:dyDescent="0.3">
      <c r="A364" s="97" t="e">
        <f>'Cover Page'!$D$5</f>
        <v>#N/A</v>
      </c>
      <c r="B364" s="98" t="str">
        <f>IFERROR(VLOOKUP(A364,'District Codes'!D:F,3,FALSE),"")</f>
        <v/>
      </c>
      <c r="C364" s="107" t="str">
        <f>IFERROR(VLOOKUP(A364,'District Codes'!A:B,2,FALSE),"")</f>
        <v/>
      </c>
      <c r="D364" s="106"/>
      <c r="E364" s="203" t="str">
        <f>IFERROR(VLOOKUP(D364, 'School Codes'!D:E,2,FALSE),"")</f>
        <v/>
      </c>
      <c r="F364" s="100"/>
      <c r="G364" s="100"/>
      <c r="H364" s="100"/>
      <c r="I364" s="100"/>
      <c r="J364" s="100"/>
      <c r="K364" s="100"/>
      <c r="L364" s="100"/>
      <c r="M364" s="100"/>
      <c r="N364" s="102"/>
      <c r="O364" s="103"/>
      <c r="P364" s="105"/>
    </row>
    <row r="365" spans="1:16" x14ac:dyDescent="0.3">
      <c r="A365" s="97" t="e">
        <f>'Cover Page'!$D$5</f>
        <v>#N/A</v>
      </c>
      <c r="B365" s="98" t="str">
        <f>IFERROR(VLOOKUP(A365,'District Codes'!D:F,3,FALSE),"")</f>
        <v/>
      </c>
      <c r="C365" s="107" t="str">
        <f>IFERROR(VLOOKUP(A365,'District Codes'!A:B,2,FALSE),"")</f>
        <v/>
      </c>
      <c r="D365" s="106"/>
      <c r="E365" s="203" t="str">
        <f>IFERROR(VLOOKUP(D365, 'School Codes'!D:E,2,FALSE),"")</f>
        <v/>
      </c>
      <c r="F365" s="100"/>
      <c r="G365" s="100"/>
      <c r="H365" s="100"/>
      <c r="I365" s="100"/>
      <c r="J365" s="100"/>
      <c r="K365" s="100"/>
      <c r="L365" s="100"/>
      <c r="M365" s="100"/>
      <c r="N365" s="102"/>
      <c r="O365" s="103"/>
      <c r="P365" s="105"/>
    </row>
    <row r="366" spans="1:16" x14ac:dyDescent="0.3">
      <c r="A366" s="97" t="e">
        <f>'Cover Page'!$D$5</f>
        <v>#N/A</v>
      </c>
      <c r="B366" s="98" t="str">
        <f>IFERROR(VLOOKUP(A366,'District Codes'!D:F,3,FALSE),"")</f>
        <v/>
      </c>
      <c r="C366" s="107" t="str">
        <f>IFERROR(VLOOKUP(A366,'District Codes'!A:B,2,FALSE),"")</f>
        <v/>
      </c>
      <c r="D366" s="106"/>
      <c r="E366" s="203" t="str">
        <f>IFERROR(VLOOKUP(D366, 'School Codes'!D:E,2,FALSE),"")</f>
        <v/>
      </c>
      <c r="F366" s="100"/>
      <c r="G366" s="100"/>
      <c r="H366" s="100"/>
      <c r="I366" s="100"/>
      <c r="J366" s="100"/>
      <c r="K366" s="100"/>
      <c r="L366" s="100"/>
      <c r="M366" s="100"/>
      <c r="N366" s="102"/>
      <c r="O366" s="103"/>
      <c r="P366" s="105"/>
    </row>
    <row r="367" spans="1:16" ht="14.4" thickBot="1" x14ac:dyDescent="0.35">
      <c r="A367" s="97" t="e">
        <f>'Cover Page'!$D$5</f>
        <v>#N/A</v>
      </c>
      <c r="B367" s="98" t="str">
        <f>IFERROR(VLOOKUP(A367,'District Codes'!D:F,3,FALSE),"")</f>
        <v/>
      </c>
      <c r="C367" s="107" t="str">
        <f>IFERROR(VLOOKUP(A367,'District Codes'!A:B,2,FALSE),"")</f>
        <v/>
      </c>
      <c r="D367" s="104"/>
      <c r="E367" s="203" t="str">
        <f>IFERROR(VLOOKUP(D367, 'School Codes'!D:E,2,FALSE),"")</f>
        <v/>
      </c>
      <c r="F367" s="100"/>
      <c r="G367" s="100"/>
      <c r="H367" s="100"/>
      <c r="I367" s="100"/>
      <c r="J367" s="100"/>
      <c r="K367" s="100"/>
      <c r="L367" s="100"/>
      <c r="M367" s="100"/>
      <c r="N367" s="102"/>
      <c r="O367" s="103"/>
      <c r="P367" s="105"/>
    </row>
    <row r="368" spans="1:16" x14ac:dyDescent="0.3">
      <c r="A368" s="97" t="e">
        <f>'Cover Page'!$D$5</f>
        <v>#N/A</v>
      </c>
      <c r="B368" s="98" t="str">
        <f>IFERROR(VLOOKUP(A368,'District Codes'!D:F,3,FALSE),"")</f>
        <v/>
      </c>
      <c r="C368" s="107" t="str">
        <f>IFERROR(VLOOKUP(A368,'District Codes'!A:B,2,FALSE),"")</f>
        <v/>
      </c>
      <c r="D368" s="104"/>
      <c r="E368" s="203" t="str">
        <f>IFERROR(VLOOKUP(D368, 'School Codes'!D:E,2,FALSE),"")</f>
        <v/>
      </c>
      <c r="F368" s="100"/>
      <c r="G368" s="100"/>
      <c r="H368" s="100"/>
      <c r="I368" s="101"/>
      <c r="J368" s="100"/>
      <c r="K368" s="100"/>
      <c r="L368" s="100"/>
      <c r="M368" s="100"/>
      <c r="N368" s="102"/>
      <c r="O368" s="103"/>
      <c r="P368" s="105"/>
    </row>
    <row r="369" spans="1:16" x14ac:dyDescent="0.3">
      <c r="A369" s="97" t="e">
        <f>'Cover Page'!$D$5</f>
        <v>#N/A</v>
      </c>
      <c r="B369" s="98" t="str">
        <f>IFERROR(VLOOKUP(A369,'District Codes'!D:F,3,FALSE),"")</f>
        <v/>
      </c>
      <c r="C369" s="107" t="str">
        <f>IFERROR(VLOOKUP(A369,'District Codes'!A:B,2,FALSE),"")</f>
        <v/>
      </c>
      <c r="D369" s="104"/>
      <c r="E369" s="203" t="str">
        <f>IFERROR(VLOOKUP(D369, 'School Codes'!D:E,2,FALSE),"")</f>
        <v/>
      </c>
      <c r="F369" s="100"/>
      <c r="G369" s="100"/>
      <c r="H369" s="100"/>
      <c r="I369" s="100"/>
      <c r="J369" s="100"/>
      <c r="K369" s="100"/>
      <c r="L369" s="100"/>
      <c r="M369" s="100"/>
      <c r="N369" s="102"/>
      <c r="O369" s="103"/>
      <c r="P369" s="105"/>
    </row>
    <row r="370" spans="1:16" x14ac:dyDescent="0.3">
      <c r="A370" s="97" t="e">
        <f>'Cover Page'!$D$5</f>
        <v>#N/A</v>
      </c>
      <c r="B370" s="98" t="str">
        <f>IFERROR(VLOOKUP(A370,'District Codes'!D:F,3,FALSE),"")</f>
        <v/>
      </c>
      <c r="C370" s="107" t="str">
        <f>IFERROR(VLOOKUP(A370,'District Codes'!A:B,2,FALSE),"")</f>
        <v/>
      </c>
      <c r="D370" s="104"/>
      <c r="E370" s="203" t="str">
        <f>IFERROR(VLOOKUP(D370, 'School Codes'!D:E,2,FALSE),"")</f>
        <v/>
      </c>
      <c r="F370" s="100"/>
      <c r="G370" s="100"/>
      <c r="H370" s="100"/>
      <c r="I370" s="100"/>
      <c r="J370" s="100"/>
      <c r="K370" s="100"/>
      <c r="L370" s="100"/>
      <c r="M370" s="100"/>
      <c r="N370" s="102"/>
      <c r="O370" s="103"/>
      <c r="P370" s="105"/>
    </row>
    <row r="371" spans="1:16" x14ac:dyDescent="0.3">
      <c r="A371" s="97" t="e">
        <f>'Cover Page'!$D$5</f>
        <v>#N/A</v>
      </c>
      <c r="B371" s="98" t="str">
        <f>IFERROR(VLOOKUP(A371,'District Codes'!D:F,3,FALSE),"")</f>
        <v/>
      </c>
      <c r="C371" s="107" t="str">
        <f>IFERROR(VLOOKUP(A371,'District Codes'!A:B,2,FALSE),"")</f>
        <v/>
      </c>
      <c r="D371" s="104"/>
      <c r="E371" s="203" t="str">
        <f>IFERROR(VLOOKUP(D371, 'School Codes'!D:E,2,FALSE),"")</f>
        <v/>
      </c>
      <c r="F371" s="100"/>
      <c r="G371" s="100"/>
      <c r="H371" s="100"/>
      <c r="I371" s="100"/>
      <c r="J371" s="100"/>
      <c r="K371" s="100"/>
      <c r="L371" s="100"/>
      <c r="M371" s="100"/>
      <c r="N371" s="102"/>
      <c r="O371" s="103"/>
      <c r="P371" s="105"/>
    </row>
    <row r="372" spans="1:16" x14ac:dyDescent="0.3">
      <c r="A372" s="97" t="e">
        <f>'Cover Page'!$D$5</f>
        <v>#N/A</v>
      </c>
      <c r="B372" s="98" t="str">
        <f>IFERROR(VLOOKUP(A372,'District Codes'!D:F,3,FALSE),"")</f>
        <v/>
      </c>
      <c r="C372" s="107" t="str">
        <f>IFERROR(VLOOKUP(A372,'District Codes'!A:B,2,FALSE),"")</f>
        <v/>
      </c>
      <c r="D372" s="104"/>
      <c r="E372" s="203" t="str">
        <f>IFERROR(VLOOKUP(D372, 'School Codes'!D:E,2,FALSE),"")</f>
        <v/>
      </c>
      <c r="F372" s="100"/>
      <c r="G372" s="100"/>
      <c r="H372" s="100"/>
      <c r="I372" s="100"/>
      <c r="J372" s="100"/>
      <c r="K372" s="100"/>
      <c r="L372" s="100"/>
      <c r="M372" s="100"/>
      <c r="N372" s="102"/>
      <c r="O372" s="103"/>
      <c r="P372" s="105"/>
    </row>
    <row r="373" spans="1:16" x14ac:dyDescent="0.3">
      <c r="A373" s="97" t="e">
        <f>'Cover Page'!$D$5</f>
        <v>#N/A</v>
      </c>
      <c r="B373" s="98" t="str">
        <f>IFERROR(VLOOKUP(A373,'District Codes'!D:F,3,FALSE),"")</f>
        <v/>
      </c>
      <c r="C373" s="107" t="str">
        <f>IFERROR(VLOOKUP(A373,'District Codes'!A:B,2,FALSE),"")</f>
        <v/>
      </c>
      <c r="D373" s="104"/>
      <c r="E373" s="203" t="str">
        <f>IFERROR(VLOOKUP(D373, 'School Codes'!D:E,2,FALSE),"")</f>
        <v/>
      </c>
      <c r="F373" s="100"/>
      <c r="G373" s="100"/>
      <c r="H373" s="100"/>
      <c r="I373" s="100"/>
      <c r="J373" s="100"/>
      <c r="K373" s="100"/>
      <c r="L373" s="100"/>
      <c r="M373" s="100"/>
      <c r="N373" s="102"/>
      <c r="O373" s="103"/>
      <c r="P373" s="105"/>
    </row>
    <row r="374" spans="1:16" x14ac:dyDescent="0.3">
      <c r="A374" s="97" t="e">
        <f>'Cover Page'!$D$5</f>
        <v>#N/A</v>
      </c>
      <c r="B374" s="98" t="str">
        <f>IFERROR(VLOOKUP(A374,'District Codes'!D:F,3,FALSE),"")</f>
        <v/>
      </c>
      <c r="C374" s="107" t="str">
        <f>IFERROR(VLOOKUP(A374,'District Codes'!A:B,2,FALSE),"")</f>
        <v/>
      </c>
      <c r="D374" s="104"/>
      <c r="E374" s="203" t="str">
        <f>IFERROR(VLOOKUP(D374, 'School Codes'!D:E,2,FALSE),"")</f>
        <v/>
      </c>
      <c r="F374" s="100"/>
      <c r="G374" s="100"/>
      <c r="H374" s="100"/>
      <c r="I374" s="100"/>
      <c r="J374" s="100"/>
      <c r="K374" s="100"/>
      <c r="L374" s="100"/>
      <c r="M374" s="100"/>
      <c r="N374" s="102"/>
      <c r="O374" s="103"/>
      <c r="P374" s="105"/>
    </row>
    <row r="375" spans="1:16" x14ac:dyDescent="0.3">
      <c r="A375" s="97" t="e">
        <f>'Cover Page'!$D$5</f>
        <v>#N/A</v>
      </c>
      <c r="B375" s="98" t="str">
        <f>IFERROR(VLOOKUP(A375,'District Codes'!D:F,3,FALSE),"")</f>
        <v/>
      </c>
      <c r="C375" s="107" t="str">
        <f>IFERROR(VLOOKUP(A375,'District Codes'!A:B,2,FALSE),"")</f>
        <v/>
      </c>
      <c r="D375" s="104"/>
      <c r="E375" s="203" t="str">
        <f>IFERROR(VLOOKUP(D375, 'School Codes'!D:E,2,FALSE),"")</f>
        <v/>
      </c>
      <c r="F375" s="100"/>
      <c r="G375" s="100"/>
      <c r="H375" s="100"/>
      <c r="I375" s="100"/>
      <c r="J375" s="100"/>
      <c r="K375" s="100"/>
      <c r="L375" s="100"/>
      <c r="M375" s="100"/>
      <c r="N375" s="102"/>
      <c r="O375" s="103"/>
      <c r="P375" s="105"/>
    </row>
    <row r="376" spans="1:16" x14ac:dyDescent="0.3">
      <c r="A376" s="97" t="e">
        <f>'Cover Page'!$D$5</f>
        <v>#N/A</v>
      </c>
      <c r="B376" s="98" t="str">
        <f>IFERROR(VLOOKUP(A376,'District Codes'!D:F,3,FALSE),"")</f>
        <v/>
      </c>
      <c r="C376" s="107" t="str">
        <f>IFERROR(VLOOKUP(A376,'District Codes'!A:B,2,FALSE),"")</f>
        <v/>
      </c>
      <c r="D376" s="104"/>
      <c r="E376" s="203" t="str">
        <f>IFERROR(VLOOKUP(D376, 'School Codes'!D:E,2,FALSE),"")</f>
        <v/>
      </c>
      <c r="F376" s="100"/>
      <c r="G376" s="100"/>
      <c r="H376" s="100"/>
      <c r="I376" s="100"/>
      <c r="J376" s="100"/>
      <c r="K376" s="100"/>
      <c r="L376" s="100"/>
      <c r="M376" s="100"/>
      <c r="N376" s="102"/>
      <c r="O376" s="103"/>
      <c r="P376" s="105"/>
    </row>
    <row r="377" spans="1:16" x14ac:dyDescent="0.3">
      <c r="A377" s="97" t="e">
        <f>'Cover Page'!$D$5</f>
        <v>#N/A</v>
      </c>
      <c r="B377" s="98" t="str">
        <f>IFERROR(VLOOKUP(A377,'District Codes'!D:F,3,FALSE),"")</f>
        <v/>
      </c>
      <c r="C377" s="107" t="str">
        <f>IFERROR(VLOOKUP(A377,'District Codes'!A:B,2,FALSE),"")</f>
        <v/>
      </c>
      <c r="D377" s="106"/>
      <c r="E377" s="203" t="str">
        <f>IFERROR(VLOOKUP(D377, 'School Codes'!D:E,2,FALSE),"")</f>
        <v/>
      </c>
      <c r="F377" s="100"/>
      <c r="G377" s="100"/>
      <c r="H377" s="100"/>
      <c r="I377" s="100"/>
      <c r="J377" s="100"/>
      <c r="K377" s="100"/>
      <c r="L377" s="100"/>
      <c r="M377" s="100"/>
      <c r="N377" s="102"/>
      <c r="O377" s="103"/>
      <c r="P377" s="105"/>
    </row>
    <row r="378" spans="1:16" x14ac:dyDescent="0.3">
      <c r="A378" s="97" t="e">
        <f>'Cover Page'!$D$5</f>
        <v>#N/A</v>
      </c>
      <c r="B378" s="98" t="str">
        <f>IFERROR(VLOOKUP(A378,'District Codes'!D:F,3,FALSE),"")</f>
        <v/>
      </c>
      <c r="C378" s="107" t="str">
        <f>IFERROR(VLOOKUP(A378,'District Codes'!A:B,2,FALSE),"")</f>
        <v/>
      </c>
      <c r="D378" s="106"/>
      <c r="E378" s="203" t="str">
        <f>IFERROR(VLOOKUP(D378, 'School Codes'!D:E,2,FALSE),"")</f>
        <v/>
      </c>
      <c r="F378" s="100"/>
      <c r="G378" s="100"/>
      <c r="H378" s="100"/>
      <c r="I378" s="100"/>
      <c r="J378" s="100"/>
      <c r="K378" s="100"/>
      <c r="L378" s="100"/>
      <c r="M378" s="100"/>
      <c r="N378" s="102"/>
      <c r="O378" s="103"/>
      <c r="P378" s="105"/>
    </row>
    <row r="379" spans="1:16" x14ac:dyDescent="0.3">
      <c r="A379" s="97" t="e">
        <f>'Cover Page'!$D$5</f>
        <v>#N/A</v>
      </c>
      <c r="B379" s="98" t="str">
        <f>IFERROR(VLOOKUP(A379,'District Codes'!D:F,3,FALSE),"")</f>
        <v/>
      </c>
      <c r="C379" s="107" t="str">
        <f>IFERROR(VLOOKUP(A379,'District Codes'!A:B,2,FALSE),"")</f>
        <v/>
      </c>
      <c r="D379" s="106"/>
      <c r="E379" s="203" t="str">
        <f>IFERROR(VLOOKUP(D379, 'School Codes'!D:E,2,FALSE),"")</f>
        <v/>
      </c>
      <c r="F379" s="100"/>
      <c r="G379" s="100"/>
      <c r="H379" s="100"/>
      <c r="I379" s="100"/>
      <c r="J379" s="100"/>
      <c r="K379" s="100"/>
      <c r="L379" s="100"/>
      <c r="M379" s="100"/>
      <c r="N379" s="102"/>
      <c r="O379" s="103"/>
      <c r="P379" s="105"/>
    </row>
    <row r="380" spans="1:16" ht="14.4" thickBot="1" x14ac:dyDescent="0.35">
      <c r="A380" s="97" t="e">
        <f>'Cover Page'!$D$5</f>
        <v>#N/A</v>
      </c>
      <c r="B380" s="98" t="str">
        <f>IFERROR(VLOOKUP(A380,'District Codes'!D:F,3,FALSE),"")</f>
        <v/>
      </c>
      <c r="C380" s="107" t="str">
        <f>IFERROR(VLOOKUP(A380,'District Codes'!A:B,2,FALSE),"")</f>
        <v/>
      </c>
      <c r="D380" s="104"/>
      <c r="E380" s="203" t="str">
        <f>IFERROR(VLOOKUP(D380, 'School Codes'!D:E,2,FALSE),"")</f>
        <v/>
      </c>
      <c r="F380" s="100"/>
      <c r="G380" s="100"/>
      <c r="H380" s="100"/>
      <c r="I380" s="100"/>
      <c r="J380" s="100"/>
      <c r="K380" s="100"/>
      <c r="L380" s="100"/>
      <c r="M380" s="100"/>
      <c r="N380" s="102"/>
      <c r="O380" s="103"/>
      <c r="P380" s="105"/>
    </row>
    <row r="381" spans="1:16" x14ac:dyDescent="0.3">
      <c r="A381" s="97" t="e">
        <f>'Cover Page'!$D$5</f>
        <v>#N/A</v>
      </c>
      <c r="B381" s="98" t="str">
        <f>IFERROR(VLOOKUP(A381,'District Codes'!D:F,3,FALSE),"")</f>
        <v/>
      </c>
      <c r="C381" s="107" t="str">
        <f>IFERROR(VLOOKUP(A381,'District Codes'!A:B,2,FALSE),"")</f>
        <v/>
      </c>
      <c r="D381" s="104"/>
      <c r="E381" s="203" t="str">
        <f>IFERROR(VLOOKUP(D381, 'School Codes'!D:E,2,FALSE),"")</f>
        <v/>
      </c>
      <c r="F381" s="100"/>
      <c r="G381" s="100"/>
      <c r="H381" s="100"/>
      <c r="I381" s="101"/>
      <c r="J381" s="100"/>
      <c r="K381" s="100"/>
      <c r="L381" s="100"/>
      <c r="M381" s="100"/>
      <c r="N381" s="102"/>
      <c r="O381" s="103"/>
      <c r="P381" s="105"/>
    </row>
    <row r="382" spans="1:16" x14ac:dyDescent="0.3">
      <c r="A382" s="97" t="e">
        <f>'Cover Page'!$D$5</f>
        <v>#N/A</v>
      </c>
      <c r="B382" s="98" t="str">
        <f>IFERROR(VLOOKUP(A382,'District Codes'!D:F,3,FALSE),"")</f>
        <v/>
      </c>
      <c r="C382" s="107" t="str">
        <f>IFERROR(VLOOKUP(A382,'District Codes'!A:B,2,FALSE),"")</f>
        <v/>
      </c>
      <c r="D382" s="104"/>
      <c r="E382" s="203" t="str">
        <f>IFERROR(VLOOKUP(D382, 'School Codes'!D:E,2,FALSE),"")</f>
        <v/>
      </c>
      <c r="F382" s="100"/>
      <c r="G382" s="100"/>
      <c r="H382" s="100"/>
      <c r="I382" s="100"/>
      <c r="J382" s="100"/>
      <c r="K382" s="100"/>
      <c r="L382" s="100"/>
      <c r="M382" s="100"/>
      <c r="N382" s="102"/>
      <c r="O382" s="103"/>
      <c r="P382" s="105"/>
    </row>
    <row r="383" spans="1:16" x14ac:dyDescent="0.3">
      <c r="A383" s="97" t="e">
        <f>'Cover Page'!$D$5</f>
        <v>#N/A</v>
      </c>
      <c r="B383" s="98" t="str">
        <f>IFERROR(VLOOKUP(A383,'District Codes'!D:F,3,FALSE),"")</f>
        <v/>
      </c>
      <c r="C383" s="107" t="str">
        <f>IFERROR(VLOOKUP(A383,'District Codes'!A:B,2,FALSE),"")</f>
        <v/>
      </c>
      <c r="D383" s="104"/>
      <c r="E383" s="203" t="str">
        <f>IFERROR(VLOOKUP(D383, 'School Codes'!D:E,2,FALSE),"")</f>
        <v/>
      </c>
      <c r="F383" s="100"/>
      <c r="G383" s="100"/>
      <c r="H383" s="100"/>
      <c r="I383" s="100"/>
      <c r="J383" s="100"/>
      <c r="K383" s="100"/>
      <c r="L383" s="100"/>
      <c r="M383" s="100"/>
      <c r="N383" s="102"/>
      <c r="O383" s="103"/>
      <c r="P383" s="105"/>
    </row>
    <row r="384" spans="1:16" x14ac:dyDescent="0.3">
      <c r="A384" s="97" t="e">
        <f>'Cover Page'!$D$5</f>
        <v>#N/A</v>
      </c>
      <c r="B384" s="98" t="str">
        <f>IFERROR(VLOOKUP(A384,'District Codes'!D:F,3,FALSE),"")</f>
        <v/>
      </c>
      <c r="C384" s="107" t="str">
        <f>IFERROR(VLOOKUP(A384,'District Codes'!A:B,2,FALSE),"")</f>
        <v/>
      </c>
      <c r="D384" s="104"/>
      <c r="E384" s="203" t="str">
        <f>IFERROR(VLOOKUP(D384, 'School Codes'!D:E,2,FALSE),"")</f>
        <v/>
      </c>
      <c r="F384" s="100"/>
      <c r="G384" s="100"/>
      <c r="H384" s="100"/>
      <c r="I384" s="100"/>
      <c r="J384" s="100"/>
      <c r="K384" s="100"/>
      <c r="L384" s="100"/>
      <c r="M384" s="100"/>
      <c r="N384" s="102"/>
      <c r="O384" s="103"/>
      <c r="P384" s="105"/>
    </row>
    <row r="385" spans="1:16" x14ac:dyDescent="0.3">
      <c r="A385" s="97" t="e">
        <f>'Cover Page'!$D$5</f>
        <v>#N/A</v>
      </c>
      <c r="B385" s="98" t="str">
        <f>IFERROR(VLOOKUP(A385,'District Codes'!D:F,3,FALSE),"")</f>
        <v/>
      </c>
      <c r="C385" s="107" t="str">
        <f>IFERROR(VLOOKUP(A385,'District Codes'!A:B,2,FALSE),"")</f>
        <v/>
      </c>
      <c r="D385" s="104"/>
      <c r="E385" s="203" t="str">
        <f>IFERROR(VLOOKUP(D385, 'School Codes'!D:E,2,FALSE),"")</f>
        <v/>
      </c>
      <c r="F385" s="100"/>
      <c r="G385" s="100"/>
      <c r="H385" s="100"/>
      <c r="I385" s="100"/>
      <c r="J385" s="100"/>
      <c r="K385" s="100"/>
      <c r="L385" s="100"/>
      <c r="M385" s="100"/>
      <c r="N385" s="102"/>
      <c r="O385" s="103"/>
      <c r="P385" s="105"/>
    </row>
    <row r="386" spans="1:16" x14ac:dyDescent="0.3">
      <c r="A386" s="97" t="e">
        <f>'Cover Page'!$D$5</f>
        <v>#N/A</v>
      </c>
      <c r="B386" s="98" t="str">
        <f>IFERROR(VLOOKUP(A386,'District Codes'!D:F,3,FALSE),"")</f>
        <v/>
      </c>
      <c r="C386" s="107" t="str">
        <f>IFERROR(VLOOKUP(A386,'District Codes'!A:B,2,FALSE),"")</f>
        <v/>
      </c>
      <c r="D386" s="104"/>
      <c r="E386" s="203" t="str">
        <f>IFERROR(VLOOKUP(D386, 'School Codes'!D:E,2,FALSE),"")</f>
        <v/>
      </c>
      <c r="F386" s="100"/>
      <c r="G386" s="100"/>
      <c r="H386" s="100"/>
      <c r="I386" s="100"/>
      <c r="J386" s="100"/>
      <c r="K386" s="100"/>
      <c r="L386" s="100"/>
      <c r="M386" s="100"/>
      <c r="N386" s="102"/>
      <c r="O386" s="103"/>
      <c r="P386" s="105"/>
    </row>
    <row r="387" spans="1:16" x14ac:dyDescent="0.3">
      <c r="A387" s="97" t="e">
        <f>'Cover Page'!$D$5</f>
        <v>#N/A</v>
      </c>
      <c r="B387" s="98" t="str">
        <f>IFERROR(VLOOKUP(A387,'District Codes'!D:F,3,FALSE),"")</f>
        <v/>
      </c>
      <c r="C387" s="107" t="str">
        <f>IFERROR(VLOOKUP(A387,'District Codes'!A:B,2,FALSE),"")</f>
        <v/>
      </c>
      <c r="D387" s="104"/>
      <c r="E387" s="203" t="str">
        <f>IFERROR(VLOOKUP(D387, 'School Codes'!D:E,2,FALSE),"")</f>
        <v/>
      </c>
      <c r="F387" s="100"/>
      <c r="G387" s="100"/>
      <c r="H387" s="100"/>
      <c r="I387" s="100"/>
      <c r="J387" s="100"/>
      <c r="K387" s="100"/>
      <c r="L387" s="100"/>
      <c r="M387" s="100"/>
      <c r="N387" s="102"/>
      <c r="O387" s="103"/>
      <c r="P387" s="105"/>
    </row>
    <row r="388" spans="1:16" x14ac:dyDescent="0.3">
      <c r="A388" s="97" t="e">
        <f>'Cover Page'!$D$5</f>
        <v>#N/A</v>
      </c>
      <c r="B388" s="98" t="str">
        <f>IFERROR(VLOOKUP(A388,'District Codes'!D:F,3,FALSE),"")</f>
        <v/>
      </c>
      <c r="C388" s="107" t="str">
        <f>IFERROR(VLOOKUP(A388,'District Codes'!A:B,2,FALSE),"")</f>
        <v/>
      </c>
      <c r="D388" s="104"/>
      <c r="E388" s="203" t="str">
        <f>IFERROR(VLOOKUP(D388, 'School Codes'!D:E,2,FALSE),"")</f>
        <v/>
      </c>
      <c r="F388" s="100"/>
      <c r="G388" s="100"/>
      <c r="H388" s="100"/>
      <c r="I388" s="100"/>
      <c r="J388" s="100"/>
      <c r="K388" s="100"/>
      <c r="L388" s="100"/>
      <c r="M388" s="100"/>
      <c r="N388" s="102"/>
      <c r="O388" s="103"/>
      <c r="P388" s="105"/>
    </row>
    <row r="389" spans="1:16" x14ac:dyDescent="0.3">
      <c r="A389" s="97" t="e">
        <f>'Cover Page'!$D$5</f>
        <v>#N/A</v>
      </c>
      <c r="B389" s="98" t="str">
        <f>IFERROR(VLOOKUP(A389,'District Codes'!D:F,3,FALSE),"")</f>
        <v/>
      </c>
      <c r="C389" s="107" t="str">
        <f>IFERROR(VLOOKUP(A389,'District Codes'!A:B,2,FALSE),"")</f>
        <v/>
      </c>
      <c r="D389" s="104"/>
      <c r="E389" s="203" t="str">
        <f>IFERROR(VLOOKUP(D389, 'School Codes'!D:E,2,FALSE),"")</f>
        <v/>
      </c>
      <c r="F389" s="100"/>
      <c r="G389" s="100"/>
      <c r="H389" s="100"/>
      <c r="I389" s="100"/>
      <c r="J389" s="100"/>
      <c r="K389" s="100"/>
      <c r="L389" s="100"/>
      <c r="M389" s="100"/>
      <c r="N389" s="102"/>
      <c r="O389" s="103"/>
      <c r="P389" s="105"/>
    </row>
    <row r="390" spans="1:16" x14ac:dyDescent="0.3">
      <c r="A390" s="97" t="e">
        <f>'Cover Page'!$D$5</f>
        <v>#N/A</v>
      </c>
      <c r="B390" s="98" t="str">
        <f>IFERROR(VLOOKUP(A390,'District Codes'!D:F,3,FALSE),"")</f>
        <v/>
      </c>
      <c r="C390" s="107" t="str">
        <f>IFERROR(VLOOKUP(A390,'District Codes'!A:B,2,FALSE),"")</f>
        <v/>
      </c>
      <c r="D390" s="106"/>
      <c r="E390" s="203" t="str">
        <f>IFERROR(VLOOKUP(D390, 'School Codes'!D:E,2,FALSE),"")</f>
        <v/>
      </c>
      <c r="F390" s="100"/>
      <c r="G390" s="100"/>
      <c r="H390" s="100"/>
      <c r="I390" s="100"/>
      <c r="J390" s="100"/>
      <c r="K390" s="100"/>
      <c r="L390" s="100"/>
      <c r="M390" s="100"/>
      <c r="N390" s="102"/>
      <c r="O390" s="103"/>
      <c r="P390" s="105"/>
    </row>
    <row r="391" spans="1:16" x14ac:dyDescent="0.3">
      <c r="A391" s="97" t="e">
        <f>'Cover Page'!$D$5</f>
        <v>#N/A</v>
      </c>
      <c r="B391" s="98" t="str">
        <f>IFERROR(VLOOKUP(A391,'District Codes'!D:F,3,FALSE),"")</f>
        <v/>
      </c>
      <c r="C391" s="107" t="str">
        <f>IFERROR(VLOOKUP(A391,'District Codes'!A:B,2,FALSE),"")</f>
        <v/>
      </c>
      <c r="D391" s="106"/>
      <c r="E391" s="203" t="str">
        <f>IFERROR(VLOOKUP(D391, 'School Codes'!D:E,2,FALSE),"")</f>
        <v/>
      </c>
      <c r="F391" s="100"/>
      <c r="G391" s="100"/>
      <c r="H391" s="100"/>
      <c r="I391" s="100"/>
      <c r="J391" s="100"/>
      <c r="K391" s="100"/>
      <c r="L391" s="100"/>
      <c r="M391" s="100"/>
      <c r="N391" s="102"/>
      <c r="O391" s="103"/>
      <c r="P391" s="105"/>
    </row>
    <row r="392" spans="1:16" x14ac:dyDescent="0.3">
      <c r="A392" s="97" t="e">
        <f>'Cover Page'!$D$5</f>
        <v>#N/A</v>
      </c>
      <c r="B392" s="98" t="str">
        <f>IFERROR(VLOOKUP(A392,'District Codes'!D:F,3,FALSE),"")</f>
        <v/>
      </c>
      <c r="C392" s="107" t="str">
        <f>IFERROR(VLOOKUP(A392,'District Codes'!A:B,2,FALSE),"")</f>
        <v/>
      </c>
      <c r="D392" s="106"/>
      <c r="E392" s="203" t="str">
        <f>IFERROR(VLOOKUP(D392, 'School Codes'!D:E,2,FALSE),"")</f>
        <v/>
      </c>
      <c r="F392" s="100"/>
      <c r="G392" s="100"/>
      <c r="H392" s="100"/>
      <c r="I392" s="100"/>
      <c r="J392" s="100"/>
      <c r="K392" s="100"/>
      <c r="L392" s="100"/>
      <c r="M392" s="100"/>
      <c r="N392" s="102"/>
      <c r="O392" s="103"/>
      <c r="P392" s="105"/>
    </row>
    <row r="393" spans="1:16" ht="14.4" thickBot="1" x14ac:dyDescent="0.35">
      <c r="A393" s="97" t="e">
        <f>'Cover Page'!$D$5</f>
        <v>#N/A</v>
      </c>
      <c r="B393" s="98" t="str">
        <f>IFERROR(VLOOKUP(A393,'District Codes'!D:F,3,FALSE),"")</f>
        <v/>
      </c>
      <c r="C393" s="107" t="str">
        <f>IFERROR(VLOOKUP(A393,'District Codes'!A:B,2,FALSE),"")</f>
        <v/>
      </c>
      <c r="D393" s="104"/>
      <c r="E393" s="203" t="str">
        <f>IFERROR(VLOOKUP(D393, 'School Codes'!D:E,2,FALSE),"")</f>
        <v/>
      </c>
      <c r="F393" s="100"/>
      <c r="G393" s="100"/>
      <c r="H393" s="100"/>
      <c r="I393" s="100"/>
      <c r="J393" s="100"/>
      <c r="K393" s="100"/>
      <c r="L393" s="100"/>
      <c r="M393" s="100"/>
      <c r="N393" s="102"/>
      <c r="O393" s="103"/>
      <c r="P393" s="105"/>
    </row>
    <row r="394" spans="1:16" x14ac:dyDescent="0.3">
      <c r="A394" s="97" t="e">
        <f>'Cover Page'!$D$5</f>
        <v>#N/A</v>
      </c>
      <c r="B394" s="98" t="str">
        <f>IFERROR(VLOOKUP(A394,'District Codes'!D:F,3,FALSE),"")</f>
        <v/>
      </c>
      <c r="C394" s="107" t="str">
        <f>IFERROR(VLOOKUP(A394,'District Codes'!A:B,2,FALSE),"")</f>
        <v/>
      </c>
      <c r="D394" s="104"/>
      <c r="E394" s="203" t="str">
        <f>IFERROR(VLOOKUP(D394, 'School Codes'!D:E,2,FALSE),"")</f>
        <v/>
      </c>
      <c r="F394" s="100"/>
      <c r="G394" s="100"/>
      <c r="H394" s="100"/>
      <c r="I394" s="101"/>
      <c r="J394" s="100"/>
      <c r="K394" s="100"/>
      <c r="L394" s="100"/>
      <c r="M394" s="100"/>
      <c r="N394" s="102"/>
      <c r="O394" s="103"/>
      <c r="P394" s="105"/>
    </row>
    <row r="395" spans="1:16" x14ac:dyDescent="0.3">
      <c r="A395" s="97" t="e">
        <f>'Cover Page'!$D$5</f>
        <v>#N/A</v>
      </c>
      <c r="B395" s="98" t="str">
        <f>IFERROR(VLOOKUP(A395,'District Codes'!D:F,3,FALSE),"")</f>
        <v/>
      </c>
      <c r="C395" s="107" t="str">
        <f>IFERROR(VLOOKUP(A395,'District Codes'!A:B,2,FALSE),"")</f>
        <v/>
      </c>
      <c r="D395" s="104"/>
      <c r="E395" s="203" t="str">
        <f>IFERROR(VLOOKUP(D395, 'School Codes'!D:E,2,FALSE),"")</f>
        <v/>
      </c>
      <c r="F395" s="100"/>
      <c r="G395" s="100"/>
      <c r="H395" s="100"/>
      <c r="I395" s="100"/>
      <c r="J395" s="100"/>
      <c r="K395" s="100"/>
      <c r="L395" s="100"/>
      <c r="M395" s="100"/>
      <c r="N395" s="102"/>
      <c r="O395" s="103"/>
      <c r="P395" s="105"/>
    </row>
    <row r="396" spans="1:16" x14ac:dyDescent="0.3">
      <c r="A396" s="97" t="e">
        <f>'Cover Page'!$D$5</f>
        <v>#N/A</v>
      </c>
      <c r="B396" s="98" t="str">
        <f>IFERROR(VLOOKUP(A396,'District Codes'!D:F,3,FALSE),"")</f>
        <v/>
      </c>
      <c r="C396" s="107" t="str">
        <f>IFERROR(VLOOKUP(A396,'District Codes'!A:B,2,FALSE),"")</f>
        <v/>
      </c>
      <c r="D396" s="104"/>
      <c r="E396" s="203" t="str">
        <f>IFERROR(VLOOKUP(D396, 'School Codes'!D:E,2,FALSE),"")</f>
        <v/>
      </c>
      <c r="F396" s="100"/>
      <c r="G396" s="100"/>
      <c r="H396" s="100"/>
      <c r="I396" s="100"/>
      <c r="J396" s="100"/>
      <c r="K396" s="100"/>
      <c r="L396" s="100"/>
      <c r="M396" s="100"/>
      <c r="N396" s="102"/>
      <c r="O396" s="103"/>
      <c r="P396" s="105"/>
    </row>
    <row r="397" spans="1:16" x14ac:dyDescent="0.3">
      <c r="A397" s="97" t="e">
        <f>'Cover Page'!$D$5</f>
        <v>#N/A</v>
      </c>
      <c r="B397" s="98" t="str">
        <f>IFERROR(VLOOKUP(A397,'District Codes'!D:F,3,FALSE),"")</f>
        <v/>
      </c>
      <c r="C397" s="107" t="str">
        <f>IFERROR(VLOOKUP(A397,'District Codes'!A:B,2,FALSE),"")</f>
        <v/>
      </c>
      <c r="D397" s="104"/>
      <c r="E397" s="203" t="str">
        <f>IFERROR(VLOOKUP(D397, 'School Codes'!D:E,2,FALSE),"")</f>
        <v/>
      </c>
      <c r="F397" s="100"/>
      <c r="G397" s="100"/>
      <c r="H397" s="100"/>
      <c r="I397" s="100"/>
      <c r="J397" s="100"/>
      <c r="K397" s="100"/>
      <c r="L397" s="100"/>
      <c r="M397" s="100"/>
      <c r="N397" s="102"/>
      <c r="O397" s="103"/>
      <c r="P397" s="105"/>
    </row>
    <row r="398" spans="1:16" x14ac:dyDescent="0.3">
      <c r="A398" s="97" t="e">
        <f>'Cover Page'!$D$5</f>
        <v>#N/A</v>
      </c>
      <c r="B398" s="98" t="str">
        <f>IFERROR(VLOOKUP(A398,'District Codes'!D:F,3,FALSE),"")</f>
        <v/>
      </c>
      <c r="C398" s="107" t="str">
        <f>IFERROR(VLOOKUP(A398,'District Codes'!A:B,2,FALSE),"")</f>
        <v/>
      </c>
      <c r="D398" s="104"/>
      <c r="E398" s="203" t="str">
        <f>IFERROR(VLOOKUP(D398, 'School Codes'!D:E,2,FALSE),"")</f>
        <v/>
      </c>
      <c r="F398" s="100"/>
      <c r="G398" s="100"/>
      <c r="H398" s="100"/>
      <c r="I398" s="100"/>
      <c r="J398" s="100"/>
      <c r="K398" s="100"/>
      <c r="L398" s="100"/>
      <c r="M398" s="100"/>
      <c r="N398" s="102"/>
      <c r="O398" s="103"/>
      <c r="P398" s="105"/>
    </row>
    <row r="399" spans="1:16" x14ac:dyDescent="0.3">
      <c r="A399" s="97" t="e">
        <f>'Cover Page'!$D$5</f>
        <v>#N/A</v>
      </c>
      <c r="B399" s="98" t="str">
        <f>IFERROR(VLOOKUP(A399,'District Codes'!D:F,3,FALSE),"")</f>
        <v/>
      </c>
      <c r="C399" s="107" t="str">
        <f>IFERROR(VLOOKUP(A399,'District Codes'!A:B,2,FALSE),"")</f>
        <v/>
      </c>
      <c r="D399" s="104"/>
      <c r="E399" s="203" t="str">
        <f>IFERROR(VLOOKUP(D399, 'School Codes'!D:E,2,FALSE),"")</f>
        <v/>
      </c>
      <c r="F399" s="100"/>
      <c r="G399" s="100"/>
      <c r="H399" s="100"/>
      <c r="I399" s="100"/>
      <c r="J399" s="100"/>
      <c r="K399" s="100"/>
      <c r="L399" s="100"/>
      <c r="M399" s="100"/>
      <c r="N399" s="102"/>
      <c r="O399" s="103"/>
      <c r="P399" s="105"/>
    </row>
    <row r="400" spans="1:16" x14ac:dyDescent="0.3">
      <c r="A400" s="97" t="e">
        <f>'Cover Page'!$D$5</f>
        <v>#N/A</v>
      </c>
      <c r="B400" s="98" t="str">
        <f>IFERROR(VLOOKUP(A400,'District Codes'!D:F,3,FALSE),"")</f>
        <v/>
      </c>
      <c r="C400" s="107" t="str">
        <f>IFERROR(VLOOKUP(A400,'District Codes'!A:B,2,FALSE),"")</f>
        <v/>
      </c>
      <c r="D400" s="104"/>
      <c r="E400" s="203" t="str">
        <f>IFERROR(VLOOKUP(D400, 'School Codes'!D:E,2,FALSE),"")</f>
        <v/>
      </c>
      <c r="F400" s="100"/>
      <c r="G400" s="100"/>
      <c r="H400" s="100"/>
      <c r="I400" s="100"/>
      <c r="J400" s="100"/>
      <c r="K400" s="100"/>
      <c r="L400" s="100"/>
      <c r="M400" s="100"/>
      <c r="N400" s="102"/>
      <c r="O400" s="103"/>
      <c r="P400" s="105"/>
    </row>
    <row r="401" spans="1:16" x14ac:dyDescent="0.3">
      <c r="A401" s="97" t="e">
        <f>'Cover Page'!$D$5</f>
        <v>#N/A</v>
      </c>
      <c r="B401" s="98" t="str">
        <f>IFERROR(VLOOKUP(A401,'District Codes'!D:F,3,FALSE),"")</f>
        <v/>
      </c>
      <c r="C401" s="107" t="str">
        <f>IFERROR(VLOOKUP(A401,'District Codes'!A:B,2,FALSE),"")</f>
        <v/>
      </c>
      <c r="D401" s="104"/>
      <c r="E401" s="203" t="str">
        <f>IFERROR(VLOOKUP(D401, 'School Codes'!D:E,2,FALSE),"")</f>
        <v/>
      </c>
      <c r="F401" s="100"/>
      <c r="G401" s="100"/>
      <c r="H401" s="100"/>
      <c r="I401" s="100"/>
      <c r="J401" s="100"/>
      <c r="K401" s="100"/>
      <c r="L401" s="100"/>
      <c r="M401" s="100"/>
      <c r="N401" s="102"/>
      <c r="O401" s="103"/>
      <c r="P401" s="105"/>
    </row>
    <row r="402" spans="1:16" x14ac:dyDescent="0.3">
      <c r="A402" s="97" t="e">
        <f>'Cover Page'!$D$5</f>
        <v>#N/A</v>
      </c>
      <c r="B402" s="98" t="str">
        <f>IFERROR(VLOOKUP(A402,'District Codes'!D:F,3,FALSE),"")</f>
        <v/>
      </c>
      <c r="C402" s="107" t="str">
        <f>IFERROR(VLOOKUP(A402,'District Codes'!A:B,2,FALSE),"")</f>
        <v/>
      </c>
      <c r="D402" s="104"/>
      <c r="E402" s="203" t="str">
        <f>IFERROR(VLOOKUP(D402, 'School Codes'!D:E,2,FALSE),"")</f>
        <v/>
      </c>
      <c r="F402" s="100"/>
      <c r="G402" s="100"/>
      <c r="H402" s="100"/>
      <c r="I402" s="100"/>
      <c r="J402" s="100"/>
      <c r="K402" s="100"/>
      <c r="L402" s="100"/>
      <c r="M402" s="100"/>
      <c r="N402" s="102"/>
      <c r="O402" s="103"/>
      <c r="P402" s="105"/>
    </row>
    <row r="403" spans="1:16" x14ac:dyDescent="0.3">
      <c r="A403" s="97" t="e">
        <f>'Cover Page'!$D$5</f>
        <v>#N/A</v>
      </c>
      <c r="B403" s="98" t="str">
        <f>IFERROR(VLOOKUP(A403,'District Codes'!D:F,3,FALSE),"")</f>
        <v/>
      </c>
      <c r="C403" s="107" t="str">
        <f>IFERROR(VLOOKUP(A403,'District Codes'!A:B,2,FALSE),"")</f>
        <v/>
      </c>
      <c r="D403" s="106"/>
      <c r="E403" s="203" t="str">
        <f>IFERROR(VLOOKUP(D403, 'School Codes'!D:E,2,FALSE),"")</f>
        <v/>
      </c>
      <c r="F403" s="100"/>
      <c r="G403" s="100"/>
      <c r="H403" s="100"/>
      <c r="I403" s="100"/>
      <c r="J403" s="100"/>
      <c r="K403" s="100"/>
      <c r="L403" s="100"/>
      <c r="M403" s="100"/>
      <c r="N403" s="102"/>
      <c r="O403" s="103"/>
      <c r="P403" s="105"/>
    </row>
    <row r="404" spans="1:16" ht="14.4" thickBot="1" x14ac:dyDescent="0.35">
      <c r="A404" s="97" t="e">
        <f>'Cover Page'!$D$5</f>
        <v>#N/A</v>
      </c>
      <c r="B404" s="109" t="str">
        <f>IFERROR(VLOOKUP(A404,'District Codes'!D:F,3,FALSE),"")</f>
        <v/>
      </c>
      <c r="C404" s="110" t="str">
        <f>IFERROR(VLOOKUP(A404,'District Codes'!A:B,2,FALSE),"")</f>
        <v/>
      </c>
      <c r="D404" s="106"/>
      <c r="E404" s="203" t="str">
        <f>IFERROR(VLOOKUP(D404, 'School Codes'!D:E,2,FALSE),"")</f>
        <v/>
      </c>
      <c r="F404" s="100"/>
      <c r="G404" s="100"/>
      <c r="H404" s="100"/>
      <c r="I404" s="100"/>
      <c r="J404" s="100"/>
      <c r="K404" s="100"/>
      <c r="L404" s="100"/>
      <c r="M404" s="100"/>
      <c r="N404" s="102"/>
      <c r="O404" s="103"/>
      <c r="P404" s="105"/>
    </row>
    <row r="405" spans="1:16" x14ac:dyDescent="0.3">
      <c r="A405" s="97" t="e">
        <f>'Cover Page'!$D$5</f>
        <v>#N/A</v>
      </c>
      <c r="B405" s="98" t="str">
        <f>IFERROR(VLOOKUP(A405,'District Codes'!D:F,3,FALSE),"")</f>
        <v/>
      </c>
      <c r="C405" s="99" t="str">
        <f>IFERROR(VLOOKUP(A405,'District Codes'!A:B,2,FALSE),"")</f>
        <v/>
      </c>
      <c r="D405" s="106"/>
      <c r="E405" s="203" t="str">
        <f>IFERROR(VLOOKUP(D405, 'School Codes'!D:E,2,FALSE),"")</f>
        <v/>
      </c>
      <c r="F405" s="100"/>
      <c r="G405" s="100"/>
      <c r="H405" s="100"/>
      <c r="I405" s="100"/>
      <c r="J405" s="100"/>
      <c r="K405" s="100"/>
      <c r="L405" s="100"/>
      <c r="M405" s="100"/>
      <c r="N405" s="102"/>
      <c r="O405" s="103"/>
      <c r="P405" s="105"/>
    </row>
    <row r="406" spans="1:16" ht="14.4" thickBot="1" x14ac:dyDescent="0.35">
      <c r="A406" s="97" t="e">
        <f>'Cover Page'!$D$5</f>
        <v>#N/A</v>
      </c>
      <c r="B406" s="98" t="str">
        <f>IFERROR(VLOOKUP(A406,'District Codes'!D:F,3,FALSE),"")</f>
        <v/>
      </c>
      <c r="C406" s="99" t="str">
        <f>IFERROR(VLOOKUP(A406,'District Codes'!A:B,2,FALSE),"")</f>
        <v/>
      </c>
      <c r="D406" s="104"/>
      <c r="E406" s="203" t="str">
        <f>IFERROR(VLOOKUP(D406, 'School Codes'!D:E,2,FALSE),"")</f>
        <v/>
      </c>
      <c r="F406" s="100"/>
      <c r="G406" s="100"/>
      <c r="H406" s="100"/>
      <c r="I406" s="100"/>
      <c r="J406" s="100"/>
      <c r="K406" s="100"/>
      <c r="L406" s="100"/>
      <c r="M406" s="100"/>
      <c r="N406" s="102"/>
      <c r="O406" s="103"/>
      <c r="P406" s="105"/>
    </row>
    <row r="407" spans="1:16" x14ac:dyDescent="0.3">
      <c r="A407" s="97" t="e">
        <f>'Cover Page'!$D$5</f>
        <v>#N/A</v>
      </c>
      <c r="B407" s="98" t="str">
        <f>IFERROR(VLOOKUP(A407,'District Codes'!D:F,3,FALSE),"")</f>
        <v/>
      </c>
      <c r="C407" s="99" t="str">
        <f>IFERROR(VLOOKUP(A407,'District Codes'!A:B,2,FALSE),"")</f>
        <v/>
      </c>
      <c r="D407" s="104"/>
      <c r="E407" s="203" t="str">
        <f>IFERROR(VLOOKUP(D407, 'School Codes'!D:E,2,FALSE),"")</f>
        <v/>
      </c>
      <c r="F407" s="100"/>
      <c r="G407" s="100"/>
      <c r="H407" s="100"/>
      <c r="I407" s="101"/>
      <c r="J407" s="100"/>
      <c r="K407" s="100"/>
      <c r="L407" s="100"/>
      <c r="M407" s="100"/>
      <c r="N407" s="102"/>
      <c r="O407" s="103"/>
      <c r="P407" s="105"/>
    </row>
    <row r="408" spans="1:16" x14ac:dyDescent="0.3">
      <c r="A408" s="97" t="e">
        <f>'Cover Page'!$D$5</f>
        <v>#N/A</v>
      </c>
      <c r="B408" s="98" t="str">
        <f>IFERROR(VLOOKUP(A408,'District Codes'!D:F,3,FALSE),"")</f>
        <v/>
      </c>
      <c r="C408" s="99" t="str">
        <f>IFERROR(VLOOKUP(A408,'District Codes'!A:B,2,FALSE),"")</f>
        <v/>
      </c>
      <c r="D408" s="104"/>
      <c r="E408" s="203" t="str">
        <f>IFERROR(VLOOKUP(D408, 'School Codes'!D:E,2,FALSE),"")</f>
        <v/>
      </c>
      <c r="F408" s="100"/>
      <c r="G408" s="100"/>
      <c r="H408" s="100"/>
      <c r="I408" s="100"/>
      <c r="J408" s="100"/>
      <c r="K408" s="100"/>
      <c r="L408" s="100"/>
      <c r="M408" s="100"/>
      <c r="N408" s="102"/>
      <c r="O408" s="103"/>
      <c r="P408" s="105"/>
    </row>
    <row r="409" spans="1:16" x14ac:dyDescent="0.3">
      <c r="A409" s="97" t="e">
        <f>'Cover Page'!$D$5</f>
        <v>#N/A</v>
      </c>
      <c r="B409" s="98" t="str">
        <f>IFERROR(VLOOKUP(A409,'District Codes'!D:F,3,FALSE),"")</f>
        <v/>
      </c>
      <c r="C409" s="99" t="str">
        <f>IFERROR(VLOOKUP(A409,'District Codes'!A:B,2,FALSE),"")</f>
        <v/>
      </c>
      <c r="D409" s="104"/>
      <c r="E409" s="203" t="str">
        <f>IFERROR(VLOOKUP(D409, 'School Codes'!D:E,2,FALSE),"")</f>
        <v/>
      </c>
      <c r="F409" s="100"/>
      <c r="G409" s="100"/>
      <c r="H409" s="100"/>
      <c r="I409" s="100"/>
      <c r="J409" s="100"/>
      <c r="K409" s="100"/>
      <c r="L409" s="100"/>
      <c r="M409" s="100"/>
      <c r="N409" s="102"/>
      <c r="O409" s="103"/>
      <c r="P409" s="105"/>
    </row>
    <row r="410" spans="1:16" x14ac:dyDescent="0.3">
      <c r="A410" s="97" t="e">
        <f>'Cover Page'!$D$5</f>
        <v>#N/A</v>
      </c>
      <c r="B410" s="98" t="str">
        <f>IFERROR(VLOOKUP(A410,'District Codes'!D:F,3,FALSE),"")</f>
        <v/>
      </c>
      <c r="C410" s="99" t="str">
        <f>IFERROR(VLOOKUP(A410,'District Codes'!A:B,2,FALSE),"")</f>
        <v/>
      </c>
      <c r="D410" s="104"/>
      <c r="E410" s="203" t="str">
        <f>IFERROR(VLOOKUP(D410, 'School Codes'!D:E,2,FALSE),"")</f>
        <v/>
      </c>
      <c r="F410" s="100"/>
      <c r="G410" s="100"/>
      <c r="H410" s="100"/>
      <c r="I410" s="100"/>
      <c r="J410" s="100"/>
      <c r="K410" s="100"/>
      <c r="L410" s="100"/>
      <c r="M410" s="100"/>
      <c r="N410" s="102"/>
      <c r="O410" s="103"/>
      <c r="P410" s="105"/>
    </row>
    <row r="411" spans="1:16" x14ac:dyDescent="0.3">
      <c r="A411" s="97" t="e">
        <f>'Cover Page'!$D$5</f>
        <v>#N/A</v>
      </c>
      <c r="B411" s="98" t="str">
        <f>IFERROR(VLOOKUP(A411,'District Codes'!D:F,3,FALSE),"")</f>
        <v/>
      </c>
      <c r="C411" s="99" t="str">
        <f>IFERROR(VLOOKUP(A411,'District Codes'!A:B,2,FALSE),"")</f>
        <v/>
      </c>
      <c r="D411" s="104"/>
      <c r="E411" s="203" t="str">
        <f>IFERROR(VLOOKUP(D411, 'School Codes'!D:E,2,FALSE),"")</f>
        <v/>
      </c>
      <c r="F411" s="100"/>
      <c r="G411" s="100"/>
      <c r="H411" s="100"/>
      <c r="I411" s="100"/>
      <c r="J411" s="100"/>
      <c r="K411" s="100"/>
      <c r="L411" s="100"/>
      <c r="M411" s="100"/>
      <c r="N411" s="102"/>
      <c r="O411" s="103"/>
      <c r="P411" s="105"/>
    </row>
    <row r="412" spans="1:16" x14ac:dyDescent="0.3">
      <c r="A412" s="97" t="e">
        <f>'Cover Page'!$D$5</f>
        <v>#N/A</v>
      </c>
      <c r="B412" s="98" t="str">
        <f>IFERROR(VLOOKUP(A412,'District Codes'!D:F,3,FALSE),"")</f>
        <v/>
      </c>
      <c r="C412" s="99" t="str">
        <f>IFERROR(VLOOKUP(A412,'District Codes'!A:B,2,FALSE),"")</f>
        <v/>
      </c>
      <c r="D412" s="104"/>
      <c r="E412" s="203" t="str">
        <f>IFERROR(VLOOKUP(D412, 'School Codes'!D:E,2,FALSE),"")</f>
        <v/>
      </c>
      <c r="F412" s="100"/>
      <c r="G412" s="100"/>
      <c r="H412" s="100"/>
      <c r="I412" s="100"/>
      <c r="J412" s="100"/>
      <c r="K412" s="100"/>
      <c r="L412" s="100"/>
      <c r="M412" s="100"/>
      <c r="N412" s="102"/>
      <c r="O412" s="103"/>
      <c r="P412" s="105"/>
    </row>
    <row r="413" spans="1:16" x14ac:dyDescent="0.3">
      <c r="A413" s="97" t="e">
        <f>'Cover Page'!$D$5</f>
        <v>#N/A</v>
      </c>
      <c r="B413" s="98" t="str">
        <f>IFERROR(VLOOKUP(A413,'District Codes'!D:F,3,FALSE),"")</f>
        <v/>
      </c>
      <c r="C413" s="99" t="str">
        <f>IFERROR(VLOOKUP(A413,'District Codes'!A:B,2,FALSE),"")</f>
        <v/>
      </c>
      <c r="D413" s="104"/>
      <c r="E413" s="203" t="str">
        <f>IFERROR(VLOOKUP(D413, 'School Codes'!D:E,2,FALSE),"")</f>
        <v/>
      </c>
      <c r="F413" s="100"/>
      <c r="G413" s="100"/>
      <c r="H413" s="100"/>
      <c r="I413" s="100"/>
      <c r="J413" s="100"/>
      <c r="K413" s="100"/>
      <c r="L413" s="100"/>
      <c r="M413" s="100"/>
      <c r="N413" s="102"/>
      <c r="O413" s="103"/>
      <c r="P413" s="105"/>
    </row>
    <row r="414" spans="1:16" x14ac:dyDescent="0.3">
      <c r="A414" s="97" t="e">
        <f>'Cover Page'!$D$5</f>
        <v>#N/A</v>
      </c>
      <c r="B414" s="98" t="str">
        <f>IFERROR(VLOOKUP(A414,'District Codes'!D:F,3,FALSE),"")</f>
        <v/>
      </c>
      <c r="C414" s="99" t="str">
        <f>IFERROR(VLOOKUP(A414,'District Codes'!A:B,2,FALSE),"")</f>
        <v/>
      </c>
      <c r="D414" s="104"/>
      <c r="E414" s="203" t="str">
        <f>IFERROR(VLOOKUP(D414, 'School Codes'!D:E,2,FALSE),"")</f>
        <v/>
      </c>
      <c r="F414" s="100"/>
      <c r="G414" s="100"/>
      <c r="H414" s="100"/>
      <c r="I414" s="100"/>
      <c r="J414" s="100"/>
      <c r="K414" s="100"/>
      <c r="L414" s="100"/>
      <c r="M414" s="100"/>
      <c r="N414" s="102"/>
      <c r="O414" s="103"/>
      <c r="P414" s="105"/>
    </row>
    <row r="415" spans="1:16" x14ac:dyDescent="0.3">
      <c r="A415" s="97" t="e">
        <f>'Cover Page'!$D$5</f>
        <v>#N/A</v>
      </c>
      <c r="B415" s="98" t="str">
        <f>IFERROR(VLOOKUP(A415,'District Codes'!D:F,3,FALSE),"")</f>
        <v/>
      </c>
      <c r="C415" s="99" t="str">
        <f>IFERROR(VLOOKUP(A415,'District Codes'!A:B,2,FALSE),"")</f>
        <v/>
      </c>
      <c r="D415" s="104"/>
      <c r="E415" s="203" t="str">
        <f>IFERROR(VLOOKUP(D415, 'School Codes'!D:E,2,FALSE),"")</f>
        <v/>
      </c>
      <c r="F415" s="100"/>
      <c r="G415" s="100"/>
      <c r="H415" s="100"/>
      <c r="I415" s="100"/>
      <c r="J415" s="100"/>
      <c r="K415" s="100"/>
      <c r="L415" s="100"/>
      <c r="M415" s="100"/>
      <c r="N415" s="102"/>
      <c r="O415" s="103"/>
      <c r="P415" s="105"/>
    </row>
    <row r="416" spans="1:16" x14ac:dyDescent="0.3">
      <c r="A416" s="97" t="e">
        <f>'Cover Page'!$D$5</f>
        <v>#N/A</v>
      </c>
      <c r="B416" s="98" t="str">
        <f>IFERROR(VLOOKUP(A416,'District Codes'!D:F,3,FALSE),"")</f>
        <v/>
      </c>
      <c r="C416" s="99" t="str">
        <f>IFERROR(VLOOKUP(A416,'District Codes'!A:B,2,FALSE),"")</f>
        <v/>
      </c>
      <c r="D416" s="106"/>
      <c r="E416" s="203" t="str">
        <f>IFERROR(VLOOKUP(D416, 'School Codes'!D:E,2,FALSE),"")</f>
        <v/>
      </c>
      <c r="F416" s="100"/>
      <c r="G416" s="100"/>
      <c r="H416" s="100"/>
      <c r="I416" s="100"/>
      <c r="J416" s="100"/>
      <c r="K416" s="100"/>
      <c r="L416" s="100"/>
      <c r="M416" s="100"/>
      <c r="N416" s="102"/>
      <c r="O416" s="103"/>
      <c r="P416" s="105"/>
    </row>
    <row r="417" spans="1:16" x14ac:dyDescent="0.3">
      <c r="A417" s="97" t="e">
        <f>'Cover Page'!$D$5</f>
        <v>#N/A</v>
      </c>
      <c r="B417" s="98" t="str">
        <f>IFERROR(VLOOKUP(A417,'District Codes'!D:F,3,FALSE),"")</f>
        <v/>
      </c>
      <c r="C417" s="99" t="str">
        <f>IFERROR(VLOOKUP(A417,'District Codes'!A:B,2,FALSE),"")</f>
        <v/>
      </c>
      <c r="D417" s="106"/>
      <c r="E417" s="203" t="str">
        <f>IFERROR(VLOOKUP(D417, 'School Codes'!D:E,2,FALSE),"")</f>
        <v/>
      </c>
      <c r="F417" s="100"/>
      <c r="G417" s="100"/>
      <c r="H417" s="100"/>
      <c r="I417" s="100"/>
      <c r="J417" s="100"/>
      <c r="K417" s="100"/>
      <c r="L417" s="100"/>
      <c r="M417" s="100"/>
      <c r="N417" s="102"/>
      <c r="O417" s="103"/>
      <c r="P417" s="105"/>
    </row>
    <row r="418" spans="1:16" x14ac:dyDescent="0.3">
      <c r="A418" s="97" t="e">
        <f>'Cover Page'!$D$5</f>
        <v>#N/A</v>
      </c>
      <c r="B418" s="98" t="str">
        <f>IFERROR(VLOOKUP(A418,'District Codes'!D:F,3,FALSE),"")</f>
        <v/>
      </c>
      <c r="C418" s="99" t="str">
        <f>IFERROR(VLOOKUP(A418,'District Codes'!A:B,2,FALSE),"")</f>
        <v/>
      </c>
      <c r="D418" s="106"/>
      <c r="E418" s="203" t="str">
        <f>IFERROR(VLOOKUP(D418, 'School Codes'!D:E,2,FALSE),"")</f>
        <v/>
      </c>
      <c r="F418" s="100"/>
      <c r="G418" s="100"/>
      <c r="H418" s="100"/>
      <c r="I418" s="100"/>
      <c r="J418" s="100"/>
      <c r="K418" s="100"/>
      <c r="L418" s="100"/>
      <c r="M418" s="100"/>
      <c r="N418" s="102"/>
      <c r="O418" s="103"/>
      <c r="P418" s="105"/>
    </row>
    <row r="419" spans="1:16" ht="14.4" thickBot="1" x14ac:dyDescent="0.35">
      <c r="A419" s="97" t="e">
        <f>'Cover Page'!$D$5</f>
        <v>#N/A</v>
      </c>
      <c r="B419" s="98" t="str">
        <f>IFERROR(VLOOKUP(A419,'District Codes'!D:F,3,FALSE),"")</f>
        <v/>
      </c>
      <c r="C419" s="99" t="str">
        <f>IFERROR(VLOOKUP(A419,'District Codes'!A:B,2,FALSE),"")</f>
        <v/>
      </c>
      <c r="D419" s="104"/>
      <c r="E419" s="203" t="str">
        <f>IFERROR(VLOOKUP(D419, 'School Codes'!D:E,2,FALSE),"")</f>
        <v/>
      </c>
      <c r="F419" s="100"/>
      <c r="G419" s="100"/>
      <c r="H419" s="100"/>
      <c r="I419" s="100"/>
      <c r="J419" s="100"/>
      <c r="K419" s="100"/>
      <c r="L419" s="100"/>
      <c r="M419" s="100"/>
      <c r="N419" s="102"/>
      <c r="O419" s="103"/>
      <c r="P419" s="105"/>
    </row>
    <row r="420" spans="1:16" x14ac:dyDescent="0.3">
      <c r="A420" s="97" t="e">
        <f>'Cover Page'!$D$5</f>
        <v>#N/A</v>
      </c>
      <c r="B420" s="98" t="str">
        <f>IFERROR(VLOOKUP(A420,'District Codes'!D:F,3,FALSE),"")</f>
        <v/>
      </c>
      <c r="C420" s="99" t="str">
        <f>IFERROR(VLOOKUP(A420,'District Codes'!A:B,2,FALSE),"")</f>
        <v/>
      </c>
      <c r="D420" s="104"/>
      <c r="E420" s="203" t="str">
        <f>IFERROR(VLOOKUP(D420, 'School Codes'!D:E,2,FALSE),"")</f>
        <v/>
      </c>
      <c r="F420" s="100"/>
      <c r="G420" s="100"/>
      <c r="H420" s="100"/>
      <c r="I420" s="101"/>
      <c r="J420" s="100"/>
      <c r="K420" s="100"/>
      <c r="L420" s="100"/>
      <c r="M420" s="100"/>
      <c r="N420" s="102"/>
      <c r="O420" s="103"/>
      <c r="P420" s="105"/>
    </row>
    <row r="421" spans="1:16" x14ac:dyDescent="0.3">
      <c r="A421" s="97" t="e">
        <f>'Cover Page'!$D$5</f>
        <v>#N/A</v>
      </c>
      <c r="B421" s="98" t="str">
        <f>IFERROR(VLOOKUP(A421,'District Codes'!D:F,3,FALSE),"")</f>
        <v/>
      </c>
      <c r="C421" s="99" t="str">
        <f>IFERROR(VLOOKUP(A421,'District Codes'!A:B,2,FALSE),"")</f>
        <v/>
      </c>
      <c r="D421" s="104"/>
      <c r="E421" s="203" t="str">
        <f>IFERROR(VLOOKUP(D421, 'School Codes'!D:E,2,FALSE),"")</f>
        <v/>
      </c>
      <c r="F421" s="100"/>
      <c r="G421" s="100"/>
      <c r="H421" s="100"/>
      <c r="I421" s="100"/>
      <c r="J421" s="100"/>
      <c r="K421" s="100"/>
      <c r="L421" s="100"/>
      <c r="M421" s="100"/>
      <c r="N421" s="102"/>
      <c r="O421" s="103"/>
      <c r="P421" s="105"/>
    </row>
    <row r="422" spans="1:16" x14ac:dyDescent="0.3">
      <c r="A422" s="97" t="e">
        <f>'Cover Page'!$D$5</f>
        <v>#N/A</v>
      </c>
      <c r="B422" s="98" t="str">
        <f>IFERROR(VLOOKUP(A422,'District Codes'!D:F,3,FALSE),"")</f>
        <v/>
      </c>
      <c r="C422" s="99" t="str">
        <f>IFERROR(VLOOKUP(A422,'District Codes'!A:B,2,FALSE),"")</f>
        <v/>
      </c>
      <c r="D422" s="104"/>
      <c r="E422" s="203" t="str">
        <f>IFERROR(VLOOKUP(D422, 'School Codes'!D:E,2,FALSE),"")</f>
        <v/>
      </c>
      <c r="F422" s="100"/>
      <c r="G422" s="100"/>
      <c r="H422" s="100"/>
      <c r="I422" s="100"/>
      <c r="J422" s="100"/>
      <c r="K422" s="100"/>
      <c r="L422" s="100"/>
      <c r="M422" s="100"/>
      <c r="N422" s="102"/>
      <c r="O422" s="103"/>
      <c r="P422" s="105"/>
    </row>
    <row r="423" spans="1:16" x14ac:dyDescent="0.3">
      <c r="A423" s="97" t="e">
        <f>'Cover Page'!$D$5</f>
        <v>#N/A</v>
      </c>
      <c r="B423" s="98" t="str">
        <f>IFERROR(VLOOKUP(A423,'District Codes'!D:F,3,FALSE),"")</f>
        <v/>
      </c>
      <c r="C423" s="99" t="str">
        <f>IFERROR(VLOOKUP(A423,'District Codes'!A:B,2,FALSE),"")</f>
        <v/>
      </c>
      <c r="D423" s="104"/>
      <c r="E423" s="203" t="str">
        <f>IFERROR(VLOOKUP(D423, 'School Codes'!D:E,2,FALSE),"")</f>
        <v/>
      </c>
      <c r="F423" s="100"/>
      <c r="G423" s="100"/>
      <c r="H423" s="100"/>
      <c r="I423" s="100"/>
      <c r="J423" s="100"/>
      <c r="K423" s="100"/>
      <c r="L423" s="100"/>
      <c r="M423" s="100"/>
      <c r="N423" s="102"/>
      <c r="O423" s="103"/>
      <c r="P423" s="105"/>
    </row>
    <row r="424" spans="1:16" x14ac:dyDescent="0.3">
      <c r="A424" s="97" t="e">
        <f>'Cover Page'!$D$5</f>
        <v>#N/A</v>
      </c>
      <c r="B424" s="98" t="str">
        <f>IFERROR(VLOOKUP(A424,'District Codes'!D:F,3,FALSE),"")</f>
        <v/>
      </c>
      <c r="C424" s="99" t="str">
        <f>IFERROR(VLOOKUP(A424,'District Codes'!A:B,2,FALSE),"")</f>
        <v/>
      </c>
      <c r="D424" s="104"/>
      <c r="E424" s="203" t="str">
        <f>IFERROR(VLOOKUP(D424, 'School Codes'!D:E,2,FALSE),"")</f>
        <v/>
      </c>
      <c r="F424" s="100"/>
      <c r="G424" s="100"/>
      <c r="H424" s="100"/>
      <c r="I424" s="100"/>
      <c r="J424" s="100"/>
      <c r="K424" s="100"/>
      <c r="L424" s="100"/>
      <c r="M424" s="100"/>
      <c r="N424" s="102"/>
      <c r="O424" s="103"/>
      <c r="P424" s="105"/>
    </row>
    <row r="425" spans="1:16" x14ac:dyDescent="0.3">
      <c r="A425" s="97" t="e">
        <f>'Cover Page'!$D$5</f>
        <v>#N/A</v>
      </c>
      <c r="B425" s="98" t="str">
        <f>IFERROR(VLOOKUP(A425,'District Codes'!D:F,3,FALSE),"")</f>
        <v/>
      </c>
      <c r="C425" s="99" t="str">
        <f>IFERROR(VLOOKUP(A425,'District Codes'!A:B,2,FALSE),"")</f>
        <v/>
      </c>
      <c r="D425" s="104"/>
      <c r="E425" s="203" t="str">
        <f>IFERROR(VLOOKUP(D425, 'School Codes'!D:E,2,FALSE),"")</f>
        <v/>
      </c>
      <c r="F425" s="100"/>
      <c r="G425" s="100"/>
      <c r="H425" s="100"/>
      <c r="I425" s="100"/>
      <c r="J425" s="100"/>
      <c r="K425" s="100"/>
      <c r="L425" s="100"/>
      <c r="M425" s="100"/>
      <c r="N425" s="102"/>
      <c r="O425" s="103"/>
      <c r="P425" s="105"/>
    </row>
    <row r="426" spans="1:16" x14ac:dyDescent="0.3">
      <c r="A426" s="97" t="e">
        <f>'Cover Page'!$D$5</f>
        <v>#N/A</v>
      </c>
      <c r="B426" s="98" t="str">
        <f>IFERROR(VLOOKUP(A426,'District Codes'!D:F,3,FALSE),"")</f>
        <v/>
      </c>
      <c r="C426" s="99" t="str">
        <f>IFERROR(VLOOKUP(A426,'District Codes'!A:B,2,FALSE),"")</f>
        <v/>
      </c>
      <c r="D426" s="104"/>
      <c r="E426" s="203" t="str">
        <f>IFERROR(VLOOKUP(D426, 'School Codes'!D:E,2,FALSE),"")</f>
        <v/>
      </c>
      <c r="F426" s="100"/>
      <c r="G426" s="100"/>
      <c r="H426" s="100"/>
      <c r="I426" s="100"/>
      <c r="J426" s="100"/>
      <c r="K426" s="100"/>
      <c r="L426" s="100"/>
      <c r="M426" s="100"/>
      <c r="N426" s="102"/>
      <c r="O426" s="103"/>
      <c r="P426" s="105"/>
    </row>
    <row r="427" spans="1:16" x14ac:dyDescent="0.3">
      <c r="A427" s="97" t="e">
        <f>'Cover Page'!$D$5</f>
        <v>#N/A</v>
      </c>
      <c r="B427" s="98" t="str">
        <f>IFERROR(VLOOKUP(A427,'District Codes'!D:F,3,FALSE),"")</f>
        <v/>
      </c>
      <c r="C427" s="99" t="str">
        <f>IFERROR(VLOOKUP(A427,'District Codes'!A:B,2,FALSE),"")</f>
        <v/>
      </c>
      <c r="D427" s="104"/>
      <c r="E427" s="203" t="str">
        <f>IFERROR(VLOOKUP(D427, 'School Codes'!D:E,2,FALSE),"")</f>
        <v/>
      </c>
      <c r="F427" s="100"/>
      <c r="G427" s="100"/>
      <c r="H427" s="100"/>
      <c r="I427" s="100"/>
      <c r="J427" s="100"/>
      <c r="K427" s="100"/>
      <c r="L427" s="100"/>
      <c r="M427" s="100"/>
      <c r="N427" s="102"/>
      <c r="O427" s="103"/>
      <c r="P427" s="105"/>
    </row>
    <row r="428" spans="1:16" x14ac:dyDescent="0.3">
      <c r="A428" s="97" t="e">
        <f>'Cover Page'!$D$5</f>
        <v>#N/A</v>
      </c>
      <c r="B428" s="98" t="str">
        <f>IFERROR(VLOOKUP(A428,'District Codes'!D:F,3,FALSE),"")</f>
        <v/>
      </c>
      <c r="C428" s="99" t="str">
        <f>IFERROR(VLOOKUP(A428,'District Codes'!A:B,2,FALSE),"")</f>
        <v/>
      </c>
      <c r="D428" s="104"/>
      <c r="E428" s="203" t="str">
        <f>IFERROR(VLOOKUP(D428, 'School Codes'!D:E,2,FALSE),"")</f>
        <v/>
      </c>
      <c r="F428" s="100"/>
      <c r="G428" s="100"/>
      <c r="H428" s="100"/>
      <c r="I428" s="100"/>
      <c r="J428" s="100"/>
      <c r="K428" s="100"/>
      <c r="L428" s="100"/>
      <c r="M428" s="100"/>
      <c r="N428" s="102"/>
      <c r="O428" s="103"/>
      <c r="P428" s="105"/>
    </row>
    <row r="429" spans="1:16" x14ac:dyDescent="0.3">
      <c r="A429" s="97" t="e">
        <f>'Cover Page'!$D$5</f>
        <v>#N/A</v>
      </c>
      <c r="B429" s="98" t="str">
        <f>IFERROR(VLOOKUP(A429,'District Codes'!D:F,3,FALSE),"")</f>
        <v/>
      </c>
      <c r="C429" s="99" t="str">
        <f>IFERROR(VLOOKUP(A429,'District Codes'!A:B,2,FALSE),"")</f>
        <v/>
      </c>
      <c r="D429" s="106"/>
      <c r="E429" s="203" t="str">
        <f>IFERROR(VLOOKUP(D429, 'School Codes'!D:E,2,FALSE),"")</f>
        <v/>
      </c>
      <c r="F429" s="100"/>
      <c r="G429" s="100"/>
      <c r="H429" s="100"/>
      <c r="I429" s="100"/>
      <c r="J429" s="100"/>
      <c r="K429" s="100"/>
      <c r="L429" s="100"/>
      <c r="M429" s="100"/>
      <c r="N429" s="102"/>
      <c r="O429" s="103"/>
      <c r="P429" s="105"/>
    </row>
    <row r="430" spans="1:16" x14ac:dyDescent="0.3">
      <c r="A430" s="97" t="e">
        <f>'Cover Page'!$D$5</f>
        <v>#N/A</v>
      </c>
      <c r="B430" s="98" t="str">
        <f>IFERROR(VLOOKUP(A430,'District Codes'!D:F,3,FALSE),"")</f>
        <v/>
      </c>
      <c r="C430" s="99" t="str">
        <f>IFERROR(VLOOKUP(A430,'District Codes'!A:B,2,FALSE),"")</f>
        <v/>
      </c>
      <c r="D430" s="106"/>
      <c r="E430" s="203" t="str">
        <f>IFERROR(VLOOKUP(D430, 'School Codes'!D:E,2,FALSE),"")</f>
        <v/>
      </c>
      <c r="F430" s="100"/>
      <c r="G430" s="100"/>
      <c r="H430" s="100"/>
      <c r="I430" s="100"/>
      <c r="J430" s="100"/>
      <c r="K430" s="100"/>
      <c r="L430" s="100"/>
      <c r="M430" s="100"/>
      <c r="N430" s="102"/>
      <c r="O430" s="103"/>
      <c r="P430" s="105"/>
    </row>
    <row r="431" spans="1:16" x14ac:dyDescent="0.3">
      <c r="A431" s="97" t="e">
        <f>'Cover Page'!$D$5</f>
        <v>#N/A</v>
      </c>
      <c r="B431" s="98" t="str">
        <f>IFERROR(VLOOKUP(A431,'District Codes'!D:F,3,FALSE),"")</f>
        <v/>
      </c>
      <c r="C431" s="99" t="str">
        <f>IFERROR(VLOOKUP(A431,'District Codes'!A:B,2,FALSE),"")</f>
        <v/>
      </c>
      <c r="D431" s="106"/>
      <c r="E431" s="203" t="str">
        <f>IFERROR(VLOOKUP(D431, 'School Codes'!D:E,2,FALSE),"")</f>
        <v/>
      </c>
      <c r="F431" s="100"/>
      <c r="G431" s="100"/>
      <c r="H431" s="100"/>
      <c r="I431" s="100"/>
      <c r="J431" s="100"/>
      <c r="K431" s="100"/>
      <c r="L431" s="100"/>
      <c r="M431" s="100"/>
      <c r="N431" s="102"/>
      <c r="O431" s="103"/>
      <c r="P431" s="105"/>
    </row>
    <row r="432" spans="1:16" ht="14.4" thickBot="1" x14ac:dyDescent="0.35">
      <c r="A432" s="97" t="e">
        <f>'Cover Page'!$D$5</f>
        <v>#N/A</v>
      </c>
      <c r="B432" s="98" t="str">
        <f>IFERROR(VLOOKUP(A432,'District Codes'!D:F,3,FALSE),"")</f>
        <v/>
      </c>
      <c r="C432" s="99" t="str">
        <f>IFERROR(VLOOKUP(A432,'District Codes'!A:B,2,FALSE),"")</f>
        <v/>
      </c>
      <c r="D432" s="104"/>
      <c r="E432" s="203" t="str">
        <f>IFERROR(VLOOKUP(D432, 'School Codes'!D:E,2,FALSE),"")</f>
        <v/>
      </c>
      <c r="F432" s="100"/>
      <c r="G432" s="100"/>
      <c r="H432" s="100"/>
      <c r="I432" s="100"/>
      <c r="J432" s="100"/>
      <c r="K432" s="100"/>
      <c r="L432" s="100"/>
      <c r="M432" s="100"/>
      <c r="N432" s="102"/>
      <c r="O432" s="103"/>
      <c r="P432" s="105"/>
    </row>
    <row r="433" spans="1:16" x14ac:dyDescent="0.3">
      <c r="A433" s="97" t="e">
        <f>'Cover Page'!$D$5</f>
        <v>#N/A</v>
      </c>
      <c r="B433" s="98" t="str">
        <f>IFERROR(VLOOKUP(A433,'District Codes'!D:F,3,FALSE),"")</f>
        <v/>
      </c>
      <c r="C433" s="99" t="str">
        <f>IFERROR(VLOOKUP(A433,'District Codes'!A:B,2,FALSE),"")</f>
        <v/>
      </c>
      <c r="D433" s="104"/>
      <c r="E433" s="203" t="str">
        <f>IFERROR(VLOOKUP(D433, 'School Codes'!D:E,2,FALSE),"")</f>
        <v/>
      </c>
      <c r="F433" s="100"/>
      <c r="G433" s="100"/>
      <c r="H433" s="100"/>
      <c r="I433" s="101"/>
      <c r="J433" s="100"/>
      <c r="K433" s="100"/>
      <c r="L433" s="100"/>
      <c r="M433" s="100"/>
      <c r="N433" s="102"/>
      <c r="O433" s="103"/>
      <c r="P433" s="105"/>
    </row>
    <row r="434" spans="1:16" x14ac:dyDescent="0.3">
      <c r="A434" s="97" t="e">
        <f>'Cover Page'!$D$5</f>
        <v>#N/A</v>
      </c>
      <c r="B434" s="98" t="str">
        <f>IFERROR(VLOOKUP(A434,'District Codes'!D:F,3,FALSE),"")</f>
        <v/>
      </c>
      <c r="C434" s="99" t="str">
        <f>IFERROR(VLOOKUP(A434,'District Codes'!A:B,2,FALSE),"")</f>
        <v/>
      </c>
      <c r="D434" s="104"/>
      <c r="E434" s="203" t="str">
        <f>IFERROR(VLOOKUP(D434, 'School Codes'!D:E,2,FALSE),"")</f>
        <v/>
      </c>
      <c r="F434" s="100"/>
      <c r="G434" s="100"/>
      <c r="H434" s="100"/>
      <c r="I434" s="100"/>
      <c r="J434" s="100"/>
      <c r="K434" s="100"/>
      <c r="L434" s="100"/>
      <c r="M434" s="100"/>
      <c r="N434" s="102"/>
      <c r="O434" s="103"/>
      <c r="P434" s="105"/>
    </row>
    <row r="435" spans="1:16" x14ac:dyDescent="0.3">
      <c r="A435" s="97" t="e">
        <f>'Cover Page'!$D$5</f>
        <v>#N/A</v>
      </c>
      <c r="B435" s="98" t="str">
        <f>IFERROR(VLOOKUP(A435,'District Codes'!D:F,3,FALSE),"")</f>
        <v/>
      </c>
      <c r="C435" s="99" t="str">
        <f>IFERROR(VLOOKUP(A435,'District Codes'!A:B,2,FALSE),"")</f>
        <v/>
      </c>
      <c r="D435" s="104"/>
      <c r="E435" s="203" t="str">
        <f>IFERROR(VLOOKUP(D435, 'School Codes'!D:E,2,FALSE),"")</f>
        <v/>
      </c>
      <c r="F435" s="100"/>
      <c r="G435" s="100"/>
      <c r="H435" s="100"/>
      <c r="I435" s="100"/>
      <c r="J435" s="100"/>
      <c r="K435" s="100"/>
      <c r="L435" s="100"/>
      <c r="M435" s="100"/>
      <c r="N435" s="102"/>
      <c r="O435" s="103"/>
      <c r="P435" s="105"/>
    </row>
    <row r="436" spans="1:16" x14ac:dyDescent="0.3">
      <c r="A436" s="97" t="e">
        <f>'Cover Page'!$D$5</f>
        <v>#N/A</v>
      </c>
      <c r="B436" s="98" t="str">
        <f>IFERROR(VLOOKUP(A436,'District Codes'!D:F,3,FALSE),"")</f>
        <v/>
      </c>
      <c r="C436" s="99" t="str">
        <f>IFERROR(VLOOKUP(A436,'District Codes'!A:B,2,FALSE),"")</f>
        <v/>
      </c>
      <c r="D436" s="104"/>
      <c r="E436" s="203" t="str">
        <f>IFERROR(VLOOKUP(D436, 'School Codes'!D:E,2,FALSE),"")</f>
        <v/>
      </c>
      <c r="F436" s="100"/>
      <c r="G436" s="100"/>
      <c r="H436" s="100"/>
      <c r="I436" s="100"/>
      <c r="J436" s="100"/>
      <c r="K436" s="100"/>
      <c r="L436" s="100"/>
      <c r="M436" s="100"/>
      <c r="N436" s="102"/>
      <c r="O436" s="103"/>
      <c r="P436" s="105"/>
    </row>
    <row r="437" spans="1:16" x14ac:dyDescent="0.3">
      <c r="A437" s="97" t="e">
        <f>'Cover Page'!$D$5</f>
        <v>#N/A</v>
      </c>
      <c r="B437" s="98" t="str">
        <f>IFERROR(VLOOKUP(A437,'District Codes'!D:F,3,FALSE),"")</f>
        <v/>
      </c>
      <c r="C437" s="99" t="str">
        <f>IFERROR(VLOOKUP(A437,'District Codes'!A:B,2,FALSE),"")</f>
        <v/>
      </c>
      <c r="D437" s="104"/>
      <c r="E437" s="203" t="str">
        <f>IFERROR(VLOOKUP(D437, 'School Codes'!D:E,2,FALSE),"")</f>
        <v/>
      </c>
      <c r="F437" s="100"/>
      <c r="G437" s="100"/>
      <c r="H437" s="100"/>
      <c r="I437" s="100"/>
      <c r="J437" s="100"/>
      <c r="K437" s="100"/>
      <c r="L437" s="100"/>
      <c r="M437" s="100"/>
      <c r="N437" s="102"/>
      <c r="O437" s="103"/>
      <c r="P437" s="105"/>
    </row>
    <row r="438" spans="1:16" x14ac:dyDescent="0.3">
      <c r="A438" s="97" t="e">
        <f>'Cover Page'!$D$5</f>
        <v>#N/A</v>
      </c>
      <c r="B438" s="98" t="str">
        <f>IFERROR(VLOOKUP(A438,'District Codes'!D:F,3,FALSE),"")</f>
        <v/>
      </c>
      <c r="C438" s="99" t="str">
        <f>IFERROR(VLOOKUP(A438,'District Codes'!A:B,2,FALSE),"")</f>
        <v/>
      </c>
      <c r="D438" s="104"/>
      <c r="E438" s="203" t="str">
        <f>IFERROR(VLOOKUP(D438, 'School Codes'!D:E,2,FALSE),"")</f>
        <v/>
      </c>
      <c r="F438" s="100"/>
      <c r="G438" s="100"/>
      <c r="H438" s="100"/>
      <c r="I438" s="100"/>
      <c r="J438" s="100"/>
      <c r="K438" s="100"/>
      <c r="L438" s="100"/>
      <c r="M438" s="100"/>
      <c r="N438" s="102"/>
      <c r="O438" s="103"/>
      <c r="P438" s="105"/>
    </row>
    <row r="439" spans="1:16" x14ac:dyDescent="0.3">
      <c r="A439" s="97" t="e">
        <f>'Cover Page'!$D$5</f>
        <v>#N/A</v>
      </c>
      <c r="B439" s="98" t="str">
        <f>IFERROR(VLOOKUP(A439,'District Codes'!D:F,3,FALSE),"")</f>
        <v/>
      </c>
      <c r="C439" s="99" t="str">
        <f>IFERROR(VLOOKUP(A439,'District Codes'!A:B,2,FALSE),"")</f>
        <v/>
      </c>
      <c r="D439" s="104"/>
      <c r="E439" s="203" t="str">
        <f>IFERROR(VLOOKUP(D439, 'School Codes'!D:E,2,FALSE),"")</f>
        <v/>
      </c>
      <c r="F439" s="100"/>
      <c r="G439" s="100"/>
      <c r="H439" s="100"/>
      <c r="I439" s="100"/>
      <c r="J439" s="100"/>
      <c r="K439" s="100"/>
      <c r="L439" s="100"/>
      <c r="M439" s="100"/>
      <c r="N439" s="102"/>
      <c r="O439" s="103"/>
      <c r="P439" s="105"/>
    </row>
    <row r="440" spans="1:16" x14ac:dyDescent="0.3">
      <c r="A440" s="97" t="e">
        <f>'Cover Page'!$D$5</f>
        <v>#N/A</v>
      </c>
      <c r="B440" s="98" t="str">
        <f>IFERROR(VLOOKUP(A440,'District Codes'!D:F,3,FALSE),"")</f>
        <v/>
      </c>
      <c r="C440" s="99" t="str">
        <f>IFERROR(VLOOKUP(A440,'District Codes'!A:B,2,FALSE),"")</f>
        <v/>
      </c>
      <c r="D440" s="104"/>
      <c r="E440" s="203" t="str">
        <f>IFERROR(VLOOKUP(D440, 'School Codes'!D:E,2,FALSE),"")</f>
        <v/>
      </c>
      <c r="F440" s="100"/>
      <c r="G440" s="100"/>
      <c r="H440" s="100"/>
      <c r="I440" s="100"/>
      <c r="J440" s="100"/>
      <c r="K440" s="100"/>
      <c r="L440" s="100"/>
      <c r="M440" s="100"/>
      <c r="N440" s="102"/>
      <c r="O440" s="103"/>
      <c r="P440" s="105"/>
    </row>
    <row r="441" spans="1:16" x14ac:dyDescent="0.3">
      <c r="A441" s="97" t="e">
        <f>'Cover Page'!$D$5</f>
        <v>#N/A</v>
      </c>
      <c r="B441" s="98" t="str">
        <f>IFERROR(VLOOKUP(A441,'District Codes'!D:F,3,FALSE),"")</f>
        <v/>
      </c>
      <c r="C441" s="99" t="str">
        <f>IFERROR(VLOOKUP(A441,'District Codes'!A:B,2,FALSE),"")</f>
        <v/>
      </c>
      <c r="D441" s="104"/>
      <c r="E441" s="203" t="str">
        <f>IFERROR(VLOOKUP(D441, 'School Codes'!D:E,2,FALSE),"")</f>
        <v/>
      </c>
      <c r="F441" s="100"/>
      <c r="G441" s="100"/>
      <c r="H441" s="100"/>
      <c r="I441" s="100"/>
      <c r="J441" s="100"/>
      <c r="K441" s="100"/>
      <c r="L441" s="100"/>
      <c r="M441" s="100"/>
      <c r="N441" s="102"/>
      <c r="O441" s="103"/>
      <c r="P441" s="105"/>
    </row>
    <row r="442" spans="1:16" x14ac:dyDescent="0.3">
      <c r="A442" s="97" t="e">
        <f>'Cover Page'!$D$5</f>
        <v>#N/A</v>
      </c>
      <c r="B442" s="98" t="str">
        <f>IFERROR(VLOOKUP(A442,'District Codes'!D:F,3,FALSE),"")</f>
        <v/>
      </c>
      <c r="C442" s="99" t="str">
        <f>IFERROR(VLOOKUP(A442,'District Codes'!A:B,2,FALSE),"")</f>
        <v/>
      </c>
      <c r="D442" s="106"/>
      <c r="E442" s="203" t="str">
        <f>IFERROR(VLOOKUP(D442, 'School Codes'!D:E,2,FALSE),"")</f>
        <v/>
      </c>
      <c r="F442" s="100"/>
      <c r="G442" s="100"/>
      <c r="H442" s="100"/>
      <c r="I442" s="100"/>
      <c r="J442" s="100"/>
      <c r="K442" s="100"/>
      <c r="L442" s="100"/>
      <c r="M442" s="100"/>
      <c r="N442" s="102"/>
      <c r="O442" s="103"/>
      <c r="P442" s="105"/>
    </row>
    <row r="443" spans="1:16" x14ac:dyDescent="0.3">
      <c r="A443" s="97" t="e">
        <f>'Cover Page'!$D$5</f>
        <v>#N/A</v>
      </c>
      <c r="B443" s="98" t="str">
        <f>IFERROR(VLOOKUP(A443,'District Codes'!D:F,3,FALSE),"")</f>
        <v/>
      </c>
      <c r="C443" s="99" t="str">
        <f>IFERROR(VLOOKUP(A443,'District Codes'!A:B,2,FALSE),"")</f>
        <v/>
      </c>
      <c r="D443" s="106"/>
      <c r="E443" s="203" t="str">
        <f>IFERROR(VLOOKUP(D443, 'School Codes'!D:E,2,FALSE),"")</f>
        <v/>
      </c>
      <c r="F443" s="100"/>
      <c r="G443" s="100"/>
      <c r="H443" s="100"/>
      <c r="I443" s="100"/>
      <c r="J443" s="100"/>
      <c r="K443" s="100"/>
      <c r="L443" s="100"/>
      <c r="M443" s="100"/>
      <c r="N443" s="102"/>
      <c r="O443" s="103"/>
      <c r="P443" s="105"/>
    </row>
    <row r="444" spans="1:16" x14ac:dyDescent="0.3">
      <c r="A444" s="97" t="e">
        <f>'Cover Page'!$D$5</f>
        <v>#N/A</v>
      </c>
      <c r="B444" s="98" t="str">
        <f>IFERROR(VLOOKUP(A444,'District Codes'!D:F,3,FALSE),"")</f>
        <v/>
      </c>
      <c r="C444" s="99" t="str">
        <f>IFERROR(VLOOKUP(A444,'District Codes'!A:B,2,FALSE),"")</f>
        <v/>
      </c>
      <c r="D444" s="106"/>
      <c r="E444" s="203" t="str">
        <f>IFERROR(VLOOKUP(D444, 'School Codes'!D:E,2,FALSE),"")</f>
        <v/>
      </c>
      <c r="F444" s="100"/>
      <c r="G444" s="100"/>
      <c r="H444" s="100"/>
      <c r="I444" s="100"/>
      <c r="J444" s="100"/>
      <c r="K444" s="100"/>
      <c r="L444" s="100"/>
      <c r="M444" s="100"/>
      <c r="N444" s="102"/>
      <c r="O444" s="103"/>
      <c r="P444" s="105"/>
    </row>
    <row r="445" spans="1:16" ht="14.4" thickBot="1" x14ac:dyDescent="0.35">
      <c r="A445" s="97" t="e">
        <f>'Cover Page'!$D$5</f>
        <v>#N/A</v>
      </c>
      <c r="B445" s="98" t="str">
        <f>IFERROR(VLOOKUP(A445,'District Codes'!D:F,3,FALSE),"")</f>
        <v/>
      </c>
      <c r="C445" s="99" t="str">
        <f>IFERROR(VLOOKUP(A445,'District Codes'!A:B,2,FALSE),"")</f>
        <v/>
      </c>
      <c r="D445" s="104"/>
      <c r="E445" s="203" t="str">
        <f>IFERROR(VLOOKUP(D445, 'School Codes'!D:E,2,FALSE),"")</f>
        <v/>
      </c>
      <c r="F445" s="100"/>
      <c r="G445" s="100"/>
      <c r="H445" s="100"/>
      <c r="I445" s="100"/>
      <c r="J445" s="100"/>
      <c r="K445" s="100"/>
      <c r="L445" s="100"/>
      <c r="M445" s="100"/>
      <c r="N445" s="102"/>
      <c r="O445" s="103"/>
      <c r="P445" s="105"/>
    </row>
    <row r="446" spans="1:16" x14ac:dyDescent="0.3">
      <c r="A446" s="97" t="e">
        <f>'Cover Page'!$D$5</f>
        <v>#N/A</v>
      </c>
      <c r="B446" s="98" t="str">
        <f>IFERROR(VLOOKUP(A446,'District Codes'!D:F,3,FALSE),"")</f>
        <v/>
      </c>
      <c r="C446" s="99" t="str">
        <f>IFERROR(VLOOKUP(A446,'District Codes'!A:B,2,FALSE),"")</f>
        <v/>
      </c>
      <c r="D446" s="104"/>
      <c r="E446" s="203" t="str">
        <f>IFERROR(VLOOKUP(D446, 'School Codes'!D:E,2,FALSE),"")</f>
        <v/>
      </c>
      <c r="F446" s="100"/>
      <c r="G446" s="100"/>
      <c r="H446" s="100"/>
      <c r="I446" s="101"/>
      <c r="J446" s="100"/>
      <c r="K446" s="100"/>
      <c r="L446" s="100"/>
      <c r="M446" s="100"/>
      <c r="N446" s="102"/>
      <c r="O446" s="103"/>
      <c r="P446" s="105"/>
    </row>
    <row r="447" spans="1:16" x14ac:dyDescent="0.3">
      <c r="A447" s="97" t="e">
        <f>'Cover Page'!$D$5</f>
        <v>#N/A</v>
      </c>
      <c r="B447" s="98" t="str">
        <f>IFERROR(VLOOKUP(A447,'District Codes'!D:F,3,FALSE),"")</f>
        <v/>
      </c>
      <c r="C447" s="99" t="str">
        <f>IFERROR(VLOOKUP(A447,'District Codes'!A:B,2,FALSE),"")</f>
        <v/>
      </c>
      <c r="D447" s="104"/>
      <c r="E447" s="203" t="str">
        <f>IFERROR(VLOOKUP(D447, 'School Codes'!D:E,2,FALSE),"")</f>
        <v/>
      </c>
      <c r="F447" s="100"/>
      <c r="G447" s="100"/>
      <c r="H447" s="100"/>
      <c r="I447" s="100"/>
      <c r="J447" s="100"/>
      <c r="K447" s="100"/>
      <c r="L447" s="100"/>
      <c r="M447" s="100"/>
      <c r="N447" s="102"/>
      <c r="O447" s="103"/>
      <c r="P447" s="105"/>
    </row>
    <row r="448" spans="1:16" x14ac:dyDescent="0.3">
      <c r="A448" s="97" t="e">
        <f>'Cover Page'!$D$5</f>
        <v>#N/A</v>
      </c>
      <c r="B448" s="98" t="str">
        <f>IFERROR(VLOOKUP(A448,'District Codes'!D:F,3,FALSE),"")</f>
        <v/>
      </c>
      <c r="C448" s="99" t="str">
        <f>IFERROR(VLOOKUP(A448,'District Codes'!A:B,2,FALSE),"")</f>
        <v/>
      </c>
      <c r="D448" s="104"/>
      <c r="E448" s="203" t="str">
        <f>IFERROR(VLOOKUP(D448, 'School Codes'!D:E,2,FALSE),"")</f>
        <v/>
      </c>
      <c r="F448" s="100"/>
      <c r="G448" s="100"/>
      <c r="H448" s="100"/>
      <c r="I448" s="100"/>
      <c r="J448" s="100"/>
      <c r="K448" s="100"/>
      <c r="L448" s="100"/>
      <c r="M448" s="100"/>
      <c r="N448" s="102"/>
      <c r="O448" s="103"/>
      <c r="P448" s="105"/>
    </row>
    <row r="449" spans="1:16" x14ac:dyDescent="0.3">
      <c r="A449" s="97" t="e">
        <f>'Cover Page'!$D$5</f>
        <v>#N/A</v>
      </c>
      <c r="B449" s="98" t="str">
        <f>IFERROR(VLOOKUP(A449,'District Codes'!D:F,3,FALSE),"")</f>
        <v/>
      </c>
      <c r="C449" s="99" t="str">
        <f>IFERROR(VLOOKUP(A449,'District Codes'!A:B,2,FALSE),"")</f>
        <v/>
      </c>
      <c r="D449" s="104"/>
      <c r="E449" s="203" t="str">
        <f>IFERROR(VLOOKUP(D449, 'School Codes'!D:E,2,FALSE),"")</f>
        <v/>
      </c>
      <c r="F449" s="100"/>
      <c r="G449" s="100"/>
      <c r="H449" s="100"/>
      <c r="I449" s="100"/>
      <c r="J449" s="100"/>
      <c r="K449" s="100"/>
      <c r="L449" s="100"/>
      <c r="M449" s="100"/>
      <c r="N449" s="102"/>
      <c r="O449" s="103"/>
      <c r="P449" s="105"/>
    </row>
    <row r="450" spans="1:16" x14ac:dyDescent="0.3">
      <c r="A450" s="97" t="e">
        <f>'Cover Page'!$D$5</f>
        <v>#N/A</v>
      </c>
      <c r="B450" s="98" t="str">
        <f>IFERROR(VLOOKUP(A450,'District Codes'!D:F,3,FALSE),"")</f>
        <v/>
      </c>
      <c r="C450" s="99" t="str">
        <f>IFERROR(VLOOKUP(A450,'District Codes'!A:B,2,FALSE),"")</f>
        <v/>
      </c>
      <c r="D450" s="104"/>
      <c r="E450" s="203" t="str">
        <f>IFERROR(VLOOKUP(D450, 'School Codes'!D:E,2,FALSE),"")</f>
        <v/>
      </c>
      <c r="F450" s="100"/>
      <c r="G450" s="100"/>
      <c r="H450" s="100"/>
      <c r="I450" s="100"/>
      <c r="J450" s="100"/>
      <c r="K450" s="100"/>
      <c r="L450" s="100"/>
      <c r="M450" s="100"/>
      <c r="N450" s="102"/>
      <c r="O450" s="103"/>
      <c r="P450" s="105"/>
    </row>
    <row r="451" spans="1:16" x14ac:dyDescent="0.3">
      <c r="A451" s="97" t="e">
        <f>'Cover Page'!$D$5</f>
        <v>#N/A</v>
      </c>
      <c r="B451" s="98" t="str">
        <f>IFERROR(VLOOKUP(A451,'District Codes'!D:F,3,FALSE),"")</f>
        <v/>
      </c>
      <c r="C451" s="99" t="str">
        <f>IFERROR(VLOOKUP(A451,'District Codes'!A:B,2,FALSE),"")</f>
        <v/>
      </c>
      <c r="D451" s="104"/>
      <c r="E451" s="203" t="str">
        <f>IFERROR(VLOOKUP(D451, 'School Codes'!D:E,2,FALSE),"")</f>
        <v/>
      </c>
      <c r="F451" s="100"/>
      <c r="G451" s="100"/>
      <c r="H451" s="100"/>
      <c r="I451" s="100"/>
      <c r="J451" s="100"/>
      <c r="K451" s="100"/>
      <c r="L451" s="100"/>
      <c r="M451" s="100"/>
      <c r="N451" s="102"/>
      <c r="O451" s="103"/>
      <c r="P451" s="105"/>
    </row>
    <row r="452" spans="1:16" x14ac:dyDescent="0.3">
      <c r="A452" s="97" t="e">
        <f>'Cover Page'!$D$5</f>
        <v>#N/A</v>
      </c>
      <c r="B452" s="98" t="str">
        <f>IFERROR(VLOOKUP(A452,'District Codes'!D:F,3,FALSE),"")</f>
        <v/>
      </c>
      <c r="C452" s="99" t="str">
        <f>IFERROR(VLOOKUP(A452,'District Codes'!A:B,2,FALSE),"")</f>
        <v/>
      </c>
      <c r="D452" s="104"/>
      <c r="E452" s="203" t="str">
        <f>IFERROR(VLOOKUP(D452, 'School Codes'!D:E,2,FALSE),"")</f>
        <v/>
      </c>
      <c r="F452" s="100"/>
      <c r="G452" s="100"/>
      <c r="H452" s="100"/>
      <c r="I452" s="100"/>
      <c r="J452" s="100"/>
      <c r="K452" s="100"/>
      <c r="L452" s="100"/>
      <c r="M452" s="100"/>
      <c r="N452" s="102"/>
      <c r="O452" s="103"/>
      <c r="P452" s="105"/>
    </row>
    <row r="453" spans="1:16" x14ac:dyDescent="0.3">
      <c r="A453" s="97" t="e">
        <f>'Cover Page'!$D$5</f>
        <v>#N/A</v>
      </c>
      <c r="B453" s="98" t="str">
        <f>IFERROR(VLOOKUP(A453,'District Codes'!D:F,3,FALSE),"")</f>
        <v/>
      </c>
      <c r="C453" s="99" t="str">
        <f>IFERROR(VLOOKUP(A453,'District Codes'!A:B,2,FALSE),"")</f>
        <v/>
      </c>
      <c r="D453" s="104"/>
      <c r="E453" s="203" t="str">
        <f>IFERROR(VLOOKUP(D453, 'School Codes'!D:E,2,FALSE),"")</f>
        <v/>
      </c>
      <c r="F453" s="100"/>
      <c r="G453" s="100"/>
      <c r="H453" s="100"/>
      <c r="I453" s="100"/>
      <c r="J453" s="100"/>
      <c r="K453" s="100"/>
      <c r="L453" s="100"/>
      <c r="M453" s="100"/>
      <c r="N453" s="102"/>
      <c r="O453" s="103"/>
      <c r="P453" s="105"/>
    </row>
    <row r="454" spans="1:16" x14ac:dyDescent="0.3">
      <c r="A454" s="97" t="e">
        <f>'Cover Page'!$D$5</f>
        <v>#N/A</v>
      </c>
      <c r="B454" s="98" t="str">
        <f>IFERROR(VLOOKUP(A454,'District Codes'!D:F,3,FALSE),"")</f>
        <v/>
      </c>
      <c r="C454" s="99" t="str">
        <f>IFERROR(VLOOKUP(A454,'District Codes'!A:B,2,FALSE),"")</f>
        <v/>
      </c>
      <c r="D454" s="104"/>
      <c r="E454" s="203" t="str">
        <f>IFERROR(VLOOKUP(D454, 'School Codes'!D:E,2,FALSE),"")</f>
        <v/>
      </c>
      <c r="F454" s="100"/>
      <c r="G454" s="100"/>
      <c r="H454" s="100"/>
      <c r="I454" s="100"/>
      <c r="J454" s="100"/>
      <c r="K454" s="100"/>
      <c r="L454" s="100"/>
      <c r="M454" s="100"/>
      <c r="N454" s="102"/>
      <c r="O454" s="103"/>
      <c r="P454" s="105"/>
    </row>
    <row r="455" spans="1:16" x14ac:dyDescent="0.3">
      <c r="A455" s="97" t="e">
        <f>'Cover Page'!$D$5</f>
        <v>#N/A</v>
      </c>
      <c r="B455" s="98" t="str">
        <f>IFERROR(VLOOKUP(A455,'District Codes'!D:F,3,FALSE),"")</f>
        <v/>
      </c>
      <c r="C455" s="99" t="str">
        <f>IFERROR(VLOOKUP(A455,'District Codes'!A:B,2,FALSE),"")</f>
        <v/>
      </c>
      <c r="D455" s="106"/>
      <c r="E455" s="203" t="str">
        <f>IFERROR(VLOOKUP(D455, 'School Codes'!D:E,2,FALSE),"")</f>
        <v/>
      </c>
      <c r="F455" s="100"/>
      <c r="G455" s="100"/>
      <c r="H455" s="100"/>
      <c r="I455" s="100"/>
      <c r="J455" s="100"/>
      <c r="K455" s="100"/>
      <c r="L455" s="100"/>
      <c r="M455" s="100"/>
      <c r="N455" s="102"/>
      <c r="O455" s="103"/>
      <c r="P455" s="105"/>
    </row>
    <row r="456" spans="1:16" x14ac:dyDescent="0.3">
      <c r="A456" s="97" t="e">
        <f>'Cover Page'!$D$5</f>
        <v>#N/A</v>
      </c>
      <c r="B456" s="98" t="str">
        <f>IFERROR(VLOOKUP(A456,'District Codes'!D:F,3,FALSE),"")</f>
        <v/>
      </c>
      <c r="C456" s="107" t="str">
        <f>IFERROR(VLOOKUP(A456,'District Codes'!A:B,2,FALSE),"")</f>
        <v/>
      </c>
      <c r="D456" s="106"/>
      <c r="E456" s="203" t="str">
        <f>IFERROR(VLOOKUP(D456, 'School Codes'!D:E,2,FALSE),"")</f>
        <v/>
      </c>
      <c r="F456" s="100"/>
      <c r="G456" s="100"/>
      <c r="H456" s="100"/>
      <c r="I456" s="100"/>
      <c r="J456" s="100"/>
      <c r="K456" s="100"/>
      <c r="L456" s="100"/>
      <c r="M456" s="100"/>
      <c r="N456" s="102"/>
      <c r="O456" s="103"/>
      <c r="P456" s="105"/>
    </row>
    <row r="457" spans="1:16" x14ac:dyDescent="0.3">
      <c r="A457" s="97" t="e">
        <f>'Cover Page'!$D$5</f>
        <v>#N/A</v>
      </c>
      <c r="B457" s="98" t="str">
        <f>IFERROR(VLOOKUP(A457,'District Codes'!D:F,3,FALSE),"")</f>
        <v/>
      </c>
      <c r="C457" s="107" t="str">
        <f>IFERROR(VLOOKUP(A457,'District Codes'!A:B,2,FALSE),"")</f>
        <v/>
      </c>
      <c r="D457" s="106"/>
      <c r="E457" s="203" t="str">
        <f>IFERROR(VLOOKUP(D457, 'School Codes'!D:E,2,FALSE),"")</f>
        <v/>
      </c>
      <c r="F457" s="100"/>
      <c r="G457" s="100"/>
      <c r="H457" s="100"/>
      <c r="I457" s="100"/>
      <c r="J457" s="100"/>
      <c r="K457" s="100"/>
      <c r="L457" s="100"/>
      <c r="M457" s="100"/>
      <c r="N457" s="102"/>
      <c r="O457" s="103"/>
      <c r="P457" s="105"/>
    </row>
    <row r="458" spans="1:16" ht="14.4" thickBot="1" x14ac:dyDescent="0.35">
      <c r="A458" s="97" t="e">
        <f>'Cover Page'!$D$5</f>
        <v>#N/A</v>
      </c>
      <c r="B458" s="98" t="str">
        <f>IFERROR(VLOOKUP(A458,'District Codes'!D:F,3,FALSE),"")</f>
        <v/>
      </c>
      <c r="C458" s="107" t="str">
        <f>IFERROR(VLOOKUP(A458,'District Codes'!A:B,2,FALSE),"")</f>
        <v/>
      </c>
      <c r="D458" s="104"/>
      <c r="E458" s="203" t="str">
        <f>IFERROR(VLOOKUP(D458, 'School Codes'!D:E,2,FALSE),"")</f>
        <v/>
      </c>
      <c r="F458" s="100"/>
      <c r="G458" s="100"/>
      <c r="H458" s="100"/>
      <c r="I458" s="100"/>
      <c r="J458" s="100"/>
      <c r="K458" s="100"/>
      <c r="L458" s="100"/>
      <c r="M458" s="100"/>
      <c r="N458" s="102"/>
      <c r="O458" s="103"/>
      <c r="P458" s="105"/>
    </row>
    <row r="459" spans="1:16" x14ac:dyDescent="0.3">
      <c r="A459" s="97" t="e">
        <f>'Cover Page'!$D$5</f>
        <v>#N/A</v>
      </c>
      <c r="B459" s="98" t="str">
        <f>IFERROR(VLOOKUP(A459,'District Codes'!D:F,3,FALSE),"")</f>
        <v/>
      </c>
      <c r="C459" s="107" t="str">
        <f>IFERROR(VLOOKUP(A459,'District Codes'!A:B,2,FALSE),"")</f>
        <v/>
      </c>
      <c r="D459" s="104"/>
      <c r="E459" s="203" t="str">
        <f>IFERROR(VLOOKUP(D459, 'School Codes'!D:E,2,FALSE),"")</f>
        <v/>
      </c>
      <c r="F459" s="100"/>
      <c r="G459" s="100"/>
      <c r="H459" s="100"/>
      <c r="I459" s="101"/>
      <c r="J459" s="100"/>
      <c r="K459" s="100"/>
      <c r="L459" s="100"/>
      <c r="M459" s="100"/>
      <c r="N459" s="102"/>
      <c r="O459" s="103"/>
      <c r="P459" s="105"/>
    </row>
    <row r="460" spans="1:16" x14ac:dyDescent="0.3">
      <c r="A460" s="97" t="e">
        <f>'Cover Page'!$D$5</f>
        <v>#N/A</v>
      </c>
      <c r="B460" s="98" t="str">
        <f>IFERROR(VLOOKUP(A460,'District Codes'!D:F,3,FALSE),"")</f>
        <v/>
      </c>
      <c r="C460" s="107" t="str">
        <f>IFERROR(VLOOKUP(A460,'District Codes'!A:B,2,FALSE),"")</f>
        <v/>
      </c>
      <c r="D460" s="104"/>
      <c r="E460" s="203" t="str">
        <f>IFERROR(VLOOKUP(D460, 'School Codes'!D:E,2,FALSE),"")</f>
        <v/>
      </c>
      <c r="F460" s="100"/>
      <c r="G460" s="100"/>
      <c r="H460" s="100"/>
      <c r="I460" s="100"/>
      <c r="J460" s="100"/>
      <c r="K460" s="100"/>
      <c r="L460" s="100"/>
      <c r="M460" s="100"/>
      <c r="N460" s="102"/>
      <c r="O460" s="103"/>
      <c r="P460" s="105"/>
    </row>
    <row r="461" spans="1:16" x14ac:dyDescent="0.3">
      <c r="A461" s="97" t="e">
        <f>'Cover Page'!$D$5</f>
        <v>#N/A</v>
      </c>
      <c r="B461" s="98" t="str">
        <f>IFERROR(VLOOKUP(A461,'District Codes'!D:F,3,FALSE),"")</f>
        <v/>
      </c>
      <c r="C461" s="107" t="str">
        <f>IFERROR(VLOOKUP(A461,'District Codes'!A:B,2,FALSE),"")</f>
        <v/>
      </c>
      <c r="D461" s="104"/>
      <c r="E461" s="203" t="str">
        <f>IFERROR(VLOOKUP(D461, 'School Codes'!D:E,2,FALSE),"")</f>
        <v/>
      </c>
      <c r="F461" s="100"/>
      <c r="G461" s="100"/>
      <c r="H461" s="100"/>
      <c r="I461" s="100"/>
      <c r="J461" s="100"/>
      <c r="K461" s="100"/>
      <c r="L461" s="100"/>
      <c r="M461" s="100"/>
      <c r="N461" s="102"/>
      <c r="O461" s="103"/>
      <c r="P461" s="105"/>
    </row>
    <row r="462" spans="1:16" x14ac:dyDescent="0.3">
      <c r="A462" s="97" t="e">
        <f>'Cover Page'!$D$5</f>
        <v>#N/A</v>
      </c>
      <c r="B462" s="98" t="str">
        <f>IFERROR(VLOOKUP(A462,'District Codes'!D:F,3,FALSE),"")</f>
        <v/>
      </c>
      <c r="C462" s="107" t="str">
        <f>IFERROR(VLOOKUP(A462,'District Codes'!A:B,2,FALSE),"")</f>
        <v/>
      </c>
      <c r="D462" s="104"/>
      <c r="E462" s="203" t="str">
        <f>IFERROR(VLOOKUP(D462, 'School Codes'!D:E,2,FALSE),"")</f>
        <v/>
      </c>
      <c r="F462" s="100"/>
      <c r="G462" s="100"/>
      <c r="H462" s="100"/>
      <c r="I462" s="100"/>
      <c r="J462" s="100"/>
      <c r="K462" s="100"/>
      <c r="L462" s="100"/>
      <c r="M462" s="100"/>
      <c r="N462" s="102"/>
      <c r="O462" s="103"/>
      <c r="P462" s="105"/>
    </row>
    <row r="463" spans="1:16" x14ac:dyDescent="0.3">
      <c r="A463" s="97" t="e">
        <f>'Cover Page'!$D$5</f>
        <v>#N/A</v>
      </c>
      <c r="B463" s="98" t="str">
        <f>IFERROR(VLOOKUP(A463,'District Codes'!D:F,3,FALSE),"")</f>
        <v/>
      </c>
      <c r="C463" s="107" t="str">
        <f>IFERROR(VLOOKUP(A463,'District Codes'!A:B,2,FALSE),"")</f>
        <v/>
      </c>
      <c r="D463" s="104"/>
      <c r="E463" s="203" t="str">
        <f>IFERROR(VLOOKUP(D463, 'School Codes'!D:E,2,FALSE),"")</f>
        <v/>
      </c>
      <c r="F463" s="100"/>
      <c r="G463" s="100"/>
      <c r="H463" s="100"/>
      <c r="I463" s="100"/>
      <c r="J463" s="100"/>
      <c r="K463" s="100"/>
      <c r="L463" s="100"/>
      <c r="M463" s="100"/>
      <c r="N463" s="102"/>
      <c r="O463" s="103"/>
      <c r="P463" s="105"/>
    </row>
    <row r="464" spans="1:16" x14ac:dyDescent="0.3">
      <c r="A464" s="97" t="e">
        <f>'Cover Page'!$D$5</f>
        <v>#N/A</v>
      </c>
      <c r="B464" s="98" t="str">
        <f>IFERROR(VLOOKUP(A464,'District Codes'!D:F,3,FALSE),"")</f>
        <v/>
      </c>
      <c r="C464" s="107" t="str">
        <f>IFERROR(VLOOKUP(A464,'District Codes'!A:B,2,FALSE),"")</f>
        <v/>
      </c>
      <c r="D464" s="104"/>
      <c r="E464" s="203" t="str">
        <f>IFERROR(VLOOKUP(D464, 'School Codes'!D:E,2,FALSE),"")</f>
        <v/>
      </c>
      <c r="F464" s="100"/>
      <c r="G464" s="100"/>
      <c r="H464" s="100"/>
      <c r="I464" s="100"/>
      <c r="J464" s="100"/>
      <c r="K464" s="100"/>
      <c r="L464" s="100"/>
      <c r="M464" s="100"/>
      <c r="N464" s="102"/>
      <c r="O464" s="103"/>
      <c r="P464" s="105"/>
    </row>
    <row r="465" spans="1:16" x14ac:dyDescent="0.3">
      <c r="A465" s="97" t="e">
        <f>'Cover Page'!$D$5</f>
        <v>#N/A</v>
      </c>
      <c r="B465" s="98" t="str">
        <f>IFERROR(VLOOKUP(A465,'District Codes'!D:F,3,FALSE),"")</f>
        <v/>
      </c>
      <c r="C465" s="107" t="str">
        <f>IFERROR(VLOOKUP(A465,'District Codes'!A:B,2,FALSE),"")</f>
        <v/>
      </c>
      <c r="D465" s="104"/>
      <c r="E465" s="203" t="str">
        <f>IFERROR(VLOOKUP(D465, 'School Codes'!D:E,2,FALSE),"")</f>
        <v/>
      </c>
      <c r="F465" s="100"/>
      <c r="G465" s="100"/>
      <c r="H465" s="100"/>
      <c r="I465" s="100"/>
      <c r="J465" s="100"/>
      <c r="K465" s="100"/>
      <c r="L465" s="100"/>
      <c r="M465" s="100"/>
      <c r="N465" s="102"/>
      <c r="O465" s="103"/>
      <c r="P465" s="105"/>
    </row>
    <row r="466" spans="1:16" x14ac:dyDescent="0.3">
      <c r="A466" s="97" t="e">
        <f>'Cover Page'!$D$5</f>
        <v>#N/A</v>
      </c>
      <c r="B466" s="98" t="str">
        <f>IFERROR(VLOOKUP(A466,'District Codes'!D:F,3,FALSE),"")</f>
        <v/>
      </c>
      <c r="C466" s="107" t="str">
        <f>IFERROR(VLOOKUP(A466,'District Codes'!A:B,2,FALSE),"")</f>
        <v/>
      </c>
      <c r="D466" s="104"/>
      <c r="E466" s="203" t="str">
        <f>IFERROR(VLOOKUP(D466, 'School Codes'!D:E,2,FALSE),"")</f>
        <v/>
      </c>
      <c r="F466" s="100"/>
      <c r="G466" s="100"/>
      <c r="H466" s="100"/>
      <c r="I466" s="100"/>
      <c r="J466" s="100"/>
      <c r="K466" s="100"/>
      <c r="L466" s="100"/>
      <c r="M466" s="100"/>
      <c r="N466" s="102"/>
      <c r="O466" s="103"/>
      <c r="P466" s="105"/>
    </row>
    <row r="467" spans="1:16" x14ac:dyDescent="0.3">
      <c r="A467" s="97" t="e">
        <f>'Cover Page'!$D$5</f>
        <v>#N/A</v>
      </c>
      <c r="B467" s="98" t="str">
        <f>IFERROR(VLOOKUP(A467,'District Codes'!D:F,3,FALSE),"")</f>
        <v/>
      </c>
      <c r="C467" s="107" t="str">
        <f>IFERROR(VLOOKUP(A467,'District Codes'!A:B,2,FALSE),"")</f>
        <v/>
      </c>
      <c r="D467" s="104"/>
      <c r="E467" s="203" t="str">
        <f>IFERROR(VLOOKUP(D467, 'School Codes'!D:E,2,FALSE),"")</f>
        <v/>
      </c>
      <c r="F467" s="100"/>
      <c r="G467" s="100"/>
      <c r="H467" s="100"/>
      <c r="I467" s="100"/>
      <c r="J467" s="100"/>
      <c r="K467" s="100"/>
      <c r="L467" s="100"/>
      <c r="M467" s="100"/>
      <c r="N467" s="102"/>
      <c r="O467" s="103"/>
      <c r="P467" s="105"/>
    </row>
    <row r="468" spans="1:16" x14ac:dyDescent="0.3">
      <c r="A468" s="97" t="e">
        <f>'Cover Page'!$D$5</f>
        <v>#N/A</v>
      </c>
      <c r="B468" s="98" t="str">
        <f>IFERROR(VLOOKUP(A468,'District Codes'!D:F,3,FALSE),"")</f>
        <v/>
      </c>
      <c r="C468" s="107" t="str">
        <f>IFERROR(VLOOKUP(A468,'District Codes'!A:B,2,FALSE),"")</f>
        <v/>
      </c>
      <c r="D468" s="106"/>
      <c r="E468" s="203" t="str">
        <f>IFERROR(VLOOKUP(D468, 'School Codes'!D:E,2,FALSE),"")</f>
        <v/>
      </c>
      <c r="F468" s="100"/>
      <c r="G468" s="100"/>
      <c r="H468" s="100"/>
      <c r="I468" s="100"/>
      <c r="J468" s="100"/>
      <c r="K468" s="100"/>
      <c r="L468" s="100"/>
      <c r="M468" s="100"/>
      <c r="N468" s="102"/>
      <c r="O468" s="103"/>
      <c r="P468" s="105"/>
    </row>
    <row r="469" spans="1:16" x14ac:dyDescent="0.3">
      <c r="A469" s="97" t="e">
        <f>'Cover Page'!$D$5</f>
        <v>#N/A</v>
      </c>
      <c r="B469" s="98" t="str">
        <f>IFERROR(VLOOKUP(A469,'District Codes'!D:F,3,FALSE),"")</f>
        <v/>
      </c>
      <c r="C469" s="107" t="str">
        <f>IFERROR(VLOOKUP(A469,'District Codes'!A:B,2,FALSE),"")</f>
        <v/>
      </c>
      <c r="D469" s="106"/>
      <c r="E469" s="203" t="str">
        <f>IFERROR(VLOOKUP(D469, 'School Codes'!D:E,2,FALSE),"")</f>
        <v/>
      </c>
      <c r="F469" s="100"/>
      <c r="G469" s="100"/>
      <c r="H469" s="100"/>
      <c r="I469" s="100"/>
      <c r="J469" s="100"/>
      <c r="K469" s="100"/>
      <c r="L469" s="100"/>
      <c r="M469" s="100"/>
      <c r="N469" s="102"/>
      <c r="O469" s="103"/>
      <c r="P469" s="105"/>
    </row>
    <row r="470" spans="1:16" x14ac:dyDescent="0.3">
      <c r="A470" s="97" t="e">
        <f>'Cover Page'!$D$5</f>
        <v>#N/A</v>
      </c>
      <c r="B470" s="98" t="str">
        <f>IFERROR(VLOOKUP(A470,'District Codes'!D:F,3,FALSE),"")</f>
        <v/>
      </c>
      <c r="C470" s="107" t="str">
        <f>IFERROR(VLOOKUP(A470,'District Codes'!A:B,2,FALSE),"")</f>
        <v/>
      </c>
      <c r="D470" s="106"/>
      <c r="E470" s="203" t="str">
        <f>IFERROR(VLOOKUP(D470, 'School Codes'!D:E,2,FALSE),"")</f>
        <v/>
      </c>
      <c r="F470" s="100"/>
      <c r="G470" s="100"/>
      <c r="H470" s="100"/>
      <c r="I470" s="100"/>
      <c r="J470" s="100"/>
      <c r="K470" s="100"/>
      <c r="L470" s="100"/>
      <c r="M470" s="100"/>
      <c r="N470" s="102"/>
      <c r="O470" s="103"/>
      <c r="P470" s="105"/>
    </row>
    <row r="471" spans="1:16" ht="14.4" thickBot="1" x14ac:dyDescent="0.35">
      <c r="A471" s="97" t="e">
        <f>'Cover Page'!$D$5</f>
        <v>#N/A</v>
      </c>
      <c r="B471" s="98" t="str">
        <f>IFERROR(VLOOKUP(A471,'District Codes'!D:F,3,FALSE),"")</f>
        <v/>
      </c>
      <c r="C471" s="107" t="str">
        <f>IFERROR(VLOOKUP(A471,'District Codes'!A:B,2,FALSE),"")</f>
        <v/>
      </c>
      <c r="D471" s="104"/>
      <c r="E471" s="203" t="str">
        <f>IFERROR(VLOOKUP(D471, 'School Codes'!D:E,2,FALSE),"")</f>
        <v/>
      </c>
      <c r="F471" s="100"/>
      <c r="G471" s="100"/>
      <c r="H471" s="100"/>
      <c r="I471" s="100"/>
      <c r="J471" s="100"/>
      <c r="K471" s="100"/>
      <c r="L471" s="100"/>
      <c r="M471" s="100"/>
      <c r="N471" s="102"/>
      <c r="O471" s="103"/>
      <c r="P471" s="105"/>
    </row>
    <row r="472" spans="1:16" x14ac:dyDescent="0.3">
      <c r="A472" s="97" t="e">
        <f>'Cover Page'!$D$5</f>
        <v>#N/A</v>
      </c>
      <c r="B472" s="98" t="str">
        <f>IFERROR(VLOOKUP(A472,'District Codes'!D:F,3,FALSE),"")</f>
        <v/>
      </c>
      <c r="C472" s="107" t="str">
        <f>IFERROR(VLOOKUP(A472,'District Codes'!A:B,2,FALSE),"")</f>
        <v/>
      </c>
      <c r="D472" s="104"/>
      <c r="E472" s="203" t="str">
        <f>IFERROR(VLOOKUP(D472, 'School Codes'!D:E,2,FALSE),"")</f>
        <v/>
      </c>
      <c r="F472" s="100"/>
      <c r="G472" s="100"/>
      <c r="H472" s="100"/>
      <c r="I472" s="101"/>
      <c r="J472" s="100"/>
      <c r="K472" s="100"/>
      <c r="L472" s="100"/>
      <c r="M472" s="100"/>
      <c r="N472" s="102"/>
      <c r="O472" s="103"/>
      <c r="P472" s="105"/>
    </row>
    <row r="473" spans="1:16" x14ac:dyDescent="0.3">
      <c r="A473" s="97" t="e">
        <f>'Cover Page'!$D$5</f>
        <v>#N/A</v>
      </c>
      <c r="B473" s="98" t="str">
        <f>IFERROR(VLOOKUP(A473,'District Codes'!D:F,3,FALSE),"")</f>
        <v/>
      </c>
      <c r="C473" s="107" t="str">
        <f>IFERROR(VLOOKUP(A473,'District Codes'!A:B,2,FALSE),"")</f>
        <v/>
      </c>
      <c r="D473" s="104"/>
      <c r="E473" s="203" t="str">
        <f>IFERROR(VLOOKUP(D473, 'School Codes'!D:E,2,FALSE),"")</f>
        <v/>
      </c>
      <c r="F473" s="100"/>
      <c r="G473" s="100"/>
      <c r="H473" s="100"/>
      <c r="I473" s="100"/>
      <c r="J473" s="100"/>
      <c r="K473" s="100"/>
      <c r="L473" s="100"/>
      <c r="M473" s="100"/>
      <c r="N473" s="102"/>
      <c r="O473" s="103"/>
      <c r="P473" s="105"/>
    </row>
    <row r="474" spans="1:16" x14ac:dyDescent="0.3">
      <c r="A474" s="97" t="e">
        <f>'Cover Page'!$D$5</f>
        <v>#N/A</v>
      </c>
      <c r="B474" s="98" t="str">
        <f>IFERROR(VLOOKUP(A474,'District Codes'!D:F,3,FALSE),"")</f>
        <v/>
      </c>
      <c r="C474" s="107" t="str">
        <f>IFERROR(VLOOKUP(A474,'District Codes'!A:B,2,FALSE),"")</f>
        <v/>
      </c>
      <c r="D474" s="104"/>
      <c r="E474" s="203" t="str">
        <f>IFERROR(VLOOKUP(D474, 'School Codes'!D:E,2,FALSE),"")</f>
        <v/>
      </c>
      <c r="F474" s="100"/>
      <c r="G474" s="100"/>
      <c r="H474" s="100"/>
      <c r="I474" s="100"/>
      <c r="J474" s="100"/>
      <c r="K474" s="100"/>
      <c r="L474" s="100"/>
      <c r="M474" s="100"/>
      <c r="N474" s="102"/>
      <c r="O474" s="103"/>
      <c r="P474" s="105"/>
    </row>
    <row r="475" spans="1:16" x14ac:dyDescent="0.3">
      <c r="A475" s="97" t="e">
        <f>'Cover Page'!$D$5</f>
        <v>#N/A</v>
      </c>
      <c r="B475" s="98" t="str">
        <f>IFERROR(VLOOKUP(A475,'District Codes'!D:F,3,FALSE),"")</f>
        <v/>
      </c>
      <c r="C475" s="107" t="str">
        <f>IFERROR(VLOOKUP(A475,'District Codes'!A:B,2,FALSE),"")</f>
        <v/>
      </c>
      <c r="D475" s="104"/>
      <c r="E475" s="203" t="str">
        <f>IFERROR(VLOOKUP(D475, 'School Codes'!D:E,2,FALSE),"")</f>
        <v/>
      </c>
      <c r="F475" s="100"/>
      <c r="G475" s="100"/>
      <c r="H475" s="100"/>
      <c r="I475" s="100"/>
      <c r="J475" s="100"/>
      <c r="K475" s="100"/>
      <c r="L475" s="100"/>
      <c r="M475" s="100"/>
      <c r="N475" s="102"/>
      <c r="O475" s="103"/>
      <c r="P475" s="105"/>
    </row>
    <row r="476" spans="1:16" x14ac:dyDescent="0.3">
      <c r="A476" s="97" t="e">
        <f>'Cover Page'!$D$5</f>
        <v>#N/A</v>
      </c>
      <c r="B476" s="98" t="str">
        <f>IFERROR(VLOOKUP(A476,'District Codes'!D:F,3,FALSE),"")</f>
        <v/>
      </c>
      <c r="C476" s="107" t="str">
        <f>IFERROR(VLOOKUP(A476,'District Codes'!A:B,2,FALSE),"")</f>
        <v/>
      </c>
      <c r="D476" s="104"/>
      <c r="E476" s="203" t="str">
        <f>IFERROR(VLOOKUP(D476, 'School Codes'!D:E,2,FALSE),"")</f>
        <v/>
      </c>
      <c r="F476" s="100"/>
      <c r="G476" s="100"/>
      <c r="H476" s="100"/>
      <c r="I476" s="100"/>
      <c r="J476" s="100"/>
      <c r="K476" s="100"/>
      <c r="L476" s="100"/>
      <c r="M476" s="100"/>
      <c r="N476" s="102"/>
      <c r="O476" s="103"/>
      <c r="P476" s="105"/>
    </row>
    <row r="477" spans="1:16" x14ac:dyDescent="0.3">
      <c r="A477" s="97" t="e">
        <f>'Cover Page'!$D$5</f>
        <v>#N/A</v>
      </c>
      <c r="B477" s="98" t="str">
        <f>IFERROR(VLOOKUP(A477,'District Codes'!D:F,3,FALSE),"")</f>
        <v/>
      </c>
      <c r="C477" s="107" t="str">
        <f>IFERROR(VLOOKUP(A477,'District Codes'!A:B,2,FALSE),"")</f>
        <v/>
      </c>
      <c r="D477" s="104"/>
      <c r="E477" s="203" t="str">
        <f>IFERROR(VLOOKUP(D477, 'School Codes'!D:E,2,FALSE),"")</f>
        <v/>
      </c>
      <c r="F477" s="100"/>
      <c r="G477" s="100"/>
      <c r="H477" s="100"/>
      <c r="I477" s="100"/>
      <c r="J477" s="100"/>
      <c r="K477" s="100"/>
      <c r="L477" s="100"/>
      <c r="M477" s="100"/>
      <c r="N477" s="102"/>
      <c r="O477" s="103"/>
      <c r="P477" s="105"/>
    </row>
    <row r="478" spans="1:16" x14ac:dyDescent="0.3">
      <c r="A478" s="97" t="e">
        <f>'Cover Page'!$D$5</f>
        <v>#N/A</v>
      </c>
      <c r="B478" s="98" t="str">
        <f>IFERROR(VLOOKUP(A478,'District Codes'!D:F,3,FALSE),"")</f>
        <v/>
      </c>
      <c r="C478" s="107" t="str">
        <f>IFERROR(VLOOKUP(A478,'District Codes'!A:B,2,FALSE),"")</f>
        <v/>
      </c>
      <c r="D478" s="104"/>
      <c r="E478" s="203" t="str">
        <f>IFERROR(VLOOKUP(D478, 'School Codes'!D:E,2,FALSE),"")</f>
        <v/>
      </c>
      <c r="F478" s="100"/>
      <c r="G478" s="100"/>
      <c r="H478" s="100"/>
      <c r="I478" s="100"/>
      <c r="J478" s="100"/>
      <c r="K478" s="100"/>
      <c r="L478" s="100"/>
      <c r="M478" s="100"/>
      <c r="N478" s="102"/>
      <c r="O478" s="103"/>
      <c r="P478" s="105"/>
    </row>
    <row r="479" spans="1:16" x14ac:dyDescent="0.3">
      <c r="A479" s="97" t="e">
        <f>'Cover Page'!$D$5</f>
        <v>#N/A</v>
      </c>
      <c r="B479" s="98" t="str">
        <f>IFERROR(VLOOKUP(A479,'District Codes'!D:F,3,FALSE),"")</f>
        <v/>
      </c>
      <c r="C479" s="107" t="str">
        <f>IFERROR(VLOOKUP(A479,'District Codes'!A:B,2,FALSE),"")</f>
        <v/>
      </c>
      <c r="D479" s="104"/>
      <c r="E479" s="203" t="str">
        <f>IFERROR(VLOOKUP(D479, 'School Codes'!D:E,2,FALSE),"")</f>
        <v/>
      </c>
      <c r="F479" s="100"/>
      <c r="G479" s="100"/>
      <c r="H479" s="100"/>
      <c r="I479" s="100"/>
      <c r="J479" s="100"/>
      <c r="K479" s="100"/>
      <c r="L479" s="100"/>
      <c r="M479" s="100"/>
      <c r="N479" s="102"/>
      <c r="O479" s="103"/>
      <c r="P479" s="105"/>
    </row>
    <row r="480" spans="1:16" x14ac:dyDescent="0.3">
      <c r="A480" s="97" t="e">
        <f>'Cover Page'!$D$5</f>
        <v>#N/A</v>
      </c>
      <c r="B480" s="98" t="str">
        <f>IFERROR(VLOOKUP(A480,'District Codes'!D:F,3,FALSE),"")</f>
        <v/>
      </c>
      <c r="C480" s="107" t="str">
        <f>IFERROR(VLOOKUP(A480,'District Codes'!A:B,2,FALSE),"")</f>
        <v/>
      </c>
      <c r="D480" s="104"/>
      <c r="E480" s="203" t="str">
        <f>IFERROR(VLOOKUP(D480, 'School Codes'!D:E,2,FALSE),"")</f>
        <v/>
      </c>
      <c r="F480" s="100"/>
      <c r="G480" s="100"/>
      <c r="H480" s="100"/>
      <c r="I480" s="100"/>
      <c r="J480" s="100"/>
      <c r="K480" s="100"/>
      <c r="L480" s="100"/>
      <c r="M480" s="100"/>
      <c r="N480" s="102"/>
      <c r="O480" s="103"/>
      <c r="P480" s="105"/>
    </row>
    <row r="481" spans="1:16" x14ac:dyDescent="0.3">
      <c r="A481" s="97" t="e">
        <f>'Cover Page'!$D$5</f>
        <v>#N/A</v>
      </c>
      <c r="B481" s="98" t="str">
        <f>IFERROR(VLOOKUP(A481,'District Codes'!D:F,3,FALSE),"")</f>
        <v/>
      </c>
      <c r="C481" s="107" t="str">
        <f>IFERROR(VLOOKUP(A481,'District Codes'!A:B,2,FALSE),"")</f>
        <v/>
      </c>
      <c r="D481" s="106"/>
      <c r="E481" s="203" t="str">
        <f>IFERROR(VLOOKUP(D481, 'School Codes'!D:E,2,FALSE),"")</f>
        <v/>
      </c>
      <c r="F481" s="100"/>
      <c r="G481" s="100"/>
      <c r="H481" s="100"/>
      <c r="I481" s="100"/>
      <c r="J481" s="100"/>
      <c r="K481" s="100"/>
      <c r="L481" s="100"/>
      <c r="M481" s="100"/>
      <c r="N481" s="102"/>
      <c r="O481" s="103"/>
      <c r="P481" s="105"/>
    </row>
    <row r="482" spans="1:16" x14ac:dyDescent="0.3">
      <c r="A482" s="97" t="e">
        <f>'Cover Page'!$D$5</f>
        <v>#N/A</v>
      </c>
      <c r="B482" s="98" t="str">
        <f>IFERROR(VLOOKUP(A482,'District Codes'!D:F,3,FALSE),"")</f>
        <v/>
      </c>
      <c r="C482" s="107" t="str">
        <f>IFERROR(VLOOKUP(A482,'District Codes'!A:B,2,FALSE),"")</f>
        <v/>
      </c>
      <c r="D482" s="106"/>
      <c r="E482" s="203" t="str">
        <f>IFERROR(VLOOKUP(D482, 'School Codes'!D:E,2,FALSE),"")</f>
        <v/>
      </c>
      <c r="F482" s="100"/>
      <c r="G482" s="100"/>
      <c r="H482" s="100"/>
      <c r="I482" s="100"/>
      <c r="J482" s="100"/>
      <c r="K482" s="100"/>
      <c r="L482" s="100"/>
      <c r="M482" s="100"/>
      <c r="N482" s="102"/>
      <c r="O482" s="103"/>
      <c r="P482" s="105"/>
    </row>
    <row r="483" spans="1:16" x14ac:dyDescent="0.3">
      <c r="A483" s="97" t="e">
        <f>'Cover Page'!$D$5</f>
        <v>#N/A</v>
      </c>
      <c r="B483" s="98" t="str">
        <f>IFERROR(VLOOKUP(A483,'District Codes'!D:F,3,FALSE),"")</f>
        <v/>
      </c>
      <c r="C483" s="107" t="str">
        <f>IFERROR(VLOOKUP(A483,'District Codes'!A:B,2,FALSE),"")</f>
        <v/>
      </c>
      <c r="D483" s="106"/>
      <c r="E483" s="203" t="str">
        <f>IFERROR(VLOOKUP(D483, 'School Codes'!D:E,2,FALSE),"")</f>
        <v/>
      </c>
      <c r="F483" s="100"/>
      <c r="G483" s="100"/>
      <c r="H483" s="100"/>
      <c r="I483" s="100"/>
      <c r="J483" s="100"/>
      <c r="K483" s="100"/>
      <c r="L483" s="100"/>
      <c r="M483" s="100"/>
      <c r="N483" s="102"/>
      <c r="O483" s="103"/>
      <c r="P483" s="105"/>
    </row>
    <row r="484" spans="1:16" ht="14.4" thickBot="1" x14ac:dyDescent="0.35">
      <c r="A484" s="97" t="e">
        <f>'Cover Page'!$D$5</f>
        <v>#N/A</v>
      </c>
      <c r="B484" s="98" t="str">
        <f>IFERROR(VLOOKUP(A484,'District Codes'!D:F,3,FALSE),"")</f>
        <v/>
      </c>
      <c r="C484" s="107" t="str">
        <f>IFERROR(VLOOKUP(A484,'District Codes'!A:B,2,FALSE),"")</f>
        <v/>
      </c>
      <c r="D484" s="104"/>
      <c r="E484" s="203" t="str">
        <f>IFERROR(VLOOKUP(D484, 'School Codes'!D:E,2,FALSE),"")</f>
        <v/>
      </c>
      <c r="F484" s="100"/>
      <c r="G484" s="100"/>
      <c r="H484" s="100"/>
      <c r="I484" s="100"/>
      <c r="J484" s="100"/>
      <c r="K484" s="100"/>
      <c r="L484" s="100"/>
      <c r="M484" s="100"/>
      <c r="N484" s="102"/>
      <c r="O484" s="103"/>
      <c r="P484" s="105"/>
    </row>
    <row r="485" spans="1:16" x14ac:dyDescent="0.3">
      <c r="A485" s="97" t="e">
        <f>'Cover Page'!$D$5</f>
        <v>#N/A</v>
      </c>
      <c r="B485" s="98" t="str">
        <f>IFERROR(VLOOKUP(A485,'District Codes'!D:F,3,FALSE),"")</f>
        <v/>
      </c>
      <c r="C485" s="107" t="str">
        <f>IFERROR(VLOOKUP(A485,'District Codes'!A:B,2,FALSE),"")</f>
        <v/>
      </c>
      <c r="D485" s="104"/>
      <c r="E485" s="203" t="str">
        <f>IFERROR(VLOOKUP(D485, 'School Codes'!D:E,2,FALSE),"")</f>
        <v/>
      </c>
      <c r="F485" s="100"/>
      <c r="G485" s="100"/>
      <c r="H485" s="100"/>
      <c r="I485" s="101"/>
      <c r="J485" s="100"/>
      <c r="K485" s="100"/>
      <c r="L485" s="100"/>
      <c r="M485" s="100"/>
      <c r="N485" s="102"/>
      <c r="O485" s="103"/>
      <c r="P485" s="105"/>
    </row>
    <row r="486" spans="1:16" x14ac:dyDescent="0.3">
      <c r="A486" s="97" t="e">
        <f>'Cover Page'!$D$5</f>
        <v>#N/A</v>
      </c>
      <c r="B486" s="98" t="str">
        <f>IFERROR(VLOOKUP(A486,'District Codes'!D:F,3,FALSE),"")</f>
        <v/>
      </c>
      <c r="C486" s="107" t="str">
        <f>IFERROR(VLOOKUP(A486,'District Codes'!A:B,2,FALSE),"")</f>
        <v/>
      </c>
      <c r="D486" s="104"/>
      <c r="E486" s="203" t="str">
        <f>IFERROR(VLOOKUP(D486, 'School Codes'!D:E,2,FALSE),"")</f>
        <v/>
      </c>
      <c r="F486" s="100"/>
      <c r="G486" s="100"/>
      <c r="H486" s="100"/>
      <c r="I486" s="100"/>
      <c r="J486" s="100"/>
      <c r="K486" s="100"/>
      <c r="L486" s="100"/>
      <c r="M486" s="100"/>
      <c r="N486" s="102"/>
      <c r="O486" s="103"/>
      <c r="P486" s="105"/>
    </row>
    <row r="487" spans="1:16" x14ac:dyDescent="0.3">
      <c r="A487" s="97" t="e">
        <f>'Cover Page'!$D$5</f>
        <v>#N/A</v>
      </c>
      <c r="B487" s="98" t="str">
        <f>IFERROR(VLOOKUP(A487,'District Codes'!D:F,3,FALSE),"")</f>
        <v/>
      </c>
      <c r="C487" s="107" t="str">
        <f>IFERROR(VLOOKUP(A487,'District Codes'!A:B,2,FALSE),"")</f>
        <v/>
      </c>
      <c r="D487" s="104"/>
      <c r="E487" s="203" t="str">
        <f>IFERROR(VLOOKUP(D487, 'School Codes'!D:E,2,FALSE),"")</f>
        <v/>
      </c>
      <c r="F487" s="100"/>
      <c r="G487" s="100"/>
      <c r="H487" s="100"/>
      <c r="I487" s="100"/>
      <c r="J487" s="100"/>
      <c r="K487" s="100"/>
      <c r="L487" s="100"/>
      <c r="M487" s="100"/>
      <c r="N487" s="102"/>
      <c r="O487" s="103"/>
      <c r="P487" s="105"/>
    </row>
    <row r="488" spans="1:16" x14ac:dyDescent="0.3">
      <c r="A488" s="97" t="e">
        <f>'Cover Page'!$D$5</f>
        <v>#N/A</v>
      </c>
      <c r="B488" s="98" t="str">
        <f>IFERROR(VLOOKUP(A488,'District Codes'!D:F,3,FALSE),"")</f>
        <v/>
      </c>
      <c r="C488" s="107" t="str">
        <f>IFERROR(VLOOKUP(A488,'District Codes'!A:B,2,FALSE),"")</f>
        <v/>
      </c>
      <c r="D488" s="104"/>
      <c r="E488" s="203" t="str">
        <f>IFERROR(VLOOKUP(D488, 'School Codes'!D:E,2,FALSE),"")</f>
        <v/>
      </c>
      <c r="F488" s="100"/>
      <c r="G488" s="100"/>
      <c r="H488" s="100"/>
      <c r="I488" s="100"/>
      <c r="J488" s="100"/>
      <c r="K488" s="100"/>
      <c r="L488" s="100"/>
      <c r="M488" s="100"/>
      <c r="N488" s="102"/>
      <c r="O488" s="103"/>
      <c r="P488" s="105"/>
    </row>
    <row r="489" spans="1:16" x14ac:dyDescent="0.3">
      <c r="A489" s="97" t="e">
        <f>'Cover Page'!$D$5</f>
        <v>#N/A</v>
      </c>
      <c r="B489" s="98" t="str">
        <f>IFERROR(VLOOKUP(A489,'District Codes'!D:F,3,FALSE),"")</f>
        <v/>
      </c>
      <c r="C489" s="107" t="str">
        <f>IFERROR(VLOOKUP(A489,'District Codes'!A:B,2,FALSE),"")</f>
        <v/>
      </c>
      <c r="D489" s="104"/>
      <c r="E489" s="203" t="str">
        <f>IFERROR(VLOOKUP(D489, 'School Codes'!D:E,2,FALSE),"")</f>
        <v/>
      </c>
      <c r="F489" s="100"/>
      <c r="G489" s="100"/>
      <c r="H489" s="100"/>
      <c r="I489" s="100"/>
      <c r="J489" s="100"/>
      <c r="K489" s="100"/>
      <c r="L489" s="100"/>
      <c r="M489" s="100"/>
      <c r="N489" s="102"/>
      <c r="O489" s="103"/>
      <c r="P489" s="105"/>
    </row>
    <row r="490" spans="1:16" x14ac:dyDescent="0.3">
      <c r="A490" s="97" t="e">
        <f>'Cover Page'!$D$5</f>
        <v>#N/A</v>
      </c>
      <c r="B490" s="98" t="str">
        <f>IFERROR(VLOOKUP(A490,'District Codes'!D:F,3,FALSE),"")</f>
        <v/>
      </c>
      <c r="C490" s="107" t="str">
        <f>IFERROR(VLOOKUP(A490,'District Codes'!A:B,2,FALSE),"")</f>
        <v/>
      </c>
      <c r="D490" s="104"/>
      <c r="E490" s="203" t="str">
        <f>IFERROR(VLOOKUP(D490, 'School Codes'!D:E,2,FALSE),"")</f>
        <v/>
      </c>
      <c r="F490" s="100"/>
      <c r="G490" s="100"/>
      <c r="H490" s="100"/>
      <c r="I490" s="100"/>
      <c r="J490" s="100"/>
      <c r="K490" s="100"/>
      <c r="L490" s="100"/>
      <c r="M490" s="100"/>
      <c r="N490" s="102"/>
      <c r="O490" s="103"/>
      <c r="P490" s="105"/>
    </row>
    <row r="491" spans="1:16" x14ac:dyDescent="0.3">
      <c r="A491" s="97" t="e">
        <f>'Cover Page'!$D$5</f>
        <v>#N/A</v>
      </c>
      <c r="B491" s="98" t="str">
        <f>IFERROR(VLOOKUP(A491,'District Codes'!D:F,3,FALSE),"")</f>
        <v/>
      </c>
      <c r="C491" s="107" t="str">
        <f>IFERROR(VLOOKUP(A491,'District Codes'!A:B,2,FALSE),"")</f>
        <v/>
      </c>
      <c r="D491" s="104"/>
      <c r="E491" s="203" t="str">
        <f>IFERROR(VLOOKUP(D491, 'School Codes'!D:E,2,FALSE),"")</f>
        <v/>
      </c>
      <c r="F491" s="100"/>
      <c r="G491" s="100"/>
      <c r="H491" s="100"/>
      <c r="I491" s="100"/>
      <c r="J491" s="100"/>
      <c r="K491" s="100"/>
      <c r="L491" s="100"/>
      <c r="M491" s="100"/>
      <c r="N491" s="102"/>
      <c r="O491" s="103"/>
      <c r="P491" s="105"/>
    </row>
    <row r="492" spans="1:16" x14ac:dyDescent="0.3">
      <c r="A492" s="97" t="e">
        <f>'Cover Page'!$D$5</f>
        <v>#N/A</v>
      </c>
      <c r="B492" s="98" t="str">
        <f>IFERROR(VLOOKUP(A492,'District Codes'!D:F,3,FALSE),"")</f>
        <v/>
      </c>
      <c r="C492" s="107" t="str">
        <f>IFERROR(VLOOKUP(A492,'District Codes'!A:B,2,FALSE),"")</f>
        <v/>
      </c>
      <c r="D492" s="104"/>
      <c r="E492" s="203" t="str">
        <f>IFERROR(VLOOKUP(D492, 'School Codes'!D:E,2,FALSE),"")</f>
        <v/>
      </c>
      <c r="F492" s="100"/>
      <c r="G492" s="100"/>
      <c r="H492" s="100"/>
      <c r="I492" s="100"/>
      <c r="J492" s="100"/>
      <c r="K492" s="100"/>
      <c r="L492" s="100"/>
      <c r="M492" s="100"/>
      <c r="N492" s="102"/>
      <c r="O492" s="103"/>
      <c r="P492" s="105"/>
    </row>
    <row r="493" spans="1:16" x14ac:dyDescent="0.3">
      <c r="A493" s="97" t="e">
        <f>'Cover Page'!$D$5</f>
        <v>#N/A</v>
      </c>
      <c r="B493" s="98" t="str">
        <f>IFERROR(VLOOKUP(A493,'District Codes'!D:F,3,FALSE),"")</f>
        <v/>
      </c>
      <c r="C493" s="107" t="str">
        <f>IFERROR(VLOOKUP(A493,'District Codes'!A:B,2,FALSE),"")</f>
        <v/>
      </c>
      <c r="D493" s="104"/>
      <c r="E493" s="203" t="str">
        <f>IFERROR(VLOOKUP(D493, 'School Codes'!D:E,2,FALSE),"")</f>
        <v/>
      </c>
      <c r="F493" s="100"/>
      <c r="G493" s="100"/>
      <c r="H493" s="100"/>
      <c r="I493" s="100"/>
      <c r="J493" s="100"/>
      <c r="K493" s="100"/>
      <c r="L493" s="100"/>
      <c r="M493" s="100"/>
      <c r="N493" s="102"/>
      <c r="O493" s="103"/>
      <c r="P493" s="105"/>
    </row>
    <row r="494" spans="1:16" x14ac:dyDescent="0.3">
      <c r="A494" s="97" t="e">
        <f>'Cover Page'!$D$5</f>
        <v>#N/A</v>
      </c>
      <c r="B494" s="98" t="str">
        <f>IFERROR(VLOOKUP(A494,'District Codes'!D:F,3,FALSE),"")</f>
        <v/>
      </c>
      <c r="C494" s="107" t="str">
        <f>IFERROR(VLOOKUP(A494,'District Codes'!A:B,2,FALSE),"")</f>
        <v/>
      </c>
      <c r="D494" s="106"/>
      <c r="E494" s="203" t="str">
        <f>IFERROR(VLOOKUP(D494, 'School Codes'!D:E,2,FALSE),"")</f>
        <v/>
      </c>
      <c r="F494" s="100"/>
      <c r="G494" s="100"/>
      <c r="H494" s="100"/>
      <c r="I494" s="100"/>
      <c r="J494" s="100"/>
      <c r="K494" s="100"/>
      <c r="L494" s="100"/>
      <c r="M494" s="100"/>
      <c r="N494" s="102"/>
      <c r="O494" s="103"/>
      <c r="P494" s="105"/>
    </row>
    <row r="495" spans="1:16" x14ac:dyDescent="0.3">
      <c r="A495" s="97" t="e">
        <f>'Cover Page'!$D$5</f>
        <v>#N/A</v>
      </c>
      <c r="B495" s="98" t="str">
        <f>IFERROR(VLOOKUP(A495,'District Codes'!D:F,3,FALSE),"")</f>
        <v/>
      </c>
      <c r="C495" s="107" t="str">
        <f>IFERROR(VLOOKUP(A495,'District Codes'!A:B,2,FALSE),"")</f>
        <v/>
      </c>
      <c r="D495" s="106"/>
      <c r="E495" s="203" t="str">
        <f>IFERROR(VLOOKUP(D495, 'School Codes'!D:E,2,FALSE),"")</f>
        <v/>
      </c>
      <c r="F495" s="100"/>
      <c r="G495" s="100"/>
      <c r="H495" s="100"/>
      <c r="I495" s="100"/>
      <c r="J495" s="100"/>
      <c r="K495" s="100"/>
      <c r="L495" s="100"/>
      <c r="M495" s="100"/>
      <c r="N495" s="102"/>
      <c r="O495" s="103"/>
      <c r="P495" s="105"/>
    </row>
    <row r="496" spans="1:16" x14ac:dyDescent="0.3">
      <c r="A496" s="97" t="e">
        <f>'Cover Page'!$D$5</f>
        <v>#N/A</v>
      </c>
      <c r="B496" s="98" t="str">
        <f>IFERROR(VLOOKUP(A496,'District Codes'!D:F,3,FALSE),"")</f>
        <v/>
      </c>
      <c r="C496" s="107" t="str">
        <f>IFERROR(VLOOKUP(A496,'District Codes'!A:B,2,FALSE),"")</f>
        <v/>
      </c>
      <c r="D496" s="106"/>
      <c r="E496" s="203" t="str">
        <f>IFERROR(VLOOKUP(D496, 'School Codes'!D:E,2,FALSE),"")</f>
        <v/>
      </c>
      <c r="F496" s="100"/>
      <c r="G496" s="100"/>
      <c r="H496" s="100"/>
      <c r="I496" s="100"/>
      <c r="J496" s="100"/>
      <c r="K496" s="100"/>
      <c r="L496" s="100"/>
      <c r="M496" s="100"/>
      <c r="N496" s="102"/>
      <c r="O496" s="103"/>
      <c r="P496" s="105"/>
    </row>
    <row r="497" spans="1:16" ht="14.4" thickBot="1" x14ac:dyDescent="0.35">
      <c r="A497" s="97" t="e">
        <f>'Cover Page'!$D$5</f>
        <v>#N/A</v>
      </c>
      <c r="B497" s="98" t="str">
        <f>IFERROR(VLOOKUP(A497,'District Codes'!D:F,3,FALSE),"")</f>
        <v/>
      </c>
      <c r="C497" s="107" t="str">
        <f>IFERROR(VLOOKUP(A497,'District Codes'!A:B,2,FALSE),"")</f>
        <v/>
      </c>
      <c r="D497" s="104"/>
      <c r="E497" s="203" t="str">
        <f>IFERROR(VLOOKUP(D497, 'School Codes'!D:E,2,FALSE),"")</f>
        <v/>
      </c>
      <c r="F497" s="100"/>
      <c r="G497" s="100"/>
      <c r="H497" s="100"/>
      <c r="I497" s="100"/>
      <c r="J497" s="100"/>
      <c r="K497" s="100"/>
      <c r="L497" s="100"/>
      <c r="M497" s="100"/>
      <c r="N497" s="102"/>
      <c r="O497" s="103"/>
      <c r="P497" s="105"/>
    </row>
    <row r="498" spans="1:16" x14ac:dyDescent="0.3">
      <c r="A498" s="97" t="e">
        <f>'Cover Page'!$D$5</f>
        <v>#N/A</v>
      </c>
      <c r="B498" s="98" t="str">
        <f>IFERROR(VLOOKUP(A498,'District Codes'!D:F,3,FALSE),"")</f>
        <v/>
      </c>
      <c r="C498" s="107" t="str">
        <f>IFERROR(VLOOKUP(A498,'District Codes'!A:B,2,FALSE),"")</f>
        <v/>
      </c>
      <c r="D498" s="104"/>
      <c r="E498" s="203" t="str">
        <f>IFERROR(VLOOKUP(D498, 'School Codes'!D:E,2,FALSE),"")</f>
        <v/>
      </c>
      <c r="F498" s="100"/>
      <c r="G498" s="100"/>
      <c r="H498" s="100"/>
      <c r="I498" s="101"/>
      <c r="J498" s="100"/>
      <c r="K498" s="100"/>
      <c r="L498" s="100"/>
      <c r="M498" s="100"/>
      <c r="N498" s="102"/>
      <c r="O498" s="103"/>
      <c r="P498" s="105"/>
    </row>
    <row r="499" spans="1:16" ht="14.4" thickBot="1" x14ac:dyDescent="0.35">
      <c r="A499" s="97" t="e">
        <f>'Cover Page'!$D$5</f>
        <v>#N/A</v>
      </c>
      <c r="B499" s="98" t="str">
        <f>IFERROR(VLOOKUP(A499,'District Codes'!D:F,3,FALSE),"")</f>
        <v/>
      </c>
      <c r="C499" s="107" t="str">
        <f>IFERROR(VLOOKUP(A499,'District Codes'!A:B,2,FALSE),"")</f>
        <v/>
      </c>
      <c r="D499" s="166"/>
      <c r="E499" s="204" t="str">
        <f>IFERROR(VLOOKUP(D499, 'School Codes'!D:E,2,FALSE),"")</f>
        <v/>
      </c>
      <c r="F499" s="111"/>
      <c r="G499" s="111"/>
      <c r="H499" s="111"/>
      <c r="I499" s="111"/>
      <c r="J499" s="111"/>
      <c r="K499" s="111"/>
      <c r="L499" s="111"/>
      <c r="M499" s="111"/>
      <c r="N499" s="167"/>
      <c r="O499" s="168"/>
      <c r="P499" s="169"/>
    </row>
    <row r="500" spans="1:16" ht="14.4" x14ac:dyDescent="0.3">
      <c r="A500"/>
      <c r="B500"/>
      <c r="C500"/>
      <c r="D500"/>
      <c r="E500"/>
      <c r="F500" s="83"/>
      <c r="N500" s="83"/>
      <c r="O500" s="83"/>
    </row>
    <row r="501" spans="1:16" hidden="1" x14ac:dyDescent="0.3">
      <c r="A501" s="97" t="e">
        <f>'Cover Page'!$D$5</f>
        <v>#N/A</v>
      </c>
      <c r="B501" s="98" t="str">
        <f>IFERROR(VLOOKUP(A501,'District Codes'!D:F,3,FALSE),"")</f>
        <v/>
      </c>
      <c r="C501" s="107" t="str">
        <f>IFERROR(VLOOKUP(A501,'District Codes'!A:B,2,FALSE),"")</f>
        <v/>
      </c>
      <c r="D501" s="104" t="s">
        <v>3588</v>
      </c>
      <c r="E501" s="108" t="str">
        <f>IFERROR(VLOOKUP(D501,'School Codes'!D:E,2,FALSE),"")</f>
        <v>Sagebrush Elementary School</v>
      </c>
      <c r="F501" s="100" t="s">
        <v>6532</v>
      </c>
      <c r="G501" s="100" t="s">
        <v>6236</v>
      </c>
      <c r="J501" s="100"/>
      <c r="K501" s="100"/>
      <c r="L501" s="100"/>
      <c r="M501" s="100"/>
      <c r="N501" s="102"/>
      <c r="O501" s="103"/>
    </row>
    <row r="502" spans="1:16" hidden="1" x14ac:dyDescent="0.3">
      <c r="A502" s="97" t="e">
        <f>'Cover Page'!$D$5</f>
        <v>#N/A</v>
      </c>
      <c r="B502" s="98" t="str">
        <f>IFERROR(VLOOKUP(A502,'District Codes'!D:F,3,FALSE),"")</f>
        <v/>
      </c>
      <c r="C502" s="107" t="str">
        <f>IFERROR(VLOOKUP(A502,'District Codes'!A:B,2,FALSE),"")</f>
        <v/>
      </c>
      <c r="D502" s="104" t="s">
        <v>3588</v>
      </c>
      <c r="E502" s="108" t="str">
        <f>IFERROR(VLOOKUP(D502,'School Codes'!D:E,2,FALSE),"")</f>
        <v>Sagebrush Elementary School</v>
      </c>
      <c r="G502" s="100" t="s">
        <v>6234</v>
      </c>
      <c r="J502" s="100"/>
      <c r="K502" s="100"/>
      <c r="L502" s="100"/>
      <c r="M502" s="100"/>
      <c r="N502" s="102"/>
      <c r="O502" s="103"/>
    </row>
    <row r="503" spans="1:16" hidden="1" x14ac:dyDescent="0.3">
      <c r="A503" s="97" t="e">
        <f>'Cover Page'!$D$5</f>
        <v>#N/A</v>
      </c>
      <c r="B503" s="98" t="str">
        <f>IFERROR(VLOOKUP(A503,'District Codes'!D:F,3,FALSE),"")</f>
        <v/>
      </c>
      <c r="C503" s="107" t="str">
        <f>IFERROR(VLOOKUP(A503,'District Codes'!A:B,2,FALSE),"")</f>
        <v/>
      </c>
      <c r="D503" s="104" t="s">
        <v>3588</v>
      </c>
      <c r="E503" s="108" t="str">
        <f>IFERROR(VLOOKUP(D503,'School Codes'!D:E,2,FALSE),"")</f>
        <v>Sagebrush Elementary School</v>
      </c>
      <c r="G503" s="100" t="s">
        <v>6239</v>
      </c>
      <c r="J503" s="100"/>
      <c r="K503" s="100"/>
      <c r="L503" s="100"/>
      <c r="M503" s="100"/>
      <c r="N503" s="102"/>
      <c r="O503" s="103"/>
    </row>
    <row r="504" spans="1:16" ht="14.4" hidden="1" thickBot="1" x14ac:dyDescent="0.35">
      <c r="A504" s="97" t="e">
        <f>'Cover Page'!$D$5</f>
        <v>#N/A</v>
      </c>
      <c r="B504" s="109" t="str">
        <f>IFERROR(VLOOKUP(A504,'District Codes'!D:F,3,FALSE),"")</f>
        <v/>
      </c>
      <c r="C504" s="110" t="str">
        <f>IFERROR(VLOOKUP(A504,'District Codes'!A:B,2,FALSE),"")</f>
        <v/>
      </c>
      <c r="D504" s="104" t="s">
        <v>3588</v>
      </c>
      <c r="E504" s="108" t="str">
        <f>IFERROR(VLOOKUP(D504,'School Codes'!D:E,2,FALSE),"")</f>
        <v>Sagebrush Elementary School</v>
      </c>
      <c r="G504" s="100" t="s">
        <v>6240</v>
      </c>
      <c r="J504" s="100"/>
      <c r="K504" s="100"/>
      <c r="L504" s="100"/>
      <c r="M504" s="100"/>
      <c r="N504" s="102"/>
      <c r="O504" s="103"/>
    </row>
    <row r="505" spans="1:16" hidden="1" x14ac:dyDescent="0.3">
      <c r="G505" s="100" t="s">
        <v>6233</v>
      </c>
      <c r="J505" s="100"/>
      <c r="K505" s="100"/>
      <c r="L505" s="100"/>
      <c r="M505" s="100"/>
      <c r="N505" s="102"/>
      <c r="O505" s="103"/>
    </row>
    <row r="506" spans="1:16" hidden="1" x14ac:dyDescent="0.3">
      <c r="G506" s="100" t="s">
        <v>6233</v>
      </c>
    </row>
    <row r="507" spans="1:16" hidden="1" x14ac:dyDescent="0.3">
      <c r="G507" s="100" t="s">
        <v>6480</v>
      </c>
    </row>
    <row r="508" spans="1:16" hidden="1" x14ac:dyDescent="0.3">
      <c r="G508" s="100" t="s">
        <v>6235</v>
      </c>
    </row>
    <row r="509" spans="1:16" hidden="1" x14ac:dyDescent="0.3">
      <c r="G509" s="100"/>
    </row>
    <row r="510" spans="1:16" hidden="1" x14ac:dyDescent="0.3">
      <c r="G510" s="100"/>
    </row>
    <row r="511" spans="1:16" hidden="1" x14ac:dyDescent="0.3">
      <c r="G511" s="100"/>
    </row>
    <row r="512" spans="1:16" hidden="1" x14ac:dyDescent="0.3">
      <c r="G512" s="100"/>
    </row>
    <row r="513" spans="7:7" hidden="1" x14ac:dyDescent="0.3">
      <c r="G513" s="100"/>
    </row>
    <row r="514" spans="7:7" hidden="1" x14ac:dyDescent="0.3">
      <c r="G514" s="100"/>
    </row>
    <row r="515" spans="7:7" hidden="1" x14ac:dyDescent="0.3">
      <c r="G515" s="100"/>
    </row>
    <row r="516" spans="7:7" hidden="1" x14ac:dyDescent="0.3">
      <c r="G516" s="100"/>
    </row>
    <row r="517" spans="7:7" hidden="1" x14ac:dyDescent="0.3">
      <c r="G517" s="100"/>
    </row>
    <row r="518" spans="7:7" hidden="1" x14ac:dyDescent="0.3">
      <c r="G518" s="100"/>
    </row>
    <row r="519" spans="7:7" hidden="1" x14ac:dyDescent="0.3">
      <c r="G519" s="100"/>
    </row>
    <row r="520" spans="7:7" hidden="1" x14ac:dyDescent="0.3">
      <c r="G520" s="100"/>
    </row>
    <row r="521" spans="7:7" hidden="1" x14ac:dyDescent="0.3">
      <c r="G521" s="100"/>
    </row>
    <row r="522" spans="7:7" hidden="1" x14ac:dyDescent="0.3">
      <c r="G522" s="100"/>
    </row>
    <row r="523" spans="7:7" hidden="1" x14ac:dyDescent="0.3">
      <c r="G523" s="100"/>
    </row>
    <row r="524" spans="7:7" hidden="1" x14ac:dyDescent="0.3">
      <c r="G524" s="100"/>
    </row>
    <row r="525" spans="7:7" hidden="1" x14ac:dyDescent="0.3">
      <c r="G525" s="100"/>
    </row>
    <row r="526" spans="7:7" hidden="1" x14ac:dyDescent="0.3">
      <c r="G526" s="100"/>
    </row>
    <row r="527" spans="7:7" hidden="1" x14ac:dyDescent="0.3">
      <c r="G527" s="100"/>
    </row>
    <row r="528" spans="7:7" hidden="1" x14ac:dyDescent="0.3">
      <c r="G528" s="100"/>
    </row>
    <row r="529" spans="7:7" hidden="1" x14ac:dyDescent="0.3">
      <c r="G529" s="100"/>
    </row>
    <row r="530" spans="7:7" hidden="1" x14ac:dyDescent="0.3">
      <c r="G530" s="100"/>
    </row>
    <row r="531" spans="7:7" hidden="1" x14ac:dyDescent="0.3">
      <c r="G531" s="100"/>
    </row>
    <row r="532" spans="7:7" hidden="1" x14ac:dyDescent="0.3">
      <c r="G532" s="100"/>
    </row>
    <row r="533" spans="7:7" hidden="1" x14ac:dyDescent="0.3">
      <c r="G533" s="100"/>
    </row>
    <row r="534" spans="7:7" hidden="1" x14ac:dyDescent="0.3">
      <c r="G534" s="100"/>
    </row>
    <row r="535" spans="7:7" hidden="1" x14ac:dyDescent="0.3">
      <c r="G535" s="100"/>
    </row>
    <row r="536" spans="7:7" hidden="1" x14ac:dyDescent="0.3">
      <c r="G536" s="100"/>
    </row>
    <row r="537" spans="7:7" hidden="1" x14ac:dyDescent="0.3">
      <c r="G537" s="100"/>
    </row>
    <row r="538" spans="7:7" hidden="1" x14ac:dyDescent="0.3">
      <c r="G538" s="100"/>
    </row>
    <row r="539" spans="7:7" hidden="1" x14ac:dyDescent="0.3">
      <c r="G539" s="100"/>
    </row>
    <row r="540" spans="7:7" hidden="1" x14ac:dyDescent="0.3">
      <c r="G540" s="100"/>
    </row>
    <row r="541" spans="7:7" hidden="1" x14ac:dyDescent="0.3">
      <c r="G541" s="100"/>
    </row>
    <row r="542" spans="7:7" hidden="1" x14ac:dyDescent="0.3">
      <c r="G542" s="100"/>
    </row>
    <row r="543" spans="7:7" hidden="1" x14ac:dyDescent="0.3">
      <c r="G543" s="100"/>
    </row>
    <row r="544" spans="7:7" hidden="1" x14ac:dyDescent="0.3">
      <c r="G544" s="100"/>
    </row>
    <row r="545" spans="7:7" hidden="1" x14ac:dyDescent="0.3">
      <c r="G545" s="100"/>
    </row>
    <row r="546" spans="7:7" hidden="1" x14ac:dyDescent="0.3">
      <c r="G546" s="100"/>
    </row>
    <row r="547" spans="7:7" hidden="1" x14ac:dyDescent="0.3">
      <c r="G547" s="100"/>
    </row>
    <row r="548" spans="7:7" hidden="1" x14ac:dyDescent="0.3">
      <c r="G548" s="100"/>
    </row>
    <row r="549" spans="7:7" hidden="1" x14ac:dyDescent="0.3">
      <c r="G549" s="100"/>
    </row>
    <row r="550" spans="7:7" hidden="1" x14ac:dyDescent="0.3">
      <c r="G550" s="100"/>
    </row>
    <row r="551" spans="7:7" hidden="1" x14ac:dyDescent="0.3">
      <c r="G551" s="100"/>
    </row>
    <row r="552" spans="7:7" hidden="1" x14ac:dyDescent="0.3">
      <c r="G552" s="100"/>
    </row>
    <row r="553" spans="7:7" hidden="1" x14ac:dyDescent="0.3">
      <c r="G553" s="100"/>
    </row>
    <row r="554" spans="7:7" hidden="1" x14ac:dyDescent="0.3">
      <c r="G554" s="100"/>
    </row>
    <row r="555" spans="7:7" hidden="1" x14ac:dyDescent="0.3">
      <c r="G555" s="100"/>
    </row>
    <row r="556" spans="7:7" hidden="1" x14ac:dyDescent="0.3">
      <c r="G556" s="100"/>
    </row>
    <row r="557" spans="7:7" hidden="1" x14ac:dyDescent="0.3">
      <c r="G557" s="100"/>
    </row>
    <row r="558" spans="7:7" hidden="1" x14ac:dyDescent="0.3">
      <c r="G558" s="100"/>
    </row>
    <row r="559" spans="7:7" hidden="1" x14ac:dyDescent="0.3">
      <c r="G559" s="100"/>
    </row>
    <row r="560" spans="7:7" hidden="1" x14ac:dyDescent="0.3">
      <c r="G560" s="100"/>
    </row>
    <row r="561" spans="7:7" hidden="1" x14ac:dyDescent="0.3">
      <c r="G561" s="100"/>
    </row>
    <row r="562" spans="7:7" hidden="1" x14ac:dyDescent="0.3">
      <c r="G562" s="100"/>
    </row>
    <row r="563" spans="7:7" hidden="1" x14ac:dyDescent="0.3">
      <c r="G563" s="100"/>
    </row>
    <row r="564" spans="7:7" hidden="1" x14ac:dyDescent="0.3">
      <c r="G564" s="100"/>
    </row>
    <row r="565" spans="7:7" hidden="1" x14ac:dyDescent="0.3">
      <c r="G565" s="100"/>
    </row>
    <row r="566" spans="7:7" hidden="1" x14ac:dyDescent="0.3">
      <c r="G566" s="100"/>
    </row>
    <row r="567" spans="7:7" hidden="1" x14ac:dyDescent="0.3">
      <c r="G567" s="100"/>
    </row>
    <row r="568" spans="7:7" hidden="1" x14ac:dyDescent="0.3">
      <c r="G568" s="100"/>
    </row>
    <row r="569" spans="7:7" hidden="1" x14ac:dyDescent="0.3">
      <c r="G569" s="100"/>
    </row>
    <row r="570" spans="7:7" hidden="1" x14ac:dyDescent="0.3">
      <c r="G570" s="100"/>
    </row>
    <row r="571" spans="7:7" hidden="1" x14ac:dyDescent="0.3">
      <c r="G571" s="100"/>
    </row>
    <row r="572" spans="7:7" hidden="1" x14ac:dyDescent="0.3">
      <c r="G572" s="100"/>
    </row>
    <row r="573" spans="7:7" hidden="1" x14ac:dyDescent="0.3">
      <c r="G573" s="100"/>
    </row>
    <row r="574" spans="7:7" hidden="1" x14ac:dyDescent="0.3">
      <c r="G574" s="100"/>
    </row>
    <row r="575" spans="7:7" hidden="1" x14ac:dyDescent="0.3">
      <c r="G575" s="100"/>
    </row>
    <row r="576" spans="7:7" hidden="1" x14ac:dyDescent="0.3">
      <c r="G576" s="100"/>
    </row>
    <row r="577" spans="7:7" hidden="1" x14ac:dyDescent="0.3">
      <c r="G577" s="100"/>
    </row>
    <row r="578" spans="7:7" hidden="1" x14ac:dyDescent="0.3">
      <c r="G578" s="100"/>
    </row>
    <row r="579" spans="7:7" hidden="1" x14ac:dyDescent="0.3">
      <c r="G579" s="100"/>
    </row>
    <row r="580" spans="7:7" hidden="1" x14ac:dyDescent="0.3">
      <c r="G580" s="100"/>
    </row>
    <row r="581" spans="7:7" hidden="1" x14ac:dyDescent="0.3">
      <c r="G581" s="100"/>
    </row>
    <row r="582" spans="7:7" hidden="1" x14ac:dyDescent="0.3">
      <c r="G582" s="100"/>
    </row>
    <row r="583" spans="7:7" hidden="1" x14ac:dyDescent="0.3">
      <c r="G583" s="100"/>
    </row>
    <row r="584" spans="7:7" hidden="1" x14ac:dyDescent="0.3">
      <c r="G584" s="100"/>
    </row>
    <row r="585" spans="7:7" hidden="1" x14ac:dyDescent="0.3">
      <c r="G585" s="100"/>
    </row>
    <row r="586" spans="7:7" hidden="1" x14ac:dyDescent="0.3">
      <c r="G586" s="100"/>
    </row>
    <row r="587" spans="7:7" hidden="1" x14ac:dyDescent="0.3">
      <c r="G587" s="100"/>
    </row>
    <row r="588" spans="7:7" hidden="1" x14ac:dyDescent="0.3">
      <c r="G588" s="100"/>
    </row>
    <row r="589" spans="7:7" hidden="1" x14ac:dyDescent="0.3">
      <c r="G589" s="100"/>
    </row>
    <row r="590" spans="7:7" hidden="1" x14ac:dyDescent="0.3">
      <c r="G590" s="100"/>
    </row>
    <row r="591" spans="7:7" hidden="1" x14ac:dyDescent="0.3">
      <c r="G591" s="100"/>
    </row>
    <row r="592" spans="7:7" hidden="1" x14ac:dyDescent="0.3">
      <c r="G592" s="100"/>
    </row>
    <row r="593" spans="7:7" hidden="1" x14ac:dyDescent="0.3">
      <c r="G593" s="100"/>
    </row>
    <row r="594" spans="7:7" hidden="1" x14ac:dyDescent="0.3">
      <c r="G594" s="100"/>
    </row>
    <row r="595" spans="7:7" hidden="1" x14ac:dyDescent="0.3">
      <c r="G595" s="100"/>
    </row>
    <row r="596" spans="7:7" hidden="1" x14ac:dyDescent="0.3">
      <c r="G596" s="100"/>
    </row>
    <row r="597" spans="7:7" hidden="1" x14ac:dyDescent="0.3">
      <c r="G597" s="100"/>
    </row>
    <row r="598" spans="7:7" hidden="1" x14ac:dyDescent="0.3">
      <c r="G598" s="100"/>
    </row>
    <row r="599" spans="7:7" hidden="1" x14ac:dyDescent="0.3">
      <c r="G599" s="100"/>
    </row>
    <row r="600" spans="7:7" hidden="1" x14ac:dyDescent="0.3">
      <c r="G600" s="100"/>
    </row>
    <row r="601" spans="7:7" hidden="1" x14ac:dyDescent="0.3">
      <c r="G601" s="100"/>
    </row>
    <row r="602" spans="7:7" hidden="1" x14ac:dyDescent="0.3">
      <c r="G602" s="100"/>
    </row>
    <row r="603" spans="7:7" hidden="1" x14ac:dyDescent="0.3">
      <c r="G603" s="100"/>
    </row>
    <row r="604" spans="7:7" hidden="1" x14ac:dyDescent="0.3">
      <c r="G604" s="100"/>
    </row>
    <row r="605" spans="7:7" hidden="1" x14ac:dyDescent="0.3">
      <c r="G605" s="100"/>
    </row>
    <row r="606" spans="7:7" hidden="1" x14ac:dyDescent="0.3">
      <c r="G606" s="100"/>
    </row>
    <row r="607" spans="7:7" hidden="1" x14ac:dyDescent="0.3">
      <c r="G607" s="100"/>
    </row>
    <row r="608" spans="7:7" hidden="1" x14ac:dyDescent="0.3">
      <c r="G608" s="100"/>
    </row>
    <row r="609" spans="7:7" hidden="1" x14ac:dyDescent="0.3">
      <c r="G609" s="100"/>
    </row>
    <row r="610" spans="7:7" hidden="1" x14ac:dyDescent="0.3">
      <c r="G610" s="100"/>
    </row>
    <row r="611" spans="7:7" hidden="1" x14ac:dyDescent="0.3">
      <c r="G611" s="100"/>
    </row>
    <row r="612" spans="7:7" hidden="1" x14ac:dyDescent="0.3">
      <c r="G612" s="100"/>
    </row>
    <row r="613" spans="7:7" hidden="1" x14ac:dyDescent="0.3">
      <c r="G613" s="100"/>
    </row>
    <row r="614" spans="7:7" hidden="1" x14ac:dyDescent="0.3">
      <c r="G614" s="100"/>
    </row>
    <row r="615" spans="7:7" hidden="1" x14ac:dyDescent="0.3">
      <c r="G615" s="100"/>
    </row>
    <row r="616" spans="7:7" hidden="1" x14ac:dyDescent="0.3">
      <c r="G616" s="100"/>
    </row>
    <row r="617" spans="7:7" hidden="1" x14ac:dyDescent="0.3">
      <c r="G617" s="100"/>
    </row>
    <row r="618" spans="7:7" hidden="1" x14ac:dyDescent="0.3">
      <c r="G618" s="100"/>
    </row>
    <row r="619" spans="7:7" hidden="1" x14ac:dyDescent="0.3">
      <c r="G619" s="100"/>
    </row>
    <row r="620" spans="7:7" hidden="1" x14ac:dyDescent="0.3">
      <c r="G620" s="100"/>
    </row>
    <row r="621" spans="7:7" hidden="1" x14ac:dyDescent="0.3">
      <c r="G621" s="100"/>
    </row>
    <row r="622" spans="7:7" hidden="1" x14ac:dyDescent="0.3">
      <c r="G622" s="100"/>
    </row>
    <row r="623" spans="7:7" hidden="1" x14ac:dyDescent="0.3">
      <c r="G623" s="100"/>
    </row>
    <row r="624" spans="7:7" hidden="1" x14ac:dyDescent="0.3">
      <c r="G624" s="100"/>
    </row>
    <row r="625" spans="7:7" hidden="1" x14ac:dyDescent="0.3">
      <c r="G625" s="100"/>
    </row>
    <row r="626" spans="7:7" hidden="1" x14ac:dyDescent="0.3">
      <c r="G626" s="100"/>
    </row>
    <row r="627" spans="7:7" hidden="1" x14ac:dyDescent="0.3">
      <c r="G627" s="100"/>
    </row>
    <row r="628" spans="7:7" hidden="1" x14ac:dyDescent="0.3">
      <c r="G628" s="100"/>
    </row>
    <row r="629" spans="7:7" hidden="1" x14ac:dyDescent="0.3">
      <c r="G629" s="100"/>
    </row>
    <row r="630" spans="7:7" hidden="1" x14ac:dyDescent="0.3">
      <c r="G630" s="100"/>
    </row>
    <row r="631" spans="7:7" hidden="1" x14ac:dyDescent="0.3">
      <c r="G631" s="100"/>
    </row>
    <row r="632" spans="7:7" hidden="1" x14ac:dyDescent="0.3">
      <c r="G632" s="100"/>
    </row>
    <row r="633" spans="7:7" hidden="1" x14ac:dyDescent="0.3">
      <c r="G633" s="100"/>
    </row>
    <row r="634" spans="7:7" hidden="1" x14ac:dyDescent="0.3">
      <c r="G634" s="100"/>
    </row>
    <row r="635" spans="7:7" hidden="1" x14ac:dyDescent="0.3">
      <c r="G635" s="100"/>
    </row>
    <row r="636" spans="7:7" hidden="1" x14ac:dyDescent="0.3">
      <c r="G636" s="100"/>
    </row>
    <row r="637" spans="7:7" hidden="1" x14ac:dyDescent="0.3">
      <c r="G637" s="100"/>
    </row>
    <row r="638" spans="7:7" hidden="1" x14ac:dyDescent="0.3">
      <c r="G638" s="100"/>
    </row>
    <row r="639" spans="7:7" hidden="1" x14ac:dyDescent="0.3">
      <c r="G639" s="100"/>
    </row>
    <row r="640" spans="7:7" hidden="1" x14ac:dyDescent="0.3">
      <c r="G640" s="100"/>
    </row>
    <row r="641" spans="7:7" hidden="1" x14ac:dyDescent="0.3">
      <c r="G641" s="100"/>
    </row>
    <row r="642" spans="7:7" hidden="1" x14ac:dyDescent="0.3">
      <c r="G642" s="100"/>
    </row>
    <row r="643" spans="7:7" hidden="1" x14ac:dyDescent="0.3">
      <c r="G643" s="100"/>
    </row>
    <row r="644" spans="7:7" hidden="1" x14ac:dyDescent="0.3">
      <c r="G644" s="100"/>
    </row>
    <row r="645" spans="7:7" hidden="1" x14ac:dyDescent="0.3">
      <c r="G645" s="100"/>
    </row>
    <row r="646" spans="7:7" hidden="1" x14ac:dyDescent="0.3">
      <c r="G646" s="100"/>
    </row>
    <row r="647" spans="7:7" hidden="1" x14ac:dyDescent="0.3">
      <c r="G647" s="100"/>
    </row>
    <row r="648" spans="7:7" hidden="1" x14ac:dyDescent="0.3">
      <c r="G648" s="100"/>
    </row>
    <row r="649" spans="7:7" hidden="1" x14ac:dyDescent="0.3">
      <c r="G649" s="100"/>
    </row>
    <row r="650" spans="7:7" hidden="1" x14ac:dyDescent="0.3">
      <c r="G650" s="100"/>
    </row>
    <row r="651" spans="7:7" hidden="1" x14ac:dyDescent="0.3">
      <c r="G651" s="100"/>
    </row>
    <row r="652" spans="7:7" hidden="1" x14ac:dyDescent="0.3">
      <c r="G652" s="100"/>
    </row>
    <row r="653" spans="7:7" hidden="1" x14ac:dyDescent="0.3">
      <c r="G653" s="100"/>
    </row>
    <row r="654" spans="7:7" hidden="1" x14ac:dyDescent="0.3">
      <c r="G654" s="100"/>
    </row>
    <row r="655" spans="7:7" hidden="1" x14ac:dyDescent="0.3">
      <c r="G655" s="100"/>
    </row>
    <row r="656" spans="7:7" hidden="1" x14ac:dyDescent="0.3">
      <c r="G656" s="100"/>
    </row>
    <row r="657" spans="7:7" hidden="1" x14ac:dyDescent="0.3">
      <c r="G657" s="100"/>
    </row>
    <row r="658" spans="7:7" hidden="1" x14ac:dyDescent="0.3">
      <c r="G658" s="100"/>
    </row>
    <row r="659" spans="7:7" hidden="1" x14ac:dyDescent="0.3">
      <c r="G659" s="100"/>
    </row>
    <row r="660" spans="7:7" hidden="1" x14ac:dyDescent="0.3">
      <c r="G660" s="100"/>
    </row>
    <row r="661" spans="7:7" hidden="1" x14ac:dyDescent="0.3">
      <c r="G661" s="100"/>
    </row>
    <row r="662" spans="7:7" hidden="1" x14ac:dyDescent="0.3">
      <c r="G662" s="100"/>
    </row>
    <row r="663" spans="7:7" hidden="1" x14ac:dyDescent="0.3">
      <c r="G663" s="100"/>
    </row>
    <row r="664" spans="7:7" hidden="1" x14ac:dyDescent="0.3">
      <c r="G664" s="100"/>
    </row>
    <row r="665" spans="7:7" hidden="1" x14ac:dyDescent="0.3">
      <c r="G665" s="100"/>
    </row>
    <row r="666" spans="7:7" hidden="1" x14ac:dyDescent="0.3">
      <c r="G666" s="100"/>
    </row>
    <row r="667" spans="7:7" hidden="1" x14ac:dyDescent="0.3">
      <c r="G667" s="100"/>
    </row>
    <row r="668" spans="7:7" hidden="1" x14ac:dyDescent="0.3">
      <c r="G668" s="100"/>
    </row>
    <row r="669" spans="7:7" hidden="1" x14ac:dyDescent="0.3">
      <c r="G669" s="100"/>
    </row>
    <row r="670" spans="7:7" hidden="1" x14ac:dyDescent="0.3">
      <c r="G670" s="100"/>
    </row>
    <row r="671" spans="7:7" hidden="1" x14ac:dyDescent="0.3">
      <c r="G671" s="100"/>
    </row>
    <row r="672" spans="7:7" hidden="1" x14ac:dyDescent="0.3">
      <c r="G672" s="100"/>
    </row>
    <row r="673" spans="7:7" hidden="1" x14ac:dyDescent="0.3">
      <c r="G673" s="100"/>
    </row>
    <row r="674" spans="7:7" hidden="1" x14ac:dyDescent="0.3">
      <c r="G674" s="100"/>
    </row>
    <row r="675" spans="7:7" hidden="1" x14ac:dyDescent="0.3">
      <c r="G675" s="100"/>
    </row>
    <row r="676" spans="7:7" hidden="1" x14ac:dyDescent="0.3">
      <c r="G676" s="100"/>
    </row>
    <row r="677" spans="7:7" hidden="1" x14ac:dyDescent="0.3">
      <c r="G677" s="100"/>
    </row>
    <row r="678" spans="7:7" hidden="1" x14ac:dyDescent="0.3">
      <c r="G678" s="100"/>
    </row>
    <row r="679" spans="7:7" hidden="1" x14ac:dyDescent="0.3">
      <c r="G679" s="100"/>
    </row>
    <row r="680" spans="7:7" hidden="1" x14ac:dyDescent="0.3">
      <c r="G680" s="100"/>
    </row>
    <row r="681" spans="7:7" hidden="1" x14ac:dyDescent="0.3">
      <c r="G681" s="100"/>
    </row>
    <row r="682" spans="7:7" hidden="1" x14ac:dyDescent="0.3">
      <c r="G682" s="100"/>
    </row>
    <row r="683" spans="7:7" hidden="1" x14ac:dyDescent="0.3">
      <c r="G683" s="100"/>
    </row>
    <row r="684" spans="7:7" hidden="1" x14ac:dyDescent="0.3">
      <c r="G684" s="100"/>
    </row>
    <row r="685" spans="7:7" hidden="1" x14ac:dyDescent="0.3">
      <c r="G685" s="100"/>
    </row>
    <row r="686" spans="7:7" hidden="1" x14ac:dyDescent="0.3">
      <c r="G686" s="100"/>
    </row>
    <row r="687" spans="7:7" hidden="1" x14ac:dyDescent="0.3">
      <c r="G687" s="100"/>
    </row>
    <row r="688" spans="7:7" hidden="1" x14ac:dyDescent="0.3">
      <c r="G688" s="100"/>
    </row>
    <row r="689" spans="7:7" hidden="1" x14ac:dyDescent="0.3">
      <c r="G689" s="100"/>
    </row>
    <row r="690" spans="7:7" hidden="1" x14ac:dyDescent="0.3">
      <c r="G690" s="100"/>
    </row>
    <row r="691" spans="7:7" hidden="1" x14ac:dyDescent="0.3">
      <c r="G691" s="100"/>
    </row>
    <row r="692" spans="7:7" hidden="1" x14ac:dyDescent="0.3">
      <c r="G692" s="100"/>
    </row>
    <row r="693" spans="7:7" hidden="1" x14ac:dyDescent="0.3">
      <c r="G693" s="100"/>
    </row>
    <row r="694" spans="7:7" hidden="1" x14ac:dyDescent="0.3">
      <c r="G694" s="100"/>
    </row>
    <row r="695" spans="7:7" hidden="1" x14ac:dyDescent="0.3">
      <c r="G695" s="100"/>
    </row>
    <row r="696" spans="7:7" hidden="1" x14ac:dyDescent="0.3">
      <c r="G696" s="100"/>
    </row>
    <row r="697" spans="7:7" hidden="1" x14ac:dyDescent="0.3">
      <c r="G697" s="100"/>
    </row>
    <row r="698" spans="7:7" hidden="1" x14ac:dyDescent="0.3">
      <c r="G698" s="100"/>
    </row>
    <row r="699" spans="7:7" hidden="1" x14ac:dyDescent="0.3">
      <c r="G699" s="100"/>
    </row>
    <row r="700" spans="7:7" hidden="1" x14ac:dyDescent="0.3">
      <c r="G700" s="100"/>
    </row>
    <row r="701" spans="7:7" hidden="1" x14ac:dyDescent="0.3">
      <c r="G701" s="100"/>
    </row>
    <row r="702" spans="7:7" hidden="1" x14ac:dyDescent="0.3">
      <c r="G702" s="100"/>
    </row>
    <row r="703" spans="7:7" hidden="1" x14ac:dyDescent="0.3">
      <c r="G703" s="100"/>
    </row>
    <row r="704" spans="7:7" hidden="1" x14ac:dyDescent="0.3">
      <c r="G704" s="100"/>
    </row>
    <row r="705" spans="7:7" hidden="1" x14ac:dyDescent="0.3">
      <c r="G705" s="100"/>
    </row>
    <row r="706" spans="7:7" hidden="1" x14ac:dyDescent="0.3">
      <c r="G706" s="100"/>
    </row>
    <row r="707" spans="7:7" hidden="1" x14ac:dyDescent="0.3">
      <c r="G707" s="100"/>
    </row>
    <row r="708" spans="7:7" hidden="1" x14ac:dyDescent="0.3">
      <c r="G708" s="100"/>
    </row>
    <row r="709" spans="7:7" hidden="1" x14ac:dyDescent="0.3">
      <c r="G709" s="100"/>
    </row>
    <row r="710" spans="7:7" hidden="1" x14ac:dyDescent="0.3">
      <c r="G710" s="100"/>
    </row>
    <row r="711" spans="7:7" hidden="1" x14ac:dyDescent="0.3">
      <c r="G711" s="100"/>
    </row>
    <row r="712" spans="7:7" hidden="1" x14ac:dyDescent="0.3">
      <c r="G712" s="100"/>
    </row>
    <row r="713" spans="7:7" hidden="1" x14ac:dyDescent="0.3">
      <c r="G713" s="100"/>
    </row>
    <row r="714" spans="7:7" hidden="1" x14ac:dyDescent="0.3">
      <c r="G714" s="100"/>
    </row>
    <row r="715" spans="7:7" hidden="1" x14ac:dyDescent="0.3">
      <c r="G715" s="100"/>
    </row>
    <row r="716" spans="7:7" hidden="1" x14ac:dyDescent="0.3">
      <c r="G716" s="100"/>
    </row>
    <row r="717" spans="7:7" hidden="1" x14ac:dyDescent="0.3">
      <c r="G717" s="100"/>
    </row>
    <row r="718" spans="7:7" hidden="1" x14ac:dyDescent="0.3">
      <c r="G718" s="100"/>
    </row>
    <row r="719" spans="7:7" hidden="1" x14ac:dyDescent="0.3">
      <c r="G719" s="100"/>
    </row>
    <row r="720" spans="7:7" hidden="1" x14ac:dyDescent="0.3">
      <c r="G720" s="100"/>
    </row>
    <row r="721" spans="7:7" hidden="1" x14ac:dyDescent="0.3">
      <c r="G721" s="100"/>
    </row>
    <row r="722" spans="7:7" hidden="1" x14ac:dyDescent="0.3">
      <c r="G722" s="100"/>
    </row>
    <row r="723" spans="7:7" hidden="1" x14ac:dyDescent="0.3">
      <c r="G723" s="100"/>
    </row>
    <row r="724" spans="7:7" hidden="1" x14ac:dyDescent="0.3">
      <c r="G724" s="100"/>
    </row>
    <row r="725" spans="7:7" hidden="1" x14ac:dyDescent="0.3">
      <c r="G725" s="100"/>
    </row>
    <row r="726" spans="7:7" hidden="1" x14ac:dyDescent="0.3">
      <c r="G726" s="100"/>
    </row>
    <row r="727" spans="7:7" hidden="1" x14ac:dyDescent="0.3">
      <c r="G727" s="100"/>
    </row>
    <row r="728" spans="7:7" hidden="1" x14ac:dyDescent="0.3">
      <c r="G728" s="100"/>
    </row>
    <row r="729" spans="7:7" hidden="1" x14ac:dyDescent="0.3">
      <c r="G729" s="100"/>
    </row>
    <row r="730" spans="7:7" hidden="1" x14ac:dyDescent="0.3">
      <c r="G730" s="100"/>
    </row>
    <row r="731" spans="7:7" hidden="1" x14ac:dyDescent="0.3">
      <c r="G731" s="100"/>
    </row>
    <row r="732" spans="7:7" hidden="1" x14ac:dyDescent="0.3">
      <c r="G732" s="100"/>
    </row>
    <row r="733" spans="7:7" hidden="1" x14ac:dyDescent="0.3">
      <c r="G733" s="100"/>
    </row>
    <row r="734" spans="7:7" hidden="1" x14ac:dyDescent="0.3">
      <c r="G734" s="100"/>
    </row>
    <row r="735" spans="7:7" hidden="1" x14ac:dyDescent="0.3">
      <c r="G735" s="100"/>
    </row>
    <row r="736" spans="7:7" hidden="1" x14ac:dyDescent="0.3">
      <c r="G736" s="100"/>
    </row>
    <row r="737" spans="7:7" hidden="1" x14ac:dyDescent="0.3">
      <c r="G737" s="100"/>
    </row>
    <row r="738" spans="7:7" hidden="1" x14ac:dyDescent="0.3">
      <c r="G738" s="100"/>
    </row>
    <row r="739" spans="7:7" hidden="1" x14ac:dyDescent="0.3">
      <c r="G739" s="100"/>
    </row>
    <row r="740" spans="7:7" hidden="1" x14ac:dyDescent="0.3">
      <c r="G740" s="100"/>
    </row>
    <row r="741" spans="7:7" hidden="1" x14ac:dyDescent="0.3">
      <c r="G741" s="100"/>
    </row>
    <row r="742" spans="7:7" hidden="1" x14ac:dyDescent="0.3">
      <c r="G742" s="100"/>
    </row>
    <row r="743" spans="7:7" hidden="1" x14ac:dyDescent="0.3">
      <c r="G743" s="100"/>
    </row>
    <row r="744" spans="7:7" hidden="1" x14ac:dyDescent="0.3">
      <c r="G744" s="100"/>
    </row>
    <row r="745" spans="7:7" hidden="1" x14ac:dyDescent="0.3">
      <c r="G745" s="100"/>
    </row>
    <row r="746" spans="7:7" hidden="1" x14ac:dyDescent="0.3">
      <c r="G746" s="100"/>
    </row>
    <row r="747" spans="7:7" hidden="1" x14ac:dyDescent="0.3">
      <c r="G747" s="100"/>
    </row>
    <row r="748" spans="7:7" hidden="1" x14ac:dyDescent="0.3">
      <c r="G748" s="100"/>
    </row>
    <row r="749" spans="7:7" hidden="1" x14ac:dyDescent="0.3">
      <c r="G749" s="100"/>
    </row>
    <row r="750" spans="7:7" hidden="1" x14ac:dyDescent="0.3">
      <c r="G750" s="100"/>
    </row>
    <row r="751" spans="7:7" hidden="1" x14ac:dyDescent="0.3">
      <c r="G751" s="100"/>
    </row>
    <row r="752" spans="7:7" hidden="1" x14ac:dyDescent="0.3">
      <c r="G752" s="100"/>
    </row>
    <row r="753" spans="7:7" hidden="1" x14ac:dyDescent="0.3">
      <c r="G753" s="100"/>
    </row>
    <row r="754" spans="7:7" hidden="1" x14ac:dyDescent="0.3">
      <c r="G754" s="100"/>
    </row>
    <row r="755" spans="7:7" hidden="1" x14ac:dyDescent="0.3">
      <c r="G755" s="100"/>
    </row>
    <row r="756" spans="7:7" hidden="1" x14ac:dyDescent="0.3">
      <c r="G756" s="100"/>
    </row>
    <row r="757" spans="7:7" hidden="1" x14ac:dyDescent="0.3">
      <c r="G757" s="100"/>
    </row>
    <row r="758" spans="7:7" hidden="1" x14ac:dyDescent="0.3">
      <c r="G758" s="100"/>
    </row>
    <row r="759" spans="7:7" hidden="1" x14ac:dyDescent="0.3">
      <c r="G759" s="100"/>
    </row>
    <row r="760" spans="7:7" hidden="1" x14ac:dyDescent="0.3">
      <c r="G760" s="100"/>
    </row>
    <row r="761" spans="7:7" hidden="1" x14ac:dyDescent="0.3">
      <c r="G761" s="100"/>
    </row>
    <row r="762" spans="7:7" hidden="1" x14ac:dyDescent="0.3">
      <c r="G762" s="100"/>
    </row>
    <row r="763" spans="7:7" hidden="1" x14ac:dyDescent="0.3">
      <c r="G763" s="100"/>
    </row>
    <row r="764" spans="7:7" hidden="1" x14ac:dyDescent="0.3">
      <c r="G764" s="100"/>
    </row>
    <row r="765" spans="7:7" hidden="1" x14ac:dyDescent="0.3">
      <c r="G765" s="100"/>
    </row>
    <row r="766" spans="7:7" hidden="1" x14ac:dyDescent="0.3">
      <c r="G766" s="100"/>
    </row>
    <row r="767" spans="7:7" hidden="1" x14ac:dyDescent="0.3">
      <c r="G767" s="100"/>
    </row>
    <row r="768" spans="7:7" hidden="1" x14ac:dyDescent="0.3">
      <c r="G768" s="100"/>
    </row>
    <row r="769" spans="7:7" hidden="1" x14ac:dyDescent="0.3">
      <c r="G769" s="100"/>
    </row>
    <row r="770" spans="7:7" hidden="1" x14ac:dyDescent="0.3">
      <c r="G770" s="100"/>
    </row>
    <row r="771" spans="7:7" hidden="1" x14ac:dyDescent="0.3">
      <c r="G771" s="100"/>
    </row>
    <row r="772" spans="7:7" hidden="1" x14ac:dyDescent="0.3">
      <c r="G772" s="100"/>
    </row>
    <row r="773" spans="7:7" hidden="1" x14ac:dyDescent="0.3">
      <c r="G773" s="100"/>
    </row>
    <row r="774" spans="7:7" hidden="1" x14ac:dyDescent="0.3">
      <c r="G774" s="100"/>
    </row>
    <row r="775" spans="7:7" hidden="1" x14ac:dyDescent="0.3">
      <c r="G775" s="100"/>
    </row>
    <row r="776" spans="7:7" hidden="1" x14ac:dyDescent="0.3">
      <c r="G776" s="100"/>
    </row>
    <row r="777" spans="7:7" hidden="1" x14ac:dyDescent="0.3">
      <c r="G777" s="100"/>
    </row>
    <row r="778" spans="7:7" hidden="1" x14ac:dyDescent="0.3">
      <c r="G778" s="100"/>
    </row>
    <row r="779" spans="7:7" hidden="1" x14ac:dyDescent="0.3">
      <c r="G779" s="100"/>
    </row>
    <row r="780" spans="7:7" hidden="1" x14ac:dyDescent="0.3">
      <c r="G780" s="100"/>
    </row>
    <row r="781" spans="7:7" hidden="1" x14ac:dyDescent="0.3">
      <c r="G781" s="100"/>
    </row>
    <row r="782" spans="7:7" hidden="1" x14ac:dyDescent="0.3">
      <c r="G782" s="100"/>
    </row>
    <row r="783" spans="7:7" hidden="1" x14ac:dyDescent="0.3">
      <c r="G783" s="100"/>
    </row>
    <row r="784" spans="7:7" hidden="1" x14ac:dyDescent="0.3">
      <c r="G784" s="100"/>
    </row>
    <row r="785" spans="7:7" hidden="1" x14ac:dyDescent="0.3">
      <c r="G785" s="100"/>
    </row>
    <row r="786" spans="7:7" hidden="1" x14ac:dyDescent="0.3">
      <c r="G786" s="100"/>
    </row>
    <row r="787" spans="7:7" hidden="1" x14ac:dyDescent="0.3">
      <c r="G787" s="100"/>
    </row>
    <row r="788" spans="7:7" hidden="1" x14ac:dyDescent="0.3">
      <c r="G788" s="100"/>
    </row>
    <row r="789" spans="7:7" hidden="1" x14ac:dyDescent="0.3">
      <c r="G789" s="100"/>
    </row>
    <row r="790" spans="7:7" hidden="1" x14ac:dyDescent="0.3">
      <c r="G790" s="100"/>
    </row>
    <row r="791" spans="7:7" hidden="1" x14ac:dyDescent="0.3">
      <c r="G791" s="100"/>
    </row>
    <row r="792" spans="7:7" hidden="1" x14ac:dyDescent="0.3">
      <c r="G792" s="100"/>
    </row>
    <row r="793" spans="7:7" hidden="1" x14ac:dyDescent="0.3">
      <c r="G793" s="100"/>
    </row>
    <row r="794" spans="7:7" hidden="1" x14ac:dyDescent="0.3">
      <c r="G794" s="100"/>
    </row>
    <row r="795" spans="7:7" hidden="1" x14ac:dyDescent="0.3">
      <c r="G795" s="100"/>
    </row>
    <row r="796" spans="7:7" hidden="1" x14ac:dyDescent="0.3">
      <c r="G796" s="100"/>
    </row>
    <row r="797" spans="7:7" hidden="1" x14ac:dyDescent="0.3">
      <c r="G797" s="100"/>
    </row>
    <row r="798" spans="7:7" hidden="1" x14ac:dyDescent="0.3">
      <c r="G798" s="100"/>
    </row>
    <row r="799" spans="7:7" hidden="1" x14ac:dyDescent="0.3">
      <c r="G799" s="100"/>
    </row>
    <row r="800" spans="7:7" hidden="1" x14ac:dyDescent="0.3">
      <c r="G800" s="100"/>
    </row>
    <row r="801" spans="7:7" hidden="1" x14ac:dyDescent="0.3">
      <c r="G801" s="100"/>
    </row>
    <row r="802" spans="7:7" hidden="1" x14ac:dyDescent="0.3">
      <c r="G802" s="100"/>
    </row>
    <row r="803" spans="7:7" hidden="1" x14ac:dyDescent="0.3">
      <c r="G803" s="100"/>
    </row>
    <row r="804" spans="7:7" hidden="1" x14ac:dyDescent="0.3">
      <c r="G804" s="100"/>
    </row>
    <row r="805" spans="7:7" hidden="1" x14ac:dyDescent="0.3">
      <c r="G805" s="100"/>
    </row>
    <row r="806" spans="7:7" hidden="1" x14ac:dyDescent="0.3">
      <c r="G806" s="100"/>
    </row>
    <row r="807" spans="7:7" hidden="1" x14ac:dyDescent="0.3">
      <c r="G807" s="100"/>
    </row>
    <row r="808" spans="7:7" hidden="1" x14ac:dyDescent="0.3">
      <c r="G808" s="100"/>
    </row>
    <row r="809" spans="7:7" hidden="1" x14ac:dyDescent="0.3">
      <c r="G809" s="100"/>
    </row>
    <row r="810" spans="7:7" hidden="1" x14ac:dyDescent="0.3">
      <c r="G810" s="100"/>
    </row>
    <row r="811" spans="7:7" hidden="1" x14ac:dyDescent="0.3">
      <c r="G811" s="100"/>
    </row>
    <row r="812" spans="7:7" hidden="1" x14ac:dyDescent="0.3">
      <c r="G812" s="100"/>
    </row>
    <row r="813" spans="7:7" hidden="1" x14ac:dyDescent="0.3">
      <c r="G813" s="100"/>
    </row>
    <row r="814" spans="7:7" hidden="1" x14ac:dyDescent="0.3">
      <c r="G814" s="100"/>
    </row>
    <row r="815" spans="7:7" hidden="1" x14ac:dyDescent="0.3">
      <c r="G815" s="100"/>
    </row>
    <row r="816" spans="7:7" hidden="1" x14ac:dyDescent="0.3">
      <c r="G816" s="100"/>
    </row>
    <row r="817" spans="7:7" hidden="1" x14ac:dyDescent="0.3">
      <c r="G817" s="100"/>
    </row>
    <row r="818" spans="7:7" hidden="1" x14ac:dyDescent="0.3">
      <c r="G818" s="100"/>
    </row>
    <row r="819" spans="7:7" hidden="1" x14ac:dyDescent="0.3">
      <c r="G819" s="100"/>
    </row>
    <row r="820" spans="7:7" hidden="1" x14ac:dyDescent="0.3">
      <c r="G820" s="100"/>
    </row>
    <row r="821" spans="7:7" hidden="1" x14ac:dyDescent="0.3">
      <c r="G821" s="100"/>
    </row>
    <row r="822" spans="7:7" hidden="1" x14ac:dyDescent="0.3">
      <c r="G822" s="100"/>
    </row>
    <row r="823" spans="7:7" hidden="1" x14ac:dyDescent="0.3">
      <c r="G823" s="100"/>
    </row>
    <row r="824" spans="7:7" hidden="1" x14ac:dyDescent="0.3">
      <c r="G824" s="100"/>
    </row>
    <row r="825" spans="7:7" hidden="1" x14ac:dyDescent="0.3">
      <c r="G825" s="100"/>
    </row>
    <row r="826" spans="7:7" hidden="1" x14ac:dyDescent="0.3">
      <c r="G826" s="100"/>
    </row>
    <row r="827" spans="7:7" hidden="1" x14ac:dyDescent="0.3">
      <c r="G827" s="100"/>
    </row>
    <row r="828" spans="7:7" hidden="1" x14ac:dyDescent="0.3">
      <c r="G828" s="100"/>
    </row>
    <row r="829" spans="7:7" hidden="1" x14ac:dyDescent="0.3">
      <c r="G829" s="100"/>
    </row>
    <row r="830" spans="7:7" hidden="1" x14ac:dyDescent="0.3">
      <c r="G830" s="100"/>
    </row>
    <row r="831" spans="7:7" hidden="1" x14ac:dyDescent="0.3">
      <c r="G831" s="100"/>
    </row>
    <row r="832" spans="7:7" hidden="1" x14ac:dyDescent="0.3">
      <c r="G832" s="100"/>
    </row>
    <row r="833" spans="7:7" hidden="1" x14ac:dyDescent="0.3">
      <c r="G833" s="100"/>
    </row>
    <row r="834" spans="7:7" hidden="1" x14ac:dyDescent="0.3">
      <c r="G834" s="100"/>
    </row>
    <row r="835" spans="7:7" hidden="1" x14ac:dyDescent="0.3">
      <c r="G835" s="100"/>
    </row>
    <row r="836" spans="7:7" hidden="1" x14ac:dyDescent="0.3">
      <c r="G836" s="100"/>
    </row>
    <row r="837" spans="7:7" hidden="1" x14ac:dyDescent="0.3">
      <c r="G837" s="100"/>
    </row>
    <row r="838" spans="7:7" hidden="1" x14ac:dyDescent="0.3">
      <c r="G838" s="100"/>
    </row>
    <row r="839" spans="7:7" hidden="1" x14ac:dyDescent="0.3">
      <c r="G839" s="100"/>
    </row>
    <row r="840" spans="7:7" hidden="1" x14ac:dyDescent="0.3">
      <c r="G840" s="100"/>
    </row>
    <row r="841" spans="7:7" hidden="1" x14ac:dyDescent="0.3">
      <c r="G841" s="100"/>
    </row>
    <row r="842" spans="7:7" hidden="1" x14ac:dyDescent="0.3">
      <c r="G842" s="100"/>
    </row>
    <row r="843" spans="7:7" hidden="1" x14ac:dyDescent="0.3">
      <c r="G843" s="100"/>
    </row>
    <row r="844" spans="7:7" hidden="1" x14ac:dyDescent="0.3">
      <c r="G844" s="100"/>
    </row>
    <row r="845" spans="7:7" hidden="1" x14ac:dyDescent="0.3">
      <c r="G845" s="100"/>
    </row>
    <row r="846" spans="7:7" hidden="1" x14ac:dyDescent="0.3">
      <c r="G846" s="100"/>
    </row>
    <row r="847" spans="7:7" hidden="1" x14ac:dyDescent="0.3">
      <c r="G847" s="100"/>
    </row>
    <row r="848" spans="7:7" hidden="1" x14ac:dyDescent="0.3">
      <c r="G848" s="100"/>
    </row>
    <row r="849" spans="7:7" hidden="1" x14ac:dyDescent="0.3">
      <c r="G849" s="100"/>
    </row>
    <row r="850" spans="7:7" hidden="1" x14ac:dyDescent="0.3">
      <c r="G850" s="100"/>
    </row>
    <row r="851" spans="7:7" hidden="1" x14ac:dyDescent="0.3">
      <c r="G851" s="100"/>
    </row>
    <row r="852" spans="7:7" hidden="1" x14ac:dyDescent="0.3">
      <c r="G852" s="100"/>
    </row>
    <row r="853" spans="7:7" hidden="1" x14ac:dyDescent="0.3">
      <c r="G853" s="100"/>
    </row>
    <row r="854" spans="7:7" hidden="1" x14ac:dyDescent="0.3">
      <c r="G854" s="100"/>
    </row>
    <row r="855" spans="7:7" hidden="1" x14ac:dyDescent="0.3">
      <c r="G855" s="100"/>
    </row>
    <row r="856" spans="7:7" hidden="1" x14ac:dyDescent="0.3">
      <c r="G856" s="100"/>
    </row>
    <row r="857" spans="7:7" hidden="1" x14ac:dyDescent="0.3">
      <c r="G857" s="100"/>
    </row>
    <row r="858" spans="7:7" hidden="1" x14ac:dyDescent="0.3">
      <c r="G858" s="100"/>
    </row>
    <row r="859" spans="7:7" hidden="1" x14ac:dyDescent="0.3">
      <c r="G859" s="100"/>
    </row>
    <row r="860" spans="7:7" hidden="1" x14ac:dyDescent="0.3">
      <c r="G860" s="100"/>
    </row>
    <row r="861" spans="7:7" hidden="1" x14ac:dyDescent="0.3">
      <c r="G861" s="100"/>
    </row>
    <row r="862" spans="7:7" hidden="1" x14ac:dyDescent="0.3">
      <c r="G862" s="100"/>
    </row>
    <row r="863" spans="7:7" hidden="1" x14ac:dyDescent="0.3">
      <c r="G863" s="100"/>
    </row>
    <row r="864" spans="7:7" hidden="1" x14ac:dyDescent="0.3">
      <c r="G864" s="100"/>
    </row>
    <row r="865" spans="7:7" hidden="1" x14ac:dyDescent="0.3">
      <c r="G865" s="100"/>
    </row>
    <row r="866" spans="7:7" hidden="1" x14ac:dyDescent="0.3">
      <c r="G866" s="100"/>
    </row>
    <row r="867" spans="7:7" hidden="1" x14ac:dyDescent="0.3">
      <c r="G867" s="100"/>
    </row>
    <row r="868" spans="7:7" hidden="1" x14ac:dyDescent="0.3">
      <c r="G868" s="100"/>
    </row>
    <row r="869" spans="7:7" hidden="1" x14ac:dyDescent="0.3">
      <c r="G869" s="100"/>
    </row>
    <row r="870" spans="7:7" hidden="1" x14ac:dyDescent="0.3">
      <c r="G870" s="100"/>
    </row>
    <row r="871" spans="7:7" hidden="1" x14ac:dyDescent="0.3">
      <c r="G871" s="100"/>
    </row>
    <row r="872" spans="7:7" hidden="1" x14ac:dyDescent="0.3">
      <c r="G872" s="100"/>
    </row>
    <row r="873" spans="7:7" hidden="1" x14ac:dyDescent="0.3">
      <c r="G873" s="100"/>
    </row>
    <row r="874" spans="7:7" hidden="1" x14ac:dyDescent="0.3">
      <c r="G874" s="100"/>
    </row>
    <row r="875" spans="7:7" hidden="1" x14ac:dyDescent="0.3">
      <c r="G875" s="100"/>
    </row>
    <row r="876" spans="7:7" hidden="1" x14ac:dyDescent="0.3">
      <c r="G876" s="100"/>
    </row>
    <row r="877" spans="7:7" hidden="1" x14ac:dyDescent="0.3">
      <c r="G877" s="100"/>
    </row>
    <row r="878" spans="7:7" hidden="1" x14ac:dyDescent="0.3">
      <c r="G878" s="100"/>
    </row>
    <row r="879" spans="7:7" hidden="1" x14ac:dyDescent="0.3">
      <c r="G879" s="100"/>
    </row>
    <row r="880" spans="7:7" hidden="1" x14ac:dyDescent="0.3">
      <c r="G880" s="100"/>
    </row>
    <row r="881" spans="7:7" hidden="1" x14ac:dyDescent="0.3">
      <c r="G881" s="100"/>
    </row>
    <row r="882" spans="7:7" hidden="1" x14ac:dyDescent="0.3">
      <c r="G882" s="100"/>
    </row>
    <row r="883" spans="7:7" hidden="1" x14ac:dyDescent="0.3">
      <c r="G883" s="100"/>
    </row>
    <row r="884" spans="7:7" hidden="1" x14ac:dyDescent="0.3">
      <c r="G884" s="100"/>
    </row>
    <row r="885" spans="7:7" hidden="1" x14ac:dyDescent="0.3">
      <c r="G885" s="100"/>
    </row>
    <row r="886" spans="7:7" hidden="1" x14ac:dyDescent="0.3">
      <c r="G886" s="100"/>
    </row>
    <row r="887" spans="7:7" hidden="1" x14ac:dyDescent="0.3">
      <c r="G887" s="100"/>
    </row>
    <row r="888" spans="7:7" hidden="1" x14ac:dyDescent="0.3">
      <c r="G888" s="100"/>
    </row>
    <row r="889" spans="7:7" hidden="1" x14ac:dyDescent="0.3">
      <c r="G889" s="100"/>
    </row>
    <row r="890" spans="7:7" hidden="1" x14ac:dyDescent="0.3">
      <c r="G890" s="100"/>
    </row>
    <row r="891" spans="7:7" hidden="1" x14ac:dyDescent="0.3">
      <c r="G891" s="100"/>
    </row>
    <row r="892" spans="7:7" hidden="1" x14ac:dyDescent="0.3">
      <c r="G892" s="100"/>
    </row>
    <row r="893" spans="7:7" hidden="1" x14ac:dyDescent="0.3">
      <c r="G893" s="100"/>
    </row>
    <row r="894" spans="7:7" hidden="1" x14ac:dyDescent="0.3">
      <c r="G894" s="100"/>
    </row>
    <row r="895" spans="7:7" hidden="1" x14ac:dyDescent="0.3">
      <c r="G895" s="100"/>
    </row>
    <row r="896" spans="7:7" hidden="1" x14ac:dyDescent="0.3">
      <c r="G896" s="100"/>
    </row>
    <row r="897" spans="7:7" hidden="1" x14ac:dyDescent="0.3">
      <c r="G897" s="100"/>
    </row>
    <row r="898" spans="7:7" hidden="1" x14ac:dyDescent="0.3">
      <c r="G898" s="100"/>
    </row>
    <row r="899" spans="7:7" hidden="1" x14ac:dyDescent="0.3">
      <c r="G899" s="100"/>
    </row>
    <row r="900" spans="7:7" hidden="1" x14ac:dyDescent="0.3">
      <c r="G900" s="100"/>
    </row>
    <row r="901" spans="7:7" hidden="1" x14ac:dyDescent="0.3">
      <c r="G901" s="100"/>
    </row>
    <row r="902" spans="7:7" hidden="1" x14ac:dyDescent="0.3">
      <c r="G902" s="100"/>
    </row>
    <row r="903" spans="7:7" hidden="1" x14ac:dyDescent="0.3">
      <c r="G903" s="100"/>
    </row>
    <row r="904" spans="7:7" hidden="1" x14ac:dyDescent="0.3">
      <c r="G904" s="100"/>
    </row>
    <row r="905" spans="7:7" hidden="1" x14ac:dyDescent="0.3">
      <c r="G905" s="100"/>
    </row>
    <row r="906" spans="7:7" hidden="1" x14ac:dyDescent="0.3">
      <c r="G906" s="100"/>
    </row>
    <row r="907" spans="7:7" hidden="1" x14ac:dyDescent="0.3">
      <c r="G907" s="100"/>
    </row>
    <row r="908" spans="7:7" hidden="1" x14ac:dyDescent="0.3">
      <c r="G908" s="100"/>
    </row>
    <row r="909" spans="7:7" hidden="1" x14ac:dyDescent="0.3">
      <c r="G909" s="100"/>
    </row>
    <row r="910" spans="7:7" hidden="1" x14ac:dyDescent="0.3">
      <c r="G910" s="100"/>
    </row>
    <row r="911" spans="7:7" hidden="1" x14ac:dyDescent="0.3">
      <c r="G911" s="100"/>
    </row>
    <row r="912" spans="7:7" hidden="1" x14ac:dyDescent="0.3">
      <c r="G912" s="100"/>
    </row>
    <row r="913" spans="7:7" hidden="1" x14ac:dyDescent="0.3">
      <c r="G913" s="100"/>
    </row>
    <row r="914" spans="7:7" hidden="1" x14ac:dyDescent="0.3">
      <c r="G914" s="100"/>
    </row>
    <row r="915" spans="7:7" hidden="1" x14ac:dyDescent="0.3">
      <c r="G915" s="100"/>
    </row>
    <row r="916" spans="7:7" hidden="1" x14ac:dyDescent="0.3">
      <c r="G916" s="100"/>
    </row>
    <row r="917" spans="7:7" hidden="1" x14ac:dyDescent="0.3">
      <c r="G917" s="100"/>
    </row>
    <row r="918" spans="7:7" hidden="1" x14ac:dyDescent="0.3">
      <c r="G918" s="100"/>
    </row>
    <row r="919" spans="7:7" hidden="1" x14ac:dyDescent="0.3">
      <c r="G919" s="100"/>
    </row>
    <row r="920" spans="7:7" hidden="1" x14ac:dyDescent="0.3">
      <c r="G920" s="100"/>
    </row>
    <row r="921" spans="7:7" hidden="1" x14ac:dyDescent="0.3">
      <c r="G921" s="100"/>
    </row>
    <row r="922" spans="7:7" hidden="1" x14ac:dyDescent="0.3">
      <c r="G922" s="100"/>
    </row>
    <row r="923" spans="7:7" hidden="1" x14ac:dyDescent="0.3">
      <c r="G923" s="100"/>
    </row>
    <row r="924" spans="7:7" hidden="1" x14ac:dyDescent="0.3">
      <c r="G924" s="100"/>
    </row>
    <row r="925" spans="7:7" hidden="1" x14ac:dyDescent="0.3">
      <c r="G925" s="100"/>
    </row>
    <row r="926" spans="7:7" hidden="1" x14ac:dyDescent="0.3">
      <c r="G926" s="100"/>
    </row>
    <row r="927" spans="7:7" hidden="1" x14ac:dyDescent="0.3">
      <c r="G927" s="100"/>
    </row>
    <row r="928" spans="7:7" hidden="1" x14ac:dyDescent="0.3">
      <c r="G928" s="100"/>
    </row>
    <row r="929" spans="7:7" hidden="1" x14ac:dyDescent="0.3">
      <c r="G929" s="100"/>
    </row>
    <row r="930" spans="7:7" hidden="1" x14ac:dyDescent="0.3">
      <c r="G930" s="100"/>
    </row>
    <row r="931" spans="7:7" hidden="1" x14ac:dyDescent="0.3">
      <c r="G931" s="100"/>
    </row>
    <row r="932" spans="7:7" hidden="1" x14ac:dyDescent="0.3">
      <c r="G932" s="100"/>
    </row>
    <row r="933" spans="7:7" hidden="1" x14ac:dyDescent="0.3">
      <c r="G933" s="100"/>
    </row>
    <row r="934" spans="7:7" hidden="1" x14ac:dyDescent="0.3">
      <c r="G934" s="100"/>
    </row>
    <row r="935" spans="7:7" hidden="1" x14ac:dyDescent="0.3">
      <c r="G935" s="100"/>
    </row>
    <row r="936" spans="7:7" hidden="1" x14ac:dyDescent="0.3">
      <c r="G936" s="100"/>
    </row>
    <row r="937" spans="7:7" hidden="1" x14ac:dyDescent="0.3">
      <c r="G937" s="100"/>
    </row>
    <row r="938" spans="7:7" hidden="1" x14ac:dyDescent="0.3">
      <c r="G938" s="100"/>
    </row>
    <row r="939" spans="7:7" hidden="1" x14ac:dyDescent="0.3">
      <c r="G939" s="100"/>
    </row>
    <row r="940" spans="7:7" hidden="1" x14ac:dyDescent="0.3">
      <c r="G940" s="100"/>
    </row>
    <row r="941" spans="7:7" hidden="1" x14ac:dyDescent="0.3">
      <c r="G941" s="100"/>
    </row>
    <row r="942" spans="7:7" hidden="1" x14ac:dyDescent="0.3">
      <c r="G942" s="100"/>
    </row>
    <row r="943" spans="7:7" hidden="1" x14ac:dyDescent="0.3">
      <c r="G943" s="100"/>
    </row>
    <row r="944" spans="7:7" hidden="1" x14ac:dyDescent="0.3">
      <c r="G944" s="100"/>
    </row>
    <row r="945" spans="7:7" hidden="1" x14ac:dyDescent="0.3">
      <c r="G945" s="100"/>
    </row>
    <row r="946" spans="7:7" hidden="1" x14ac:dyDescent="0.3">
      <c r="G946" s="100"/>
    </row>
    <row r="947" spans="7:7" hidden="1" x14ac:dyDescent="0.3">
      <c r="G947" s="100"/>
    </row>
    <row r="948" spans="7:7" ht="14.4" hidden="1" thickBot="1" x14ac:dyDescent="0.35">
      <c r="G948" s="111"/>
    </row>
    <row r="949" spans="7:7" x14ac:dyDescent="0.3"/>
    <row r="950" spans="7:7" x14ac:dyDescent="0.3"/>
    <row r="951" spans="7:7" x14ac:dyDescent="0.3"/>
    <row r="952" spans="7:7" x14ac:dyDescent="0.3"/>
    <row r="953" spans="7:7" x14ac:dyDescent="0.3"/>
    <row r="954" spans="7:7" x14ac:dyDescent="0.3"/>
    <row r="955" spans="7:7" x14ac:dyDescent="0.3"/>
    <row r="956" spans="7:7" x14ac:dyDescent="0.3"/>
    <row r="957" spans="7:7" x14ac:dyDescent="0.3"/>
  </sheetData>
  <sheetProtection algorithmName="SHA-512" hashValue="05iiTvzBL4HWEmFTuccuqfcM8bFfM4U7vpbFjUI/WDgQCz9AnT35iWG+z/sW8WXfECzebmR1XOXdYcqnz1GJmw==" saltValue="/FnhbRwqMQnxWU7Y6+aLaw==" spinCount="100000" sheet="1" objects="1" scenarios="1"/>
  <mergeCells count="2">
    <mergeCell ref="A1:P1"/>
    <mergeCell ref="D2:P2"/>
  </mergeCells>
  <phoneticPr fontId="6" type="noConversion"/>
  <dataValidations count="1">
    <dataValidation type="list" allowBlank="1" showInputMessage="1" showErrorMessage="1" sqref="D5:D499 D501:D504" xr:uid="{00000000-0002-0000-0100-000000000000}">
      <formula1>INDIRECT($B5)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3000000}">
          <x14:formula1>
            <xm:f>'Report Inputs'!$A$1:$A$11</xm:f>
          </x14:formula1>
          <xm:sqref>G500:G508</xm:sqref>
        </x14:dataValidation>
        <x14:dataValidation type="list" allowBlank="1" showInputMessage="1" showErrorMessage="1" xr:uid="{00000000-0002-0000-0100-000004000000}">
          <x14:formula1>
            <xm:f>'Report Inputs'!$F$1:$F$2</xm:f>
          </x14:formula1>
          <xm:sqref>H5:H1048576</xm:sqref>
        </x14:dataValidation>
        <x14:dataValidation type="list" allowBlank="1" showInputMessage="1" showErrorMessage="1" xr:uid="{00000000-0002-0000-0100-000005000000}">
          <x14:formula1>
            <xm:f>'Report Inputs'!$H$1:$H$15</xm:f>
          </x14:formula1>
          <xm:sqref>F5:F1048576</xm:sqref>
        </x14:dataValidation>
        <x14:dataValidation type="list" allowBlank="1" showInputMessage="1" showErrorMessage="1" xr:uid="{450E9BDA-3F59-420F-ADEA-E3685C77D2F0}">
          <x14:formula1>
            <xm:f>'Report Inputs'!$A$1:$A$17</xm:f>
          </x14:formula1>
          <xm:sqref>G5:G499</xm:sqref>
        </x14:dataValidation>
        <x14:dataValidation type="list" allowBlank="1" showInputMessage="1" showErrorMessage="1" xr:uid="{1229DC75-1144-4E1E-952D-9CE7E8BC3AE4}">
          <x14:formula1>
            <xm:f>IF(H5="State",'Report Inputs'!$D$1:$D$4,'Report Inputs'!$C$1:$C$5)</xm:f>
          </x14:formula1>
          <xm:sqref>J5:J499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9094E-9E43-4FDF-BD3C-EF014322BB79}">
  <dimension ref="A1:Q197"/>
  <sheetViews>
    <sheetView topLeftCell="C90" zoomScale="70" zoomScaleNormal="70" workbookViewId="0">
      <selection activeCell="D76" sqref="D76"/>
    </sheetView>
  </sheetViews>
  <sheetFormatPr defaultColWidth="8.88671875" defaultRowHeight="14.4" x14ac:dyDescent="0.3"/>
  <cols>
    <col min="1" max="1" width="16.88671875" style="42" customWidth="1"/>
    <col min="2" max="2" width="2.88671875" style="42" bestFit="1" customWidth="1"/>
    <col min="3" max="3" width="47.88671875" style="42" customWidth="1"/>
    <col min="4" max="4" width="85.109375" style="42" customWidth="1"/>
    <col min="5" max="5" width="85" style="42" customWidth="1"/>
    <col min="6" max="6" width="85.44140625" style="42" customWidth="1"/>
    <col min="7" max="7" width="85.109375" style="42" customWidth="1"/>
    <col min="8" max="8" width="85" style="42" customWidth="1"/>
    <col min="9" max="11" width="85.109375" style="42" customWidth="1"/>
    <col min="12" max="14" width="85.44140625" style="42" customWidth="1"/>
    <col min="15" max="15" width="85.109375" style="42" customWidth="1"/>
    <col min="16" max="16" width="24.109375" style="42" customWidth="1"/>
    <col min="17" max="17" width="12" style="43" customWidth="1"/>
    <col min="18" max="16384" width="8.88671875" style="43"/>
  </cols>
  <sheetData>
    <row r="1" spans="1:16" ht="15" thickBot="1" x14ac:dyDescent="0.35">
      <c r="A1" s="191" t="str">
        <f>'[1]AFR Expenditure Detail'!A1:H1</f>
        <v xml:space="preserve">ESSA Application for School Improvement (EASI) 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3"/>
    </row>
    <row r="2" spans="1:16" ht="15" thickBot="1" x14ac:dyDescent="0.35">
      <c r="A2" s="194" t="s">
        <v>6541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6"/>
    </row>
    <row r="3" spans="1:16" ht="15" thickBot="1" x14ac:dyDescent="0.35">
      <c r="A3" s="197">
        <f>'Cover Page'!C5</f>
        <v>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6"/>
    </row>
    <row r="4" spans="1:16" ht="15" thickBot="1" x14ac:dyDescent="0.35">
      <c r="A4" s="198">
        <f>'Cover Page'!C10</f>
        <v>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00"/>
    </row>
    <row r="5" spans="1:16" ht="15" thickBot="1" x14ac:dyDescent="0.35">
      <c r="A5" s="44"/>
      <c r="B5" s="196" t="s">
        <v>6542</v>
      </c>
      <c r="C5" s="190"/>
      <c r="D5" s="46" t="s">
        <v>6236</v>
      </c>
      <c r="E5" s="46" t="s">
        <v>6567</v>
      </c>
      <c r="F5" s="46" t="s">
        <v>6234</v>
      </c>
      <c r="G5" s="46" t="s">
        <v>6568</v>
      </c>
      <c r="H5" s="46" t="s">
        <v>6233</v>
      </c>
      <c r="I5" s="46" t="s">
        <v>6573</v>
      </c>
      <c r="J5" s="46" t="s">
        <v>6468</v>
      </c>
      <c r="K5" s="46" t="s">
        <v>6569</v>
      </c>
      <c r="L5" s="46" t="s">
        <v>6235</v>
      </c>
      <c r="M5" s="46" t="s">
        <v>6570</v>
      </c>
      <c r="N5" s="46" t="s">
        <v>6571</v>
      </c>
      <c r="O5" s="46" t="s">
        <v>6241</v>
      </c>
      <c r="P5" s="45" t="s">
        <v>6517</v>
      </c>
    </row>
    <row r="6" spans="1:16" ht="15" thickBot="1" x14ac:dyDescent="0.35">
      <c r="A6" s="187" t="s">
        <v>6562</v>
      </c>
      <c r="B6" s="190" t="s">
        <v>6543</v>
      </c>
      <c r="C6" s="190"/>
      <c r="D6" s="45" t="s">
        <v>6544</v>
      </c>
      <c r="E6" s="45" t="s">
        <v>6544</v>
      </c>
      <c r="F6" s="45" t="s">
        <v>6544</v>
      </c>
      <c r="G6" s="45" t="s">
        <v>6544</v>
      </c>
      <c r="H6" s="45" t="s">
        <v>6544</v>
      </c>
      <c r="I6" s="45" t="s">
        <v>6544</v>
      </c>
      <c r="J6" s="45" t="s">
        <v>6544</v>
      </c>
      <c r="K6" s="45" t="s">
        <v>6544</v>
      </c>
      <c r="L6" s="45" t="s">
        <v>6544</v>
      </c>
      <c r="M6" s="45" t="s">
        <v>6544</v>
      </c>
      <c r="N6" s="45" t="s">
        <v>6544</v>
      </c>
      <c r="O6" s="45" t="s">
        <v>6544</v>
      </c>
      <c r="P6" s="45" t="s">
        <v>6544</v>
      </c>
    </row>
    <row r="7" spans="1:16" x14ac:dyDescent="0.3">
      <c r="A7" s="188"/>
      <c r="B7" s="47">
        <v>1</v>
      </c>
      <c r="C7" s="48" t="s">
        <v>6545</v>
      </c>
      <c r="D7" s="49" cm="1">
        <f t="array" ref="D7">+SUM(IF(LEFT('EASI AFR Detail'!$F$5:$F$699,3)&amp;RIGHT('EASI AFR Detail'!$F$5:$F$699,5)&amp;LEFT('EASI AFR Detail'!$G$5:$G$699,4)&amp;RIGHT('EASI AFR Detail'!$J$5:$J$699,8)="ins0100)Acco4 (5010)",'EASI AFR Detail'!$O$5:$O$699))</f>
        <v>0</v>
      </c>
      <c r="E7" s="49" cm="1">
        <f t="array" ref="E7">+SUM(IF(LEFT('EASI AFR Detail'!$F$5:$F$699,3)&amp;RIGHT('EASI AFR Detail'!$F$5:$F$699,5)&amp;LEFT('EASI AFR Detail'!$G$5:$G$699,4)&amp;RIGHT('EASI AFR Detail'!$J$5:$J$699,8)="ins0100)Colo4 (5010)",'EASI AFR Detail'!$O$5:$O$699))</f>
        <v>0</v>
      </c>
      <c r="F7" s="49" cm="1">
        <f t="array" ref="F7">+SUM(IF(LEFT('EASI AFR Detail'!$F$5:$F$699,3)&amp;RIGHT('EASI AFR Detail'!$F$5:$F$699,5)&amp;LEFT('EASI AFR Detail'!$G$5:$G$699,4)&amp;RIGHT('EASI AFR Detail'!$J$5:$J$699,8)="ins0100)Conn4 (5010)",'EASI AFR Detail'!$O$5:$O$699))</f>
        <v>0</v>
      </c>
      <c r="G7" s="49" cm="1">
        <f t="array" ref="G7">+SUM(IF(LEFT('EASI AFR Detail'!$F$5:$F$699,3)&amp;RIGHT('EASI AFR Detail'!$F$5:$F$699,5)&amp;LEFT('EASI AFR Detail'!$G$5:$G$699,12)&amp;RIGHT('EASI AFR Detail'!$J$5:$J$699,8)="ins0100)Diagnostic a4 (5010)",'EASI AFR Detail'!$O$5:$O$699))</f>
        <v>0</v>
      </c>
      <c r="H7" s="49" cm="1">
        <f t="array" ref="H7">+SUM(IF(LEFT('EASI AFR Detail'!$F$5:$F$699,3)&amp;RIGHT('EASI AFR Detail'!$F$5:$F$699,5)&amp;LEFT('EASI AFR Detail'!$G$5:$G$699,10)&amp;RIGHT('EASI AFR Detail'!$J$5:$J$699,8)="ins0100)District D4 (5010)",'EASI AFR Detail'!$O$5:$O$699))</f>
        <v>0</v>
      </c>
      <c r="I7" s="49" cm="1">
        <f t="array" ref="I7">+SUM(IF(LEFT('EASI AFR Detail'!$F$5:$F$699,3)&amp;RIGHT('EASI AFR Detail'!$F$5:$F$699,5)&amp;LEFT('EASI AFR Detail'!$G$5:$G$699,10)&amp;RIGHT('EASI AFR Detail'!$J$5:$J$699,8)="ins0100)District S4 (5010)",'EASI AFR Detail'!$O$5:$O$699))</f>
        <v>0</v>
      </c>
      <c r="J7" s="49" cm="1">
        <f t="array" ref="J7">+SUM(IF(LEFT('EASI AFR Detail'!$F$5:$F$699,3)&amp;RIGHT('EASI AFR Detail'!$F$5:$F$699,5)&amp;LEFT('EASI AFR Detail'!$G$5:$G$699,4)&amp;RIGHT('EASI AFR Detail'!$J$5:$J$699,8)="ins0100)Expl4 (5010)",'EASI AFR Detail'!$O$5:$O$699))</f>
        <v>0</v>
      </c>
      <c r="K7" s="49" cm="1">
        <f t="array" ref="K7">+SUM(IF(LEFT('EASI AFR Detail'!$F$5:$F$699,3)&amp;RIGHT('EASI AFR Detail'!$F$5:$F$699,5)&amp;LEFT('EASI AFR Detail'!$G$5:$G$699,4)&amp;RIGHT('EASI AFR Detail'!$J$5:$J$699,8)="ins0100)Faci4 (5010)",'EASI AFR Detail'!$O$5:$O$699))</f>
        <v>0</v>
      </c>
      <c r="L7" s="49" cm="1">
        <f t="array" ref="L7">+SUM(IF(LEFT('EASI AFR Detail'!$F$5:$F$699,3)&amp;RIGHT('EASI AFR Detail'!$F$5:$F$699,5)&amp;LEFT('EASI AFR Detail'!$G$5:$G$699,4)&amp;RIGHT('EASI AFR Detail'!$J$5:$J$699,8)="ins0100)MTSS4 (5010)",'EASI AFR Detail'!$O$5:$O$699))</f>
        <v>0</v>
      </c>
      <c r="M7" s="49" cm="1">
        <f t="array" ref="M7">+SUM(IF(LEFT('EASI AFR Detail'!$F$5:$F$699,3)&amp;RIGHT('EASI AFR Detail'!$F$5:$F$699,5)&amp;LEFT('EASI AFR Detail'!$G$5:$G$699,4)&amp;RIGHT('EASI AFR Detail'!$J$5:$J$699,8)="ins0100)Rigo4 (5010)",'EASI AFR Detail'!$O$5:$O$699))</f>
        <v>0</v>
      </c>
      <c r="N7" s="49" cm="1">
        <f t="array" ref="N7">+SUM(IF(LEFT('EASI AFR Detail'!$F$5:$F$699,3)&amp;RIGHT('EASI AFR Detail'!$F$5:$F$699,5)&amp;LEFT('EASI AFR Detail'!$G$5:$G$699,9)&amp;RIGHT('EASI AFR Detail'!$J$5:$J$699,8)="ins0100)School Tr4 (5010)",'EASI AFR Detail'!$O$5:$O$699))</f>
        <v>0</v>
      </c>
      <c r="O7" s="49" cm="1">
        <f t="array" ref="O7">+SUM(IF(LEFT('EASI AFR Detail'!$F$5:$F$699,3)&amp;RIGHT('EASI AFR Detail'!$F$5:$F$699,5)&amp;LEFT('EASI AFR Detail'!$G$5:$G$699,9)&amp;RIGHT('EASI AFR Detail'!$J$5:$J$699,8)="ins0100)School Tu4 (5010)",'EASI AFR Detail'!$O$5:$O$699))</f>
        <v>0</v>
      </c>
      <c r="P7" s="50">
        <f t="shared" ref="P7:P12" si="0">SUM(D7:O7)</f>
        <v>0</v>
      </c>
    </row>
    <row r="8" spans="1:16" x14ac:dyDescent="0.3">
      <c r="A8" s="188"/>
      <c r="B8" s="51">
        <v>2</v>
      </c>
      <c r="C8" s="52" t="s">
        <v>6546</v>
      </c>
      <c r="D8" s="49">
        <f t="array" ref="D8">+SUM(IF(LEFT('EASI AFR Detail'!$F$5:$F$699,3)&amp;RIGHT('EASI AFR Detail'!$F$5:$F$699,5)&amp;LEFT('EASI AFR Detail'!$G$5:$G$699,4)&amp;RIGHT('EASI AFR Detail'!$J$5:$J$699,8)="ins0200)Acco4 (5010)",'EASI AFR Detail'!$O$5:$O$699))</f>
        <v>0</v>
      </c>
      <c r="E8" s="49" cm="1">
        <f t="array" ref="E8">+SUM(IF(LEFT('EASI AFR Detail'!$F$5:$F$699,3)&amp;RIGHT('EASI AFR Detail'!$F$5:$F$699,5)&amp;LEFT('EASI AFR Detail'!$G$5:$G$699,4)&amp;RIGHT('EASI AFR Detail'!$J$5:$J$699,8)="ins0200)Colo4 (5010)",'EASI AFR Detail'!$O$5:$O$699))</f>
        <v>0</v>
      </c>
      <c r="F8" s="49">
        <f t="array" ref="F8">+SUM(IF(LEFT('EASI AFR Detail'!$F$5:$F$699,3)&amp;RIGHT('EASI AFR Detail'!$F$5:$F$699,5)&amp;LEFT('EASI AFR Detail'!$G$5:$G$699,4)&amp;RIGHT('EASI AFR Detail'!$J$5:$J$699,8)="ins0200)Conn4 (5010)",'EASI AFR Detail'!$O$5:$O$699))</f>
        <v>0</v>
      </c>
      <c r="G8" s="49">
        <f t="array" ref="G8">+SUM(IF(LEFT('EASI AFR Detail'!$F$5:$F$699,3)&amp;RIGHT('EASI AFR Detail'!$F$5:$F$699,5)&amp;LEFT('EASI AFR Detail'!$G$5:$G$699,12)&amp;RIGHT('EASI AFR Detail'!$J$5:$J$699,8)="ins0200)Diagnostic a4 (5010)",'EASI AFR Detail'!$O$5:$O$699))</f>
        <v>0</v>
      </c>
      <c r="H8" s="49">
        <f t="array" ref="H8">+SUM(IF(LEFT('EASI AFR Detail'!$F$5:$F$699,3)&amp;RIGHT('EASI AFR Detail'!$F$5:$F$699,5)&amp;LEFT('EASI AFR Detail'!$G$5:$G$699,10)&amp;RIGHT('EASI AFR Detail'!$J$5:$J$699,8)="ins0200)District D4 (5010)",'EASI AFR Detail'!$O$5:$O$699))</f>
        <v>0</v>
      </c>
      <c r="I8" s="49">
        <f t="array" ref="I8">+SUM(IF(LEFT('EASI AFR Detail'!$F$5:$F$699,3)&amp;RIGHT('EASI AFR Detail'!$F$5:$F$699,5)&amp;LEFT('EASI AFR Detail'!$G$5:$G$699,10)&amp;RIGHT('EASI AFR Detail'!$J$5:$J$699,8)="ins0200)District S4 (5010)",'EASI AFR Detail'!$O$5:$O$699))</f>
        <v>0</v>
      </c>
      <c r="J8" s="49">
        <f t="array" ref="J8">+SUM(IF(LEFT('EASI AFR Detail'!$F$5:$F$699,3)&amp;RIGHT('EASI AFR Detail'!$F$5:$F$699,5)&amp;LEFT('EASI AFR Detail'!$G$5:$G$699,4)&amp;RIGHT('EASI AFR Detail'!$J$5:$J$699,8)="ins0200)Expl4 (5010)",'EASI AFR Detail'!$O$5:$O$699))</f>
        <v>0</v>
      </c>
      <c r="K8" s="49">
        <f t="array" ref="K8">+SUM(IF(LEFT('EASI AFR Detail'!$F$5:$F$699,3)&amp;RIGHT('EASI AFR Detail'!$F$5:$F$699,5)&amp;LEFT('EASI AFR Detail'!$G$5:$G$699,4)&amp;RIGHT('EASI AFR Detail'!$J$5:$J$699,8)="ins0200)Faci4 (5010)",'EASI AFR Detail'!$O$5:$O$699))</f>
        <v>0</v>
      </c>
      <c r="L8" s="49">
        <f t="array" ref="L8">+SUM(IF(LEFT('EASI AFR Detail'!$F$5:$F$699,3)&amp;RIGHT('EASI AFR Detail'!$F$5:$F$699,5)&amp;LEFT('EASI AFR Detail'!$G$5:$G$699,4)&amp;RIGHT('EASI AFR Detail'!$J$5:$J$699,8)="ins0200)MTSS4 (5010)",'EASI AFR Detail'!$O$5:$O$699))</f>
        <v>0</v>
      </c>
      <c r="M8" s="49">
        <f t="array" ref="M8">+SUM(IF(LEFT('EASI AFR Detail'!$F$5:$F$699,3)&amp;RIGHT('EASI AFR Detail'!$F$5:$F$699,5)&amp;LEFT('EASI AFR Detail'!$G$5:$G$699,4)&amp;RIGHT('EASI AFR Detail'!$J$5:$J$699,8)="ins0200)Rigo4 (5010)",'EASI AFR Detail'!$O$5:$O$699))</f>
        <v>0</v>
      </c>
      <c r="N8" s="49">
        <f t="array" ref="N8">+SUM(IF(LEFT('EASI AFR Detail'!$F$5:$F$699,3)&amp;RIGHT('EASI AFR Detail'!$F$5:$F$699,5)&amp;LEFT('EASI AFR Detail'!$G$5:$G$699,9)&amp;RIGHT('EASI AFR Detail'!$J$5:$J$699,8)="ins0200)School Tr4 (5010)",'EASI AFR Detail'!$O$5:$O$699))</f>
        <v>0</v>
      </c>
      <c r="O8" s="49">
        <f t="array" ref="O8">+SUM(IF(LEFT('EASI AFR Detail'!$F$5:$F$699,3)&amp;RIGHT('EASI AFR Detail'!$F$5:$F$699,5)&amp;LEFT('EASI AFR Detail'!$G$5:$G$699,9)&amp;RIGHT('EASI AFR Detail'!$J$5:$J$699,8)="ins0200)School Tu4 (5010)",'EASI AFR Detail'!$O$5:$O$699))</f>
        <v>0</v>
      </c>
      <c r="P8" s="53">
        <f t="shared" si="0"/>
        <v>0</v>
      </c>
    </row>
    <row r="9" spans="1:16" x14ac:dyDescent="0.3">
      <c r="A9" s="188"/>
      <c r="B9" s="51">
        <v>3</v>
      </c>
      <c r="C9" s="52" t="s">
        <v>6547</v>
      </c>
      <c r="D9" s="49">
        <f t="array" ref="D9">+SUM(IF(LEFT('EASI AFR Detail'!$F$5:$F$699,3)&amp;RIGHT('EASI AFR Detail'!$F$5:$F$699,5)&amp;LEFT('EASI AFR Detail'!$G$5:$G$699,4)&amp;RIGHT('EASI AFR Detail'!$J$5:$J$699,8)="ins0300)Acco4 (5010)",'EASI AFR Detail'!$O$5:$O$699))</f>
        <v>0</v>
      </c>
      <c r="E9" s="49" cm="1">
        <f t="array" ref="E9">+SUM(IF(LEFT('EASI AFR Detail'!$F$5:$F$699,3)&amp;RIGHT('EASI AFR Detail'!$F$5:$F$699,5)&amp;LEFT('EASI AFR Detail'!$G$5:$G$699,4)&amp;RIGHT('EASI AFR Detail'!$J$5:$J$699,8)="ins0300)Colo4 (5010)",'EASI AFR Detail'!$O$5:$O$699))</f>
        <v>0</v>
      </c>
      <c r="F9" s="49">
        <f t="array" ref="F9">+SUM(IF(LEFT('EASI AFR Detail'!$F$5:$F$699,3)&amp;RIGHT('EASI AFR Detail'!$F$5:$F$699,5)&amp;LEFT('EASI AFR Detail'!$G$5:$G$699,4)&amp;RIGHT('EASI AFR Detail'!$J$5:$J$699,8)="ins0300)Conn4 (5010)",'EASI AFR Detail'!$O$5:$O$699))</f>
        <v>0</v>
      </c>
      <c r="G9" s="49">
        <f t="array" ref="G9">+SUM(IF(LEFT('EASI AFR Detail'!$F$5:$F$699,3)&amp;RIGHT('EASI AFR Detail'!$F$5:$F$699,5)&amp;LEFT('EASI AFR Detail'!$G$5:$G$699,12)&amp;RIGHT('EASI AFR Detail'!$J$5:$J$699,8)="ins0300)Diagnostic a4 (5010)",'EASI AFR Detail'!$O$5:$O$699))</f>
        <v>0</v>
      </c>
      <c r="H9" s="49">
        <f t="array" ref="H9">+SUM(IF(LEFT('EASI AFR Detail'!$F$5:$F$699,3)&amp;RIGHT('EASI AFR Detail'!$F$5:$F$699,5)&amp;LEFT('EASI AFR Detail'!$G$5:$G$699,10)&amp;RIGHT('EASI AFR Detail'!$J$5:$J$699,8)="ins0300)District D4 (5010)",'EASI AFR Detail'!$O$5:$O$699))</f>
        <v>0</v>
      </c>
      <c r="I9" s="49">
        <f t="array" ref="I9">+SUM(IF(LEFT('EASI AFR Detail'!$F$5:$F$699,3)&amp;RIGHT('EASI AFR Detail'!$F$5:$F$699,5)&amp;LEFT('EASI AFR Detail'!$G$5:$G$699,10)&amp;RIGHT('EASI AFR Detail'!$J$5:$J$699,8)="ins0300)District S4 (5010)",'EASI AFR Detail'!$O$5:$O$699))</f>
        <v>0</v>
      </c>
      <c r="J9" s="49">
        <f t="array" ref="J9">+SUM(IF(LEFT('EASI AFR Detail'!$F$5:$F$699,3)&amp;RIGHT('EASI AFR Detail'!$F$5:$F$699,5)&amp;LEFT('EASI AFR Detail'!$G$5:$G$699,4)&amp;RIGHT('EASI AFR Detail'!$J$5:$J$699,8)="ins0300)Expl4 (5010)",'EASI AFR Detail'!$O$5:$O$699))</f>
        <v>0</v>
      </c>
      <c r="K9" s="49">
        <f t="array" ref="K9">+SUM(IF(LEFT('EASI AFR Detail'!$F$5:$F$699,3)&amp;RIGHT('EASI AFR Detail'!$F$5:$F$699,5)&amp;LEFT('EASI AFR Detail'!$G$5:$G$699,4)&amp;RIGHT('EASI AFR Detail'!$J$5:$J$699,8)="ins0300)Faci4 (5010)",'EASI AFR Detail'!$O$5:$O$699))</f>
        <v>0</v>
      </c>
      <c r="L9" s="49">
        <f t="array" ref="L9">+SUM(IF(LEFT('EASI AFR Detail'!$F$5:$F$699,3)&amp;RIGHT('EASI AFR Detail'!$F$5:$F$699,5)&amp;LEFT('EASI AFR Detail'!$G$5:$G$699,4)&amp;RIGHT('EASI AFR Detail'!$J$5:$J$699,8)="ins0300)MTSS4 (5010)",'EASI AFR Detail'!$O$5:$O$699))</f>
        <v>0</v>
      </c>
      <c r="M9" s="49">
        <f t="array" ref="M9">+SUM(IF(LEFT('EASI AFR Detail'!$F$5:$F$699,3)&amp;RIGHT('EASI AFR Detail'!$F$5:$F$699,5)&amp;LEFT('EASI AFR Detail'!$G$5:$G$699,4)&amp;RIGHT('EASI AFR Detail'!$J$5:$J$699,8)="ins0300)Rigo4 (5010)",'EASI AFR Detail'!$O$5:$O$699))</f>
        <v>0</v>
      </c>
      <c r="N9" s="49">
        <f t="array" ref="N9">+SUM(IF(LEFT('EASI AFR Detail'!$F$5:$F$699,3)&amp;RIGHT('EASI AFR Detail'!$F$5:$F$699,5)&amp;LEFT('EASI AFR Detail'!$G$5:$G$699,9)&amp;RIGHT('EASI AFR Detail'!$J$5:$J$699,8)="ins0300)School Tr4 (5010)",'EASI AFR Detail'!$O$5:$O$699))</f>
        <v>0</v>
      </c>
      <c r="O9" s="49">
        <f t="array" ref="O9">+SUM(IF(LEFT('EASI AFR Detail'!$F$5:$F$699,3)&amp;RIGHT('EASI AFR Detail'!$F$5:$F$699,5)&amp;LEFT('EASI AFR Detail'!$G$5:$G$699,9)&amp;RIGHT('EASI AFR Detail'!$J$5:$J$699,8)="ins0300)School Tu4 (5010)",'EASI AFR Detail'!$O$5:$O$699))</f>
        <v>0</v>
      </c>
      <c r="P9" s="53">
        <f t="shared" si="0"/>
        <v>0</v>
      </c>
    </row>
    <row r="10" spans="1:16" x14ac:dyDescent="0.3">
      <c r="A10" s="188"/>
      <c r="B10" s="51">
        <v>4</v>
      </c>
      <c r="C10" s="52" t="s">
        <v>6548</v>
      </c>
      <c r="D10" s="49">
        <f t="array" ref="D10">+SUM(IF(LEFT('EASI AFR Detail'!$F$5:$F$699,3)&amp;RIGHT('EASI AFR Detail'!$F$5:$F$699,5)&amp;LEFT('EASI AFR Detail'!$G$5:$G$699,4)&amp;RIGHT('EASI AFR Detail'!$J$5:$J$699,8)="ins0500)Acco4 (5010)",'EASI AFR Detail'!$O$5:$O$699))</f>
        <v>0</v>
      </c>
      <c r="E10" s="49" cm="1">
        <f t="array" ref="E10">+SUM(IF(LEFT('EASI AFR Detail'!$F$5:$F$699,3)&amp;RIGHT('EASI AFR Detail'!$F$5:$F$699,5)&amp;LEFT('EASI AFR Detail'!$G$5:$G$699,4)&amp;RIGHT('EASI AFR Detail'!$J$5:$J$699,8)="ins0500)Colo4 (5010)",'EASI AFR Detail'!$O$5:$O$699))</f>
        <v>0</v>
      </c>
      <c r="F10" s="49">
        <f t="array" ref="F10">+SUM(IF(LEFT('EASI AFR Detail'!$F$5:$F$699,3)&amp;RIGHT('EASI AFR Detail'!$F$5:$F$699,5)&amp;LEFT('EASI AFR Detail'!$G$5:$G$699,4)&amp;RIGHT('EASI AFR Detail'!$J$5:$J$699,8)="ins0500)Conn4 (5010)",'EASI AFR Detail'!$O$5:$O$699))</f>
        <v>0</v>
      </c>
      <c r="G10" s="49">
        <f t="array" ref="G10">+SUM(IF(LEFT('EASI AFR Detail'!$F$5:$F$699,3)&amp;RIGHT('EASI AFR Detail'!$F$5:$F$699,5)&amp;LEFT('EASI AFR Detail'!$G$5:$G$699,12)&amp;RIGHT('EASI AFR Detail'!$J$5:$J$699,8)="ins0500)Diagnostic a4 (5010)",'EASI AFR Detail'!$O$5:$O$699))</f>
        <v>0</v>
      </c>
      <c r="H10" s="49">
        <f t="array" ref="H10">+SUM(IF(LEFT('EASI AFR Detail'!$F$5:$F$699,3)&amp;RIGHT('EASI AFR Detail'!$F$5:$F$699,5)&amp;LEFT('EASI AFR Detail'!$G$5:$G$699,10)&amp;RIGHT('EASI AFR Detail'!$J$5:$J$699,8)="ins0500)District D4 (5010)",'EASI AFR Detail'!$O$5:$O$699))</f>
        <v>0</v>
      </c>
      <c r="I10" s="49">
        <f t="array" ref="I10">+SUM(IF(LEFT('EASI AFR Detail'!$F$5:$F$699,3)&amp;RIGHT('EASI AFR Detail'!$F$5:$F$699,5)&amp;LEFT('EASI AFR Detail'!$G$5:$G$699,10)&amp;RIGHT('EASI AFR Detail'!$J$5:$J$699,8)="ins0500)District S4 (5010)",'EASI AFR Detail'!$O$5:$O$699))</f>
        <v>0</v>
      </c>
      <c r="J10" s="49">
        <f t="array" ref="J10">+SUM(IF(LEFT('EASI AFR Detail'!$F$5:$F$699,3)&amp;RIGHT('EASI AFR Detail'!$F$5:$F$699,5)&amp;LEFT('EASI AFR Detail'!$G$5:$G$699,4)&amp;RIGHT('EASI AFR Detail'!$J$5:$J$699,8)="ins0500)Expl4 (5010)",'EASI AFR Detail'!$O$5:$O$699))</f>
        <v>0</v>
      </c>
      <c r="K10" s="49">
        <f t="array" ref="K10">+SUM(IF(LEFT('EASI AFR Detail'!$F$5:$F$699,3)&amp;RIGHT('EASI AFR Detail'!$F$5:$F$699,5)&amp;LEFT('EASI AFR Detail'!$G$5:$G$699,4)&amp;RIGHT('EASI AFR Detail'!$J$5:$J$699,8)="ins0500)Faci4 (5010)",'EASI AFR Detail'!$O$5:$O$699))</f>
        <v>0</v>
      </c>
      <c r="L10" s="49">
        <f t="array" ref="L10">+SUM(IF(LEFT('EASI AFR Detail'!$F$5:$F$699,3)&amp;RIGHT('EASI AFR Detail'!$F$5:$F$699,5)&amp;LEFT('EASI AFR Detail'!$G$5:$G$699,4)&amp;RIGHT('EASI AFR Detail'!$J$5:$J$699,8)="ins0500)MTSS4 (5010)",'EASI AFR Detail'!$O$5:$O$699))</f>
        <v>0</v>
      </c>
      <c r="M10" s="49">
        <f t="array" ref="M10">+SUM(IF(LEFT('EASI AFR Detail'!$F$5:$F$699,3)&amp;RIGHT('EASI AFR Detail'!$F$5:$F$699,5)&amp;LEFT('EASI AFR Detail'!$G$5:$G$699,4)&amp;RIGHT('EASI AFR Detail'!$J$5:$J$699,8)="ins0500)Rigo4 (5010)",'EASI AFR Detail'!$O$5:$O$699))</f>
        <v>0</v>
      </c>
      <c r="N10" s="49">
        <f t="array" ref="N10">+SUM(IF(LEFT('EASI AFR Detail'!$F$5:$F$699,3)&amp;RIGHT('EASI AFR Detail'!$F$5:$F$699,5)&amp;LEFT('EASI AFR Detail'!$G$5:$G$699,9)&amp;RIGHT('EASI AFR Detail'!$J$5:$J$699,8)="ins0500)School Tr4 (5010)",'EASI AFR Detail'!$O$5:$O$699))</f>
        <v>0</v>
      </c>
      <c r="O10" s="49">
        <f t="array" ref="O10">+SUM(IF(LEFT('EASI AFR Detail'!$F$5:$F$699,3)&amp;RIGHT('EASI AFR Detail'!$F$5:$F$699,5)&amp;LEFT('EASI AFR Detail'!$G$5:$G$699,9)&amp;RIGHT('EASI AFR Detail'!$J$5:$J$699,8)="ins0500)School Tu4 (5010)",'EASI AFR Detail'!$O$5:$O$699))</f>
        <v>0</v>
      </c>
      <c r="P10" s="53">
        <f t="shared" si="0"/>
        <v>0</v>
      </c>
    </row>
    <row r="11" spans="1:16" x14ac:dyDescent="0.3">
      <c r="A11" s="188"/>
      <c r="B11" s="51">
        <v>5</v>
      </c>
      <c r="C11" s="52" t="s">
        <v>6549</v>
      </c>
      <c r="D11" s="49">
        <f t="array" ref="D11">+SUM(IF(LEFT('EASI AFR Detail'!$F$5:$F$699,3)&amp;RIGHT('EASI AFR Detail'!$F$5:$F$699,5)&amp;LEFT('EASI AFR Detail'!$G$5:$G$699,4)&amp;RIGHT('EASI AFR Detail'!$J$5:$J$699,8)="ins0580)Acco4 (5010)",'EASI AFR Detail'!$O$5:$O$699))</f>
        <v>0</v>
      </c>
      <c r="E11" s="49" cm="1">
        <f t="array" ref="E11">+SUM(IF(LEFT('EASI AFR Detail'!$F$5:$F$699,3)&amp;RIGHT('EASI AFR Detail'!$F$5:$F$699,5)&amp;LEFT('EASI AFR Detail'!$G$5:$G$699,4)&amp;RIGHT('EASI AFR Detail'!$J$5:$J$699,8)="ins0580)Colo4 (5010)",'EASI AFR Detail'!$O$5:$O$699))</f>
        <v>0</v>
      </c>
      <c r="F11" s="49">
        <f t="array" ref="F11">+SUM(IF(LEFT('EASI AFR Detail'!$F$5:$F$699,3)&amp;RIGHT('EASI AFR Detail'!$F$5:$F$699,5)&amp;LEFT('EASI AFR Detail'!$G$5:$G$699,4)&amp;RIGHT('EASI AFR Detail'!$J$5:$J$699,8)="ins0580)Conn4 (5010)",'EASI AFR Detail'!$O$5:$O$699))</f>
        <v>0</v>
      </c>
      <c r="G11" s="49">
        <f t="array" ref="G11">+SUM(IF(LEFT('EASI AFR Detail'!$F$5:$F$699,3)&amp;RIGHT('EASI AFR Detail'!$F$5:$F$699,5)&amp;LEFT('EASI AFR Detail'!$G$5:$G$699,12)&amp;RIGHT('EASI AFR Detail'!$J$5:$J$699,8)="ins0580)Diagnostic a4 (5010)",'EASI AFR Detail'!$O$5:$O$699))</f>
        <v>0</v>
      </c>
      <c r="H11" s="49">
        <f t="array" ref="H11">+SUM(IF(LEFT('EASI AFR Detail'!$F$5:$F$699,3)&amp;RIGHT('EASI AFR Detail'!$F$5:$F$699,5)&amp;LEFT('EASI AFR Detail'!$G$5:$G$699,10)&amp;RIGHT('EASI AFR Detail'!$J$5:$J$699,8)="ins0580)District D4 (5010)",'EASI AFR Detail'!$O$5:$O$699))</f>
        <v>0</v>
      </c>
      <c r="I11" s="49">
        <f t="array" ref="I11">+SUM(IF(LEFT('EASI AFR Detail'!$F$5:$F$699,3)&amp;RIGHT('EASI AFR Detail'!$F$5:$F$699,5)&amp;LEFT('EASI AFR Detail'!$G$5:$G$699,10)&amp;RIGHT('EASI AFR Detail'!$J$5:$J$699,8)="ins0580)District S4 (5010)",'EASI AFR Detail'!$O$5:$O$699))</f>
        <v>0</v>
      </c>
      <c r="J11" s="49">
        <f t="array" ref="J11">+SUM(IF(LEFT('EASI AFR Detail'!$F$5:$F$699,3)&amp;RIGHT('EASI AFR Detail'!$F$5:$F$699,5)&amp;LEFT('EASI AFR Detail'!$G$5:$G$699,4)&amp;RIGHT('EASI AFR Detail'!$J$5:$J$699,8)="ins0580)Expl4 (5010)",'EASI AFR Detail'!$O$5:$O$699))</f>
        <v>0</v>
      </c>
      <c r="K11" s="49">
        <f t="array" ref="K11">+SUM(IF(LEFT('EASI AFR Detail'!$F$5:$F$699,3)&amp;RIGHT('EASI AFR Detail'!$F$5:$F$699,5)&amp;LEFT('EASI AFR Detail'!$G$5:$G$699,4)&amp;RIGHT('EASI AFR Detail'!$J$5:$J$699,8)="ins0580)Faci4 (5010)",'EASI AFR Detail'!$O$5:$O$699))</f>
        <v>0</v>
      </c>
      <c r="L11" s="49">
        <f t="array" ref="L11">+SUM(IF(LEFT('EASI AFR Detail'!$F$5:$F$699,3)&amp;RIGHT('EASI AFR Detail'!$F$5:$F$699,5)&amp;LEFT('EASI AFR Detail'!$G$5:$G$699,4)&amp;RIGHT('EASI AFR Detail'!$J$5:$J$699,8)="ins0580)MTSS4 (5010)",'EASI AFR Detail'!$O$5:$O$699))</f>
        <v>0</v>
      </c>
      <c r="M11" s="49">
        <f t="array" ref="M11">+SUM(IF(LEFT('EASI AFR Detail'!$F$5:$F$699,3)&amp;RIGHT('EASI AFR Detail'!$F$5:$F$699,5)&amp;LEFT('EASI AFR Detail'!$G$5:$G$699,4)&amp;RIGHT('EASI AFR Detail'!$J$5:$J$699,8)="ins0580)Rigo4 (5010)",'EASI AFR Detail'!$O$5:$O$699))</f>
        <v>0</v>
      </c>
      <c r="N11" s="49">
        <f t="array" ref="N11">+SUM(IF(LEFT('EASI AFR Detail'!$F$5:$F$699,3)&amp;RIGHT('EASI AFR Detail'!$F$5:$F$699,5)&amp;LEFT('EASI AFR Detail'!$G$5:$G$699,9)&amp;RIGHT('EASI AFR Detail'!$J$5:$J$699,8)="ins0580)School Tr4 (5010)",'EASI AFR Detail'!$O$5:$O$699))</f>
        <v>0</v>
      </c>
      <c r="O11" s="49">
        <f t="array" ref="O11">+SUM(IF(LEFT('EASI AFR Detail'!$F$5:$F$699,3)&amp;RIGHT('EASI AFR Detail'!$F$5:$F$699,5)&amp;LEFT('EASI AFR Detail'!$G$5:$G$699,9)&amp;RIGHT('EASI AFR Detail'!$J$5:$J$699,8)="ins0580)School Tu4 (5010)",'EASI AFR Detail'!$O$5:$O$699))</f>
        <v>0</v>
      </c>
      <c r="P11" s="53">
        <f t="shared" si="0"/>
        <v>0</v>
      </c>
    </row>
    <row r="12" spans="1:16" x14ac:dyDescent="0.3">
      <c r="A12" s="188"/>
      <c r="B12" s="54">
        <v>6</v>
      </c>
      <c r="C12" s="55" t="s">
        <v>6550</v>
      </c>
      <c r="D12" s="49">
        <f t="array" ref="D12">+SUM(IF(LEFT('EASI AFR Detail'!$F$5:$F$699,3)&amp;RIGHT('EASI AFR Detail'!$F$5:$F$699,5)&amp;LEFT('EASI AFR Detail'!$G$5:$G$699,4)&amp;RIGHT('EASI AFR Detail'!$J$5:$J$699,8)="ins0600)Acco4 (5010)",'EASI AFR Detail'!$O$5:$O$699))</f>
        <v>0</v>
      </c>
      <c r="E12" s="49" cm="1">
        <f t="array" ref="E12">+SUM(IF(LEFT('EASI AFR Detail'!$F$5:$F$699,3)&amp;RIGHT('EASI AFR Detail'!$F$5:$F$699,5)&amp;LEFT('EASI AFR Detail'!$G$5:$G$699,4)&amp;RIGHT('EASI AFR Detail'!$J$5:$J$699,8)="ins0600)Colo4 (5010)",'EASI AFR Detail'!$O$5:$O$699))</f>
        <v>0</v>
      </c>
      <c r="F12" s="49">
        <f t="array" ref="F12">+SUM(IF(LEFT('EASI AFR Detail'!$F$5:$F$699,3)&amp;RIGHT('EASI AFR Detail'!$F$5:$F$699,5)&amp;LEFT('EASI AFR Detail'!$G$5:$G$699,4)&amp;RIGHT('EASI AFR Detail'!$J$5:$J$699,8)="ins0600)Conn4 (5010)",'EASI AFR Detail'!$O$5:$O$699))</f>
        <v>0</v>
      </c>
      <c r="G12" s="49">
        <f t="array" ref="G12">+SUM(IF(LEFT('EASI AFR Detail'!$F$5:$F$699,3)&amp;RIGHT('EASI AFR Detail'!$F$5:$F$699,5)&amp;LEFT('EASI AFR Detail'!$G$5:$G$699,12)&amp;RIGHT('EASI AFR Detail'!$J$5:$J$699,8)="ins0600)Diagnostic a4 (5010)",'EASI AFR Detail'!$O$5:$O$699))</f>
        <v>0</v>
      </c>
      <c r="H12" s="49">
        <f t="array" ref="H12">+SUM(IF(LEFT('EASI AFR Detail'!$F$5:$F$699,3)&amp;RIGHT('EASI AFR Detail'!$F$5:$F$699,5)&amp;LEFT('EASI AFR Detail'!$G$5:$G$699,10)&amp;RIGHT('EASI AFR Detail'!$J$5:$J$699,8)="ins0600)District D4 (5010)",'EASI AFR Detail'!$O$5:$O$699))</f>
        <v>0</v>
      </c>
      <c r="I12" s="49">
        <f t="array" ref="I12">+SUM(IF(LEFT('EASI AFR Detail'!$F$5:$F$699,3)&amp;RIGHT('EASI AFR Detail'!$F$5:$F$699,5)&amp;LEFT('EASI AFR Detail'!$G$5:$G$699,10)&amp;RIGHT('EASI AFR Detail'!$J$5:$J$699,8)="ins0600)District S4 (5010)",'EASI AFR Detail'!$O$5:$O$699))</f>
        <v>0</v>
      </c>
      <c r="J12" s="49">
        <f t="array" ref="J12">+SUM(IF(LEFT('EASI AFR Detail'!$F$5:$F$699,3)&amp;RIGHT('EASI AFR Detail'!$F$5:$F$699,5)&amp;LEFT('EASI AFR Detail'!$G$5:$G$699,4)&amp;RIGHT('EASI AFR Detail'!$J$5:$J$699,8)="ins0600)Expl4 (5010)",'EASI AFR Detail'!$O$5:$O$699))</f>
        <v>0</v>
      </c>
      <c r="K12" s="49">
        <f t="array" ref="K12">+SUM(IF(LEFT('EASI AFR Detail'!$F$5:$F$699,3)&amp;RIGHT('EASI AFR Detail'!$F$5:$F$699,5)&amp;LEFT('EASI AFR Detail'!$G$5:$G$699,4)&amp;RIGHT('EASI AFR Detail'!$J$5:$J$699,8)="ins0600)Faci4 (5010)",'EASI AFR Detail'!$O$5:$O$699))</f>
        <v>0</v>
      </c>
      <c r="L12" s="49">
        <f t="array" ref="L12">+SUM(IF(LEFT('EASI AFR Detail'!$F$5:$F$699,3)&amp;RIGHT('EASI AFR Detail'!$F$5:$F$699,5)&amp;LEFT('EASI AFR Detail'!$G$5:$G$699,4)&amp;RIGHT('EASI AFR Detail'!$J$5:$J$699,8)="ins0600)MTSS4 (5010)",'EASI AFR Detail'!$O$5:$O$699))</f>
        <v>0</v>
      </c>
      <c r="M12" s="49">
        <f t="array" ref="M12">+SUM(IF(LEFT('EASI AFR Detail'!$F$5:$F$699,3)&amp;RIGHT('EASI AFR Detail'!$F$5:$F$699,5)&amp;LEFT('EASI AFR Detail'!$G$5:$G$699,4)&amp;RIGHT('EASI AFR Detail'!$J$5:$J$699,8)="ins0600)Rigo4 (5010)",'EASI AFR Detail'!$O$5:$O$699))</f>
        <v>0</v>
      </c>
      <c r="N12" s="49">
        <f t="array" ref="N12">+SUM(IF(LEFT('EASI AFR Detail'!$F$5:$F$699,3)&amp;RIGHT('EASI AFR Detail'!$F$5:$F$699,5)&amp;LEFT('EASI AFR Detail'!$G$5:$G$699,9)&amp;RIGHT('EASI AFR Detail'!$J$5:$J$699,8)="ins0600)School Tr4 (5010)",'EASI AFR Detail'!$O$5:$O$699))</f>
        <v>0</v>
      </c>
      <c r="O12" s="49">
        <f t="array" ref="O12">+SUM(IF(LEFT('EASI AFR Detail'!$F$5:$F$699,3)&amp;RIGHT('EASI AFR Detail'!$F$5:$F$699,5)&amp;LEFT('EASI AFR Detail'!$G$5:$G$699,9)&amp;RIGHT('EASI AFR Detail'!$J$5:$J$699,8)="ins0600)School Tu4 (5010)",'EASI AFR Detail'!$O$5:$O$699))</f>
        <v>0</v>
      </c>
      <c r="P12" s="53">
        <f t="shared" si="0"/>
        <v>0</v>
      </c>
    </row>
    <row r="13" spans="1:16" ht="15" thickBot="1" x14ac:dyDescent="0.35">
      <c r="A13" s="188"/>
      <c r="B13" s="51">
        <v>7</v>
      </c>
      <c r="C13" s="56" t="s">
        <v>6551</v>
      </c>
      <c r="D13" s="49">
        <f>SUM(D7:D12)</f>
        <v>0</v>
      </c>
      <c r="E13" s="57">
        <f t="shared" ref="E13:P13" si="1">SUM(E7:E12)</f>
        <v>0</v>
      </c>
      <c r="F13" s="57">
        <f t="shared" si="1"/>
        <v>0</v>
      </c>
      <c r="G13" s="57">
        <f t="shared" si="1"/>
        <v>0</v>
      </c>
      <c r="H13" s="57">
        <f t="shared" si="1"/>
        <v>0</v>
      </c>
      <c r="I13" s="57">
        <f t="shared" si="1"/>
        <v>0</v>
      </c>
      <c r="J13" s="57">
        <f t="shared" si="1"/>
        <v>0</v>
      </c>
      <c r="K13" s="57">
        <f t="shared" si="1"/>
        <v>0</v>
      </c>
      <c r="L13" s="57">
        <f t="shared" si="1"/>
        <v>0</v>
      </c>
      <c r="M13" s="57">
        <f t="shared" si="1"/>
        <v>0</v>
      </c>
      <c r="N13" s="57">
        <f t="shared" si="1"/>
        <v>0</v>
      </c>
      <c r="O13" s="57">
        <f t="shared" si="1"/>
        <v>0</v>
      </c>
      <c r="P13" s="53">
        <f t="shared" si="1"/>
        <v>0</v>
      </c>
    </row>
    <row r="14" spans="1:16" ht="15" thickBot="1" x14ac:dyDescent="0.35">
      <c r="A14" s="188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</row>
    <row r="15" spans="1:16" ht="15" thickBot="1" x14ac:dyDescent="0.35">
      <c r="A15" s="188"/>
      <c r="B15" s="190" t="s">
        <v>6552</v>
      </c>
      <c r="C15" s="190"/>
      <c r="D15" s="45" t="s">
        <v>6544</v>
      </c>
      <c r="E15" s="45" t="s">
        <v>6544</v>
      </c>
      <c r="F15" s="45" t="s">
        <v>6544</v>
      </c>
      <c r="G15" s="45" t="s">
        <v>6544</v>
      </c>
      <c r="H15" s="45" t="s">
        <v>6544</v>
      </c>
      <c r="I15" s="45" t="s">
        <v>6544</v>
      </c>
      <c r="J15" s="45" t="s">
        <v>6544</v>
      </c>
      <c r="K15" s="45" t="s">
        <v>6544</v>
      </c>
      <c r="L15" s="45" t="s">
        <v>6544</v>
      </c>
      <c r="M15" s="45" t="s">
        <v>6544</v>
      </c>
      <c r="N15" s="45" t="s">
        <v>6544</v>
      </c>
      <c r="O15" s="45" t="s">
        <v>6544</v>
      </c>
      <c r="P15" s="45" t="s">
        <v>6544</v>
      </c>
    </row>
    <row r="16" spans="1:16" x14ac:dyDescent="0.3">
      <c r="A16" s="188"/>
      <c r="B16" s="61">
        <v>8</v>
      </c>
      <c r="C16" s="62" t="s">
        <v>6545</v>
      </c>
      <c r="D16" s="49">
        <f t="array" ref="D16">+SUM(IF(LEFT('EASI AFR Detail'!$F$5:$F$699,3)&amp;RIGHT('EASI AFR Detail'!$F$5:$F$699,5)&amp;LEFT('EASI AFR Detail'!$G$5:$G$699,4)&amp;RIGHT('EASI AFR Detail'!$J$5:$J$699,8)="sup0100)Acco4 (5010)",'EASI AFR Detail'!$O$5:$O$699))</f>
        <v>0</v>
      </c>
      <c r="E16" s="49" cm="1">
        <f t="array" ref="E16">+SUM(IF(LEFT('EASI AFR Detail'!$F$5:$F$699,3)&amp;RIGHT('EASI AFR Detail'!$F$5:$F$699,5)&amp;LEFT('EASI AFR Detail'!$G$5:$G$699,4)&amp;RIGHT('EASI AFR Detail'!$J$5:$J$699,8)="sup0100)Colo4 (5010)",'EASI AFR Detail'!$O$5:$O$699))</f>
        <v>0</v>
      </c>
      <c r="F16" s="49">
        <f t="array" ref="F16">+SUM(IF(LEFT('EASI AFR Detail'!$F$5:$F$699,3)&amp;RIGHT('EASI AFR Detail'!$F$5:$F$699,5)&amp;LEFT('EASI AFR Detail'!$G$5:$G$699,4)&amp;RIGHT('EASI AFR Detail'!$J$5:$J$699,8)="sup0100)Conn4 (5010)",'EASI AFR Detail'!$O$5:$O$699))</f>
        <v>0</v>
      </c>
      <c r="G16" s="49">
        <f t="array" ref="G16">+SUM(IF(LEFT('EASI AFR Detail'!$F$5:$F$699,3)&amp;RIGHT('EASI AFR Detail'!$F$5:$F$699,5)&amp;LEFT('EASI AFR Detail'!$G$5:$G$699,12)&amp;RIGHT('EASI AFR Detail'!$J$5:$J$699,8)="sup0100)Diagnostic a4 (5010)",'EASI AFR Detail'!$O$5:$O$699))</f>
        <v>0</v>
      </c>
      <c r="H16" s="49">
        <f t="array" ref="H16">+SUM(IF(LEFT('EASI AFR Detail'!$F$5:$F$699,3)&amp;RIGHT('EASI AFR Detail'!$F$5:$F$699,5)&amp;LEFT('EASI AFR Detail'!$G$5:$G$699,10)&amp;RIGHT('EASI AFR Detail'!$J$5:$J$699,8)="sup0100)District D4 (5010)",'EASI AFR Detail'!$O$5:$O$699))</f>
        <v>0</v>
      </c>
      <c r="I16" s="49">
        <f t="array" ref="I16">+SUM(IF(LEFT('EASI AFR Detail'!$F$5:$F$699,3)&amp;RIGHT('EASI AFR Detail'!$F$5:$F$699,5)&amp;LEFT('EASI AFR Detail'!$G$5:$G$699,10)&amp;RIGHT('EASI AFR Detail'!$J$5:$J$699,8)="sup0100)District S4 (5010)",'EASI AFR Detail'!$O$5:$O$699))</f>
        <v>0</v>
      </c>
      <c r="J16" s="49">
        <f t="array" ref="J16">+SUM(IF(LEFT('EASI AFR Detail'!$F$5:$F$699,3)&amp;RIGHT('EASI AFR Detail'!$F$5:$F$699,5)&amp;LEFT('EASI AFR Detail'!$G$5:$G$699,4)&amp;RIGHT('EASI AFR Detail'!$J$5:$J$699,8)="sup0100)Expl4 (5010)",'EASI AFR Detail'!$O$5:$O$699))</f>
        <v>0</v>
      </c>
      <c r="K16" s="49">
        <f t="array" ref="K16">+SUM(IF(LEFT('EASI AFR Detail'!$F$5:$F$699,3)&amp;RIGHT('EASI AFR Detail'!$F$5:$F$699,5)&amp;LEFT('EASI AFR Detail'!$G$5:$G$699,4)&amp;RIGHT('EASI AFR Detail'!$J$5:$J$699,8)="sup0100)Faci4 (5010)",'EASI AFR Detail'!$O$5:$O$699))</f>
        <v>0</v>
      </c>
      <c r="L16" s="49">
        <f t="array" ref="L16">+SUM(IF(LEFT('EASI AFR Detail'!$F$5:$F$699,3)&amp;RIGHT('EASI AFR Detail'!$F$5:$F$699,5)&amp;LEFT('EASI AFR Detail'!$G$5:$G$699,4)&amp;RIGHT('EASI AFR Detail'!$J$5:$J$699,8)="sup0100)MTSS4 (5010)",'EASI AFR Detail'!$O$5:$O$699))</f>
        <v>0</v>
      </c>
      <c r="M16" s="49">
        <f t="array" ref="M16">+SUM(IF(LEFT('EASI AFR Detail'!$F$5:$F$699,3)&amp;RIGHT('EASI AFR Detail'!$F$5:$F$699,5)&amp;LEFT('EASI AFR Detail'!$G$5:$G$699,4)&amp;RIGHT('EASI AFR Detail'!$J$5:$J$699,8)="sup0100)Rigo4 (5010)",'EASI AFR Detail'!$O$5:$O$699))</f>
        <v>0</v>
      </c>
      <c r="N16" s="49">
        <f t="array" ref="N16">+SUM(IF(LEFT('EASI AFR Detail'!$F$5:$F$699,3)&amp;RIGHT('EASI AFR Detail'!$F$5:$F$699,5)&amp;LEFT('EASI AFR Detail'!$G$5:$G$699,9)&amp;RIGHT('EASI AFR Detail'!$J$5:$J$699,8)="sup0100)School Tr4 (5010)",'EASI AFR Detail'!$O$5:$O$699))</f>
        <v>0</v>
      </c>
      <c r="O16" s="49">
        <f t="array" ref="O16">+SUM(IF(LEFT('EASI AFR Detail'!$F$5:$F$699,3)&amp;RIGHT('EASI AFR Detail'!$F$5:$F$699,5)&amp;LEFT('EASI AFR Detail'!$G$5:$G$699,9)&amp;RIGHT('EASI AFR Detail'!$J$5:$J$699,8)="sup0100)School Tu4 (5010)",'EASI AFR Detail'!$O$5:$O$699))</f>
        <v>0</v>
      </c>
      <c r="P16" s="50">
        <f t="shared" ref="P16:P21" si="2">SUM(D16:O16)</f>
        <v>0</v>
      </c>
    </row>
    <row r="17" spans="1:16" x14ac:dyDescent="0.3">
      <c r="A17" s="188"/>
      <c r="B17" s="63">
        <v>9</v>
      </c>
      <c r="C17" s="64" t="s">
        <v>6546</v>
      </c>
      <c r="D17" s="49">
        <f t="array" ref="D17">+SUM(IF(LEFT('EASI AFR Detail'!$F$5:$F$699,3)&amp;RIGHT('EASI AFR Detail'!$F$5:$F$699,5)&amp;LEFT('EASI AFR Detail'!$G$5:$G$699,4)&amp;RIGHT('EASI AFR Detail'!$J$5:$J$699,8)="sup0200)Acco4 (5010)",'EASI AFR Detail'!$O$5:$O$699))</f>
        <v>0</v>
      </c>
      <c r="E17" s="49" cm="1">
        <f t="array" ref="E17">+SUM(IF(LEFT('EASI AFR Detail'!$F$5:$F$699,3)&amp;RIGHT('EASI AFR Detail'!$F$5:$F$699,5)&amp;LEFT('EASI AFR Detail'!$G$5:$G$699,4)&amp;RIGHT('EASI AFR Detail'!$J$5:$J$699,8)="sup0200)Colo4 (5010)",'EASI AFR Detail'!$O$5:$O$699))</f>
        <v>0</v>
      </c>
      <c r="F17" s="49">
        <f t="array" ref="F17">+SUM(IF(LEFT('EASI AFR Detail'!$F$5:$F$699,3)&amp;RIGHT('EASI AFR Detail'!$F$5:$F$699,5)&amp;LEFT('EASI AFR Detail'!$G$5:$G$699,4)&amp;RIGHT('EASI AFR Detail'!$J$5:$J$699,8)="sup0200)Conn4 (5010)",'EASI AFR Detail'!$O$5:$O$699))</f>
        <v>0</v>
      </c>
      <c r="G17" s="49">
        <f t="array" ref="G17">+SUM(IF(LEFT('EASI AFR Detail'!$F$5:$F$699,3)&amp;RIGHT('EASI AFR Detail'!$F$5:$F$699,5)&amp;LEFT('EASI AFR Detail'!$G$5:$G$699,12)&amp;RIGHT('EASI AFR Detail'!$J$5:$J$699,8)="sup0200)Diagnostic a4 (5010)",'EASI AFR Detail'!$O$5:$O$699))</f>
        <v>0</v>
      </c>
      <c r="H17" s="49">
        <f t="array" ref="H17">+SUM(IF(LEFT('EASI AFR Detail'!$F$5:$F$699,3)&amp;RIGHT('EASI AFR Detail'!$F$5:$F$699,5)&amp;LEFT('EASI AFR Detail'!$G$5:$G$699,10)&amp;RIGHT('EASI AFR Detail'!$J$5:$J$699,8)="sup0200)District D4 (5010)",'EASI AFR Detail'!$O$5:$O$699))</f>
        <v>0</v>
      </c>
      <c r="I17" s="49">
        <f t="array" ref="I17">+SUM(IF(LEFT('EASI AFR Detail'!$F$5:$F$699,3)&amp;RIGHT('EASI AFR Detail'!$F$5:$F$699,5)&amp;LEFT('EASI AFR Detail'!$G$5:$G$699,10)&amp;RIGHT('EASI AFR Detail'!$J$5:$J$699,8)="sup0200)District S4 (5010)",'EASI AFR Detail'!$O$5:$O$699))</f>
        <v>0</v>
      </c>
      <c r="J17" s="49">
        <f t="array" ref="J17">+SUM(IF(LEFT('EASI AFR Detail'!$F$5:$F$699,3)&amp;RIGHT('EASI AFR Detail'!$F$5:$F$699,5)&amp;LEFT('EASI AFR Detail'!$G$5:$G$699,4)&amp;RIGHT('EASI AFR Detail'!$J$5:$J$699,8)="sup0200)Expl4 (5010)",'EASI AFR Detail'!$O$5:$O$699))</f>
        <v>0</v>
      </c>
      <c r="K17" s="49">
        <f t="array" ref="K17">+SUM(IF(LEFT('EASI AFR Detail'!$F$5:$F$699,3)&amp;RIGHT('EASI AFR Detail'!$F$5:$F$699,5)&amp;LEFT('EASI AFR Detail'!$G$5:$G$699,4)&amp;RIGHT('EASI AFR Detail'!$J$5:$J$699,8)="sup0200)Faci4 (5010)",'EASI AFR Detail'!$O$5:$O$699))</f>
        <v>0</v>
      </c>
      <c r="L17" s="49">
        <f t="array" ref="L17">+SUM(IF(LEFT('EASI AFR Detail'!$F$5:$F$699,3)&amp;RIGHT('EASI AFR Detail'!$F$5:$F$699,5)&amp;LEFT('EASI AFR Detail'!$G$5:$G$699,4)&amp;RIGHT('EASI AFR Detail'!$J$5:$J$699,8)="sup0200)MTSS4 (5010)",'EASI AFR Detail'!$O$5:$O$699))</f>
        <v>0</v>
      </c>
      <c r="M17" s="49">
        <f t="array" ref="M17">+SUM(IF(LEFT('EASI AFR Detail'!$F$5:$F$699,3)&amp;RIGHT('EASI AFR Detail'!$F$5:$F$699,5)&amp;LEFT('EASI AFR Detail'!$G$5:$G$699,4)&amp;RIGHT('EASI AFR Detail'!$J$5:$J$699,8)="sup0200)Rigo4 (5010)",'EASI AFR Detail'!$O$5:$O$699))</f>
        <v>0</v>
      </c>
      <c r="N17" s="49">
        <f t="array" ref="N17">+SUM(IF(LEFT('EASI AFR Detail'!$F$5:$F$699,3)&amp;RIGHT('EASI AFR Detail'!$F$5:$F$699,5)&amp;LEFT('EASI AFR Detail'!$G$5:$G$699,9)&amp;RIGHT('EASI AFR Detail'!$J$5:$J$699,8)="sup0200)School Tr4 (5010)",'EASI AFR Detail'!$O$5:$O$699))</f>
        <v>0</v>
      </c>
      <c r="O17" s="49">
        <f t="array" ref="O17">+SUM(IF(LEFT('EASI AFR Detail'!$F$5:$F$699,3)&amp;RIGHT('EASI AFR Detail'!$F$5:$F$699,5)&amp;LEFT('EASI AFR Detail'!$G$5:$G$699,9)&amp;RIGHT('EASI AFR Detail'!$J$5:$J$699,8)="sup0200)School Tu4 (5010)",'EASI AFR Detail'!$O$5:$O$699))</f>
        <v>0</v>
      </c>
      <c r="P17" s="53">
        <f t="shared" si="2"/>
        <v>0</v>
      </c>
    </row>
    <row r="18" spans="1:16" x14ac:dyDescent="0.3">
      <c r="A18" s="188"/>
      <c r="B18" s="63">
        <v>10</v>
      </c>
      <c r="C18" s="64" t="s">
        <v>6547</v>
      </c>
      <c r="D18" s="49">
        <f t="array" ref="D18">+SUM(IF(LEFT('EASI AFR Detail'!$F$5:$F$699,3)&amp;RIGHT('EASI AFR Detail'!$F$5:$F$699,5)&amp;LEFT('EASI AFR Detail'!$G$5:$G$699,4)&amp;RIGHT('EASI AFR Detail'!$J$5:$J$699,8)="sup0300)Acco4 (5010)",'EASI AFR Detail'!$O$5:$O$699))</f>
        <v>0</v>
      </c>
      <c r="E18" s="49" cm="1">
        <f t="array" ref="E18">+SUM(IF(LEFT('EASI AFR Detail'!$F$5:$F$699,3)&amp;RIGHT('EASI AFR Detail'!$F$5:$F$699,5)&amp;LEFT('EASI AFR Detail'!$G$5:$G$699,4)&amp;RIGHT('EASI AFR Detail'!$J$5:$J$699,8)="sup0300)Colo4 (5010)",'EASI AFR Detail'!$O$5:$O$699))</f>
        <v>0</v>
      </c>
      <c r="F18" s="49">
        <f t="array" ref="F18">+SUM(IF(LEFT('EASI AFR Detail'!$F$5:$F$699,3)&amp;RIGHT('EASI AFR Detail'!$F$5:$F$699,5)&amp;LEFT('EASI AFR Detail'!$G$5:$G$699,4)&amp;RIGHT('EASI AFR Detail'!$J$5:$J$699,8)="sup0300)Conn4 (5010)",'EASI AFR Detail'!$O$5:$O$699))</f>
        <v>0</v>
      </c>
      <c r="G18" s="49">
        <f t="array" ref="G18">+SUM(IF(LEFT('EASI AFR Detail'!$F$5:$F$699,3)&amp;RIGHT('EASI AFR Detail'!$F$5:$F$699,5)&amp;LEFT('EASI AFR Detail'!$G$5:$G$699,12)&amp;RIGHT('EASI AFR Detail'!$J$5:$J$699,8)="sup0300)Diagnostic a4 (5010)",'EASI AFR Detail'!$O$5:$O$699))</f>
        <v>0</v>
      </c>
      <c r="H18" s="49">
        <f t="array" ref="H18">+SUM(IF(LEFT('EASI AFR Detail'!$F$5:$F$699,3)&amp;RIGHT('EASI AFR Detail'!$F$5:$F$699,5)&amp;LEFT('EASI AFR Detail'!$G$5:$G$699,10)&amp;RIGHT('EASI AFR Detail'!$J$5:$J$699,8)="sup0300)District D4 (5010)",'EASI AFR Detail'!$O$5:$O$699))</f>
        <v>0</v>
      </c>
      <c r="I18" s="49">
        <f t="array" ref="I18">+SUM(IF(LEFT('EASI AFR Detail'!$F$5:$F$699,3)&amp;RIGHT('EASI AFR Detail'!$F$5:$F$699,5)&amp;LEFT('EASI AFR Detail'!$G$5:$G$699,10)&amp;RIGHT('EASI AFR Detail'!$J$5:$J$699,8)="sup0300)District S4 (5010)",'EASI AFR Detail'!$O$5:$O$699))</f>
        <v>0</v>
      </c>
      <c r="J18" s="49">
        <f t="array" ref="J18">+SUM(IF(LEFT('EASI AFR Detail'!$F$5:$F$699,3)&amp;RIGHT('EASI AFR Detail'!$F$5:$F$699,5)&amp;LEFT('EASI AFR Detail'!$G$5:$G$699,4)&amp;RIGHT('EASI AFR Detail'!$J$5:$J$699,8)="sup0300)Expl4 (5010)",'EASI AFR Detail'!$O$5:$O$699))</f>
        <v>0</v>
      </c>
      <c r="K18" s="49">
        <f t="array" ref="K18">+SUM(IF(LEFT('EASI AFR Detail'!$F$5:$F$699,3)&amp;RIGHT('EASI AFR Detail'!$F$5:$F$699,5)&amp;LEFT('EASI AFR Detail'!$G$5:$G$699,4)&amp;RIGHT('EASI AFR Detail'!$J$5:$J$699,8)="sup0300)Faci4 (5010)",'EASI AFR Detail'!$O$5:$O$699))</f>
        <v>0</v>
      </c>
      <c r="L18" s="49">
        <f t="array" ref="L18">+SUM(IF(LEFT('EASI AFR Detail'!$F$5:$F$699,3)&amp;RIGHT('EASI AFR Detail'!$F$5:$F$699,5)&amp;LEFT('EASI AFR Detail'!$G$5:$G$699,4)&amp;RIGHT('EASI AFR Detail'!$J$5:$J$699,8)="sup0300)MTSS4 (5010)",'EASI AFR Detail'!$O$5:$O$699))</f>
        <v>0</v>
      </c>
      <c r="M18" s="49">
        <f t="array" ref="M18">+SUM(IF(LEFT('EASI AFR Detail'!$F$5:$F$699,3)&amp;RIGHT('EASI AFR Detail'!$F$5:$F$699,5)&amp;LEFT('EASI AFR Detail'!$G$5:$G$699,4)&amp;RIGHT('EASI AFR Detail'!$J$5:$J$699,8)="sup0300)Rigo4 (5010)",'EASI AFR Detail'!$O$5:$O$699))</f>
        <v>0</v>
      </c>
      <c r="N18" s="49">
        <f t="array" ref="N18">+SUM(IF(LEFT('EASI AFR Detail'!$F$5:$F$699,3)&amp;RIGHT('EASI AFR Detail'!$F$5:$F$699,5)&amp;LEFT('EASI AFR Detail'!$G$5:$G$699,9)&amp;RIGHT('EASI AFR Detail'!$J$5:$J$699,8)="sup0300)School Tr4 (5010)",'EASI AFR Detail'!$O$5:$O$699))</f>
        <v>0</v>
      </c>
      <c r="O18" s="49">
        <f t="array" ref="O18">+SUM(IF(LEFT('EASI AFR Detail'!$F$5:$F$699,3)&amp;RIGHT('EASI AFR Detail'!$F$5:$F$699,5)&amp;LEFT('EASI AFR Detail'!$G$5:$G$699,9)&amp;RIGHT('EASI AFR Detail'!$J$5:$J$699,8)="sup0300)School Tu4 (5010)",'EASI AFR Detail'!$O$5:$O$699))</f>
        <v>0</v>
      </c>
      <c r="P18" s="53">
        <f t="shared" si="2"/>
        <v>0</v>
      </c>
    </row>
    <row r="19" spans="1:16" x14ac:dyDescent="0.3">
      <c r="A19" s="188"/>
      <c r="B19" s="63">
        <v>11</v>
      </c>
      <c r="C19" s="64" t="s">
        <v>6548</v>
      </c>
      <c r="D19" s="49">
        <f t="array" ref="D19">+SUM(IF(LEFT('EASI AFR Detail'!$F$5:$F$699,3)&amp;RIGHT('EASI AFR Detail'!$F$5:$F$699,5)&amp;LEFT('EASI AFR Detail'!$G$5:$G$699,4)&amp;RIGHT('EASI AFR Detail'!$J$5:$J$699,8)="sup0500)Acco4 (5010)",'EASI AFR Detail'!$O$5:$O$699))</f>
        <v>0</v>
      </c>
      <c r="E19" s="49" cm="1">
        <f t="array" ref="E19">+SUM(IF(LEFT('EASI AFR Detail'!$F$5:$F$699,3)&amp;RIGHT('EASI AFR Detail'!$F$5:$F$699,5)&amp;LEFT('EASI AFR Detail'!$G$5:$G$699,4)&amp;RIGHT('EASI AFR Detail'!$J$5:$J$699,8)="sup0500)Colo4 (5010)",'EASI AFR Detail'!$O$5:$O$699))</f>
        <v>0</v>
      </c>
      <c r="F19" s="49">
        <f t="array" ref="F19">+SUM(IF(LEFT('EASI AFR Detail'!$F$5:$F$699,3)&amp;RIGHT('EASI AFR Detail'!$F$5:$F$699,5)&amp;LEFT('EASI AFR Detail'!$G$5:$G$699,4)&amp;RIGHT('EASI AFR Detail'!$J$5:$J$699,8)="sup0500)Conn4 (5010)",'EASI AFR Detail'!$O$5:$O$699))</f>
        <v>0</v>
      </c>
      <c r="G19" s="49">
        <f t="array" ref="G19">+SUM(IF(LEFT('EASI AFR Detail'!$F$5:$F$699,3)&amp;RIGHT('EASI AFR Detail'!$F$5:$F$699,5)&amp;LEFT('EASI AFR Detail'!$G$5:$G$699,12)&amp;RIGHT('EASI AFR Detail'!$J$5:$J$699,8)="sup0500)Diagnostic a4 (5010)",'EASI AFR Detail'!$O$5:$O$699))</f>
        <v>0</v>
      </c>
      <c r="H19" s="49">
        <f t="array" ref="H19">+SUM(IF(LEFT('EASI AFR Detail'!$F$5:$F$699,3)&amp;RIGHT('EASI AFR Detail'!$F$5:$F$699,5)&amp;LEFT('EASI AFR Detail'!$G$5:$G$699,10)&amp;RIGHT('EASI AFR Detail'!$J$5:$J$699,8)="sup0500)District D4 (5010)",'EASI AFR Detail'!$O$5:$O$699))</f>
        <v>0</v>
      </c>
      <c r="I19" s="49">
        <f t="array" ref="I19">+SUM(IF(LEFT('EASI AFR Detail'!$F$5:$F$699,3)&amp;RIGHT('EASI AFR Detail'!$F$5:$F$699,5)&amp;LEFT('EASI AFR Detail'!$G$5:$G$699,10)&amp;RIGHT('EASI AFR Detail'!$J$5:$J$699,8)="sup0500)District S4 (5010)",'EASI AFR Detail'!$O$5:$O$699))</f>
        <v>0</v>
      </c>
      <c r="J19" s="49">
        <f t="array" ref="J19">+SUM(IF(LEFT('EASI AFR Detail'!$F$5:$F$699,3)&amp;RIGHT('EASI AFR Detail'!$F$5:$F$699,5)&amp;LEFT('EASI AFR Detail'!$G$5:$G$699,4)&amp;RIGHT('EASI AFR Detail'!$J$5:$J$699,8)="sup0500)Expl4 (5010)",'EASI AFR Detail'!$O$5:$O$699))</f>
        <v>0</v>
      </c>
      <c r="K19" s="49">
        <f t="array" ref="K19">+SUM(IF(LEFT('EASI AFR Detail'!$F$5:$F$699,3)&amp;RIGHT('EASI AFR Detail'!$F$5:$F$699,5)&amp;LEFT('EASI AFR Detail'!$G$5:$G$699,4)&amp;RIGHT('EASI AFR Detail'!$J$5:$J$699,8)="sup0500)Faci4 (5010)",'EASI AFR Detail'!$O$5:$O$699))</f>
        <v>0</v>
      </c>
      <c r="L19" s="49">
        <f t="array" ref="L19">+SUM(IF(LEFT('EASI AFR Detail'!$F$5:$F$699,3)&amp;RIGHT('EASI AFR Detail'!$F$5:$F$699,5)&amp;LEFT('EASI AFR Detail'!$G$5:$G$699,4)&amp;RIGHT('EASI AFR Detail'!$J$5:$J$699,8)="sup0500)MTSS4 (5010)",'EASI AFR Detail'!$O$5:$O$699))</f>
        <v>0</v>
      </c>
      <c r="M19" s="49">
        <f t="array" ref="M19">+SUM(IF(LEFT('EASI AFR Detail'!$F$5:$F$699,3)&amp;RIGHT('EASI AFR Detail'!$F$5:$F$699,5)&amp;LEFT('EASI AFR Detail'!$G$5:$G$699,4)&amp;RIGHT('EASI AFR Detail'!$J$5:$J$699,8)="sup0500)Rigo4 (5010)",'EASI AFR Detail'!$O$5:$O$699))</f>
        <v>0</v>
      </c>
      <c r="N19" s="49">
        <f t="array" ref="N19">+SUM(IF(LEFT('EASI AFR Detail'!$F$5:$F$699,3)&amp;RIGHT('EASI AFR Detail'!$F$5:$F$699,5)&amp;LEFT('EASI AFR Detail'!$G$5:$G$699,9)&amp;RIGHT('EASI AFR Detail'!$J$5:$J$699,8)="sup0500)School Tr4 (5010)",'EASI AFR Detail'!$O$5:$O$699))</f>
        <v>0</v>
      </c>
      <c r="O19" s="49">
        <f t="array" ref="O19">+SUM(IF(LEFT('EASI AFR Detail'!$F$5:$F$699,3)&amp;RIGHT('EASI AFR Detail'!$F$5:$F$699,5)&amp;LEFT('EASI AFR Detail'!$G$5:$G$699,9)&amp;RIGHT('EASI AFR Detail'!$J$5:$J$699,8)="sup0500)School Tu4 (5010)",'EASI AFR Detail'!$O$5:$O$699))</f>
        <v>0</v>
      </c>
      <c r="P19" s="53">
        <f t="shared" si="2"/>
        <v>0</v>
      </c>
    </row>
    <row r="20" spans="1:16" x14ac:dyDescent="0.3">
      <c r="A20" s="188"/>
      <c r="B20" s="63">
        <v>12</v>
      </c>
      <c r="C20" s="64" t="s">
        <v>6549</v>
      </c>
      <c r="D20" s="49">
        <f t="array" ref="D20">+SUM(IF(LEFT('EASI AFR Detail'!$F$5:$F$699,3)&amp;RIGHT('EASI AFR Detail'!$F$5:$F$699,5)&amp;LEFT('EASI AFR Detail'!$G$5:$G$699,4)&amp;RIGHT('EASI AFR Detail'!$J$5:$J$699,8)="sup0580)Acco4 (5010)",'EASI AFR Detail'!$O$5:$O$699))</f>
        <v>0</v>
      </c>
      <c r="E20" s="49" cm="1">
        <f t="array" ref="E20">+SUM(IF(LEFT('EASI AFR Detail'!$F$5:$F$699,3)&amp;RIGHT('EASI AFR Detail'!$F$5:$F$699,5)&amp;LEFT('EASI AFR Detail'!$G$5:$G$699,4)&amp;RIGHT('EASI AFR Detail'!$J$5:$J$699,8)="sup0580)Colo4 (5010)",'EASI AFR Detail'!$O$5:$O$699))</f>
        <v>0</v>
      </c>
      <c r="F20" s="49">
        <f t="array" ref="F20">+SUM(IF(LEFT('EASI AFR Detail'!$F$5:$F$699,3)&amp;RIGHT('EASI AFR Detail'!$F$5:$F$699,5)&amp;LEFT('EASI AFR Detail'!$G$5:$G$699,4)&amp;RIGHT('EASI AFR Detail'!$J$5:$J$699,8)="sup0580)Conn4 (5010)",'EASI AFR Detail'!$O$5:$O$699))</f>
        <v>0</v>
      </c>
      <c r="G20" s="49">
        <f t="array" ref="G20">+SUM(IF(LEFT('EASI AFR Detail'!$F$5:$F$699,3)&amp;RIGHT('EASI AFR Detail'!$F$5:$F$699,5)&amp;LEFT('EASI AFR Detail'!$G$5:$G$699,12)&amp;RIGHT('EASI AFR Detail'!$J$5:$J$699,8)="sup0580)Diagnostic a4 (5010)",'EASI AFR Detail'!$O$5:$O$699))</f>
        <v>0</v>
      </c>
      <c r="H20" s="49">
        <f t="array" ref="H20">+SUM(IF(LEFT('EASI AFR Detail'!$F$5:$F$699,3)&amp;RIGHT('EASI AFR Detail'!$F$5:$F$699,5)&amp;LEFT('EASI AFR Detail'!$G$5:$G$699,10)&amp;RIGHT('EASI AFR Detail'!$J$5:$J$699,8)="sup0580)District D4 (5010)",'EASI AFR Detail'!$O$5:$O$699))</f>
        <v>0</v>
      </c>
      <c r="I20" s="49">
        <f t="array" ref="I20">+SUM(IF(LEFT('EASI AFR Detail'!$F$5:$F$699,3)&amp;RIGHT('EASI AFR Detail'!$F$5:$F$699,5)&amp;LEFT('EASI AFR Detail'!$G$5:$G$699,10)&amp;RIGHT('EASI AFR Detail'!$J$5:$J$699,8)="sup0580)District S4 (5010)",'EASI AFR Detail'!$O$5:$O$699))</f>
        <v>0</v>
      </c>
      <c r="J20" s="49">
        <f t="array" ref="J20">+SUM(IF(LEFT('EASI AFR Detail'!$F$5:$F$699,3)&amp;RIGHT('EASI AFR Detail'!$F$5:$F$699,5)&amp;LEFT('EASI AFR Detail'!$G$5:$G$699,4)&amp;RIGHT('EASI AFR Detail'!$J$5:$J$699,8)="sup0580)Expl4 (5010)",'EASI AFR Detail'!$O$5:$O$699))</f>
        <v>0</v>
      </c>
      <c r="K20" s="49">
        <f t="array" ref="K20">+SUM(IF(LEFT('EASI AFR Detail'!$F$5:$F$699,3)&amp;RIGHT('EASI AFR Detail'!$F$5:$F$699,5)&amp;LEFT('EASI AFR Detail'!$G$5:$G$699,4)&amp;RIGHT('EASI AFR Detail'!$J$5:$J$699,8)="sup0580)Faci4 (5010)",'EASI AFR Detail'!$O$5:$O$699))</f>
        <v>0</v>
      </c>
      <c r="L20" s="49">
        <f t="array" ref="L20">+SUM(IF(LEFT('EASI AFR Detail'!$F$5:$F$699,3)&amp;RIGHT('EASI AFR Detail'!$F$5:$F$699,5)&amp;LEFT('EASI AFR Detail'!$G$5:$G$699,4)&amp;RIGHT('EASI AFR Detail'!$J$5:$J$699,8)="sup0580)MTSS4 (5010)",'EASI AFR Detail'!$O$5:$O$699))</f>
        <v>0</v>
      </c>
      <c r="M20" s="49">
        <f t="array" ref="M20">+SUM(IF(LEFT('EASI AFR Detail'!$F$5:$F$699,3)&amp;RIGHT('EASI AFR Detail'!$F$5:$F$699,5)&amp;LEFT('EASI AFR Detail'!$G$5:$G$699,4)&amp;RIGHT('EASI AFR Detail'!$J$5:$J$699,8)="sup0580)Rigo4 (5010)",'EASI AFR Detail'!$O$5:$O$699))</f>
        <v>0</v>
      </c>
      <c r="N20" s="49">
        <f t="array" ref="N20">+SUM(IF(LEFT('EASI AFR Detail'!$F$5:$F$699,3)&amp;RIGHT('EASI AFR Detail'!$F$5:$F$699,5)&amp;LEFT('EASI AFR Detail'!$G$5:$G$699,9)&amp;RIGHT('EASI AFR Detail'!$J$5:$J$699,8)="sup0580)School Tr4 (5010)",'EASI AFR Detail'!$O$5:$O$699))</f>
        <v>0</v>
      </c>
      <c r="O20" s="49">
        <f t="array" ref="O20">+SUM(IF(LEFT('EASI AFR Detail'!$F$5:$F$699,3)&amp;RIGHT('EASI AFR Detail'!$F$5:$F$699,5)&amp;LEFT('EASI AFR Detail'!$G$5:$G$699,9)&amp;RIGHT('EASI AFR Detail'!$J$5:$J$699,8)="sup0580)School Tu4 (5010)",'EASI AFR Detail'!$O$5:$O$699))</f>
        <v>0</v>
      </c>
      <c r="P20" s="53">
        <f t="shared" si="2"/>
        <v>0</v>
      </c>
    </row>
    <row r="21" spans="1:16" x14ac:dyDescent="0.3">
      <c r="A21" s="188"/>
      <c r="B21" s="63">
        <v>13</v>
      </c>
      <c r="C21" s="64" t="s">
        <v>6550</v>
      </c>
      <c r="D21" s="49">
        <f t="array" ref="D21">+SUM(IF(LEFT('EASI AFR Detail'!$F$5:$F$699,3)&amp;RIGHT('EASI AFR Detail'!$F$5:$F$699,5)&amp;LEFT('EASI AFR Detail'!$G$5:$G$699,4)&amp;RIGHT('EASI AFR Detail'!$J$5:$J$699,8)="sup0600)Acco4 (5010)",'EASI AFR Detail'!$O$5:$O$699))</f>
        <v>0</v>
      </c>
      <c r="E21" s="49" cm="1">
        <f t="array" ref="E21">+SUM(IF(LEFT('EASI AFR Detail'!$F$5:$F$699,3)&amp;RIGHT('EASI AFR Detail'!$F$5:$F$699,5)&amp;LEFT('EASI AFR Detail'!$G$5:$G$699,4)&amp;RIGHT('EASI AFR Detail'!$J$5:$J$699,8)="sup0600)Colo4 (5010)",'EASI AFR Detail'!$O$5:$O$699))</f>
        <v>0</v>
      </c>
      <c r="F21" s="49">
        <f t="array" ref="F21">+SUM(IF(LEFT('EASI AFR Detail'!$F$5:$F$699,3)&amp;RIGHT('EASI AFR Detail'!$F$5:$F$699,5)&amp;LEFT('EASI AFR Detail'!$G$5:$G$699,4)&amp;RIGHT('EASI AFR Detail'!$J$5:$J$699,8)="sup0600)Conn4 (5010)",'EASI AFR Detail'!$O$5:$O$699))</f>
        <v>0</v>
      </c>
      <c r="G21" s="49">
        <f t="array" ref="G21">+SUM(IF(LEFT('EASI AFR Detail'!$F$5:$F$699,3)&amp;RIGHT('EASI AFR Detail'!$F$5:$F$699,5)&amp;LEFT('EASI AFR Detail'!$G$5:$G$699,12)&amp;RIGHT('EASI AFR Detail'!$J$5:$J$699,8)="sup0600)Diagnostic a4 (5010)",'EASI AFR Detail'!$O$5:$O$699))</f>
        <v>0</v>
      </c>
      <c r="H21" s="49">
        <f t="array" ref="H21">+SUM(IF(LEFT('EASI AFR Detail'!$F$5:$F$699,3)&amp;RIGHT('EASI AFR Detail'!$F$5:$F$699,5)&amp;LEFT('EASI AFR Detail'!$G$5:$G$699,10)&amp;RIGHT('EASI AFR Detail'!$J$5:$J$699,8)="sup0600)District D4 (5010)",'EASI AFR Detail'!$O$5:$O$699))</f>
        <v>0</v>
      </c>
      <c r="I21" s="49">
        <f t="array" ref="I21">+SUM(IF(LEFT('EASI AFR Detail'!$F$5:$F$699,3)&amp;RIGHT('EASI AFR Detail'!$F$5:$F$699,5)&amp;LEFT('EASI AFR Detail'!$G$5:$G$699,10)&amp;RIGHT('EASI AFR Detail'!$J$5:$J$699,8)="sup0600)District S4 (5010)",'EASI AFR Detail'!$O$5:$O$699))</f>
        <v>0</v>
      </c>
      <c r="J21" s="49">
        <f t="array" ref="J21">+SUM(IF(LEFT('EASI AFR Detail'!$F$5:$F$699,3)&amp;RIGHT('EASI AFR Detail'!$F$5:$F$699,5)&amp;LEFT('EASI AFR Detail'!$G$5:$G$699,4)&amp;RIGHT('EASI AFR Detail'!$J$5:$J$699,8)="sup0600)Expl4 (5010)",'EASI AFR Detail'!$O$5:$O$699))</f>
        <v>0</v>
      </c>
      <c r="K21" s="49">
        <f t="array" ref="K21">+SUM(IF(LEFT('EASI AFR Detail'!$F$5:$F$699,3)&amp;RIGHT('EASI AFR Detail'!$F$5:$F$699,5)&amp;LEFT('EASI AFR Detail'!$G$5:$G$699,4)&amp;RIGHT('EASI AFR Detail'!$J$5:$J$699,8)="sup0600)Faci4 (5010)",'EASI AFR Detail'!$O$5:$O$699))</f>
        <v>0</v>
      </c>
      <c r="L21" s="49">
        <f t="array" ref="L21">+SUM(IF(LEFT('EASI AFR Detail'!$F$5:$F$699,3)&amp;RIGHT('EASI AFR Detail'!$F$5:$F$699,5)&amp;LEFT('EASI AFR Detail'!$G$5:$G$699,4)&amp;RIGHT('EASI AFR Detail'!$J$5:$J$699,8)="sup0600)MTSS4 (5010)",'EASI AFR Detail'!$O$5:$O$699))</f>
        <v>0</v>
      </c>
      <c r="M21" s="49">
        <f t="array" ref="M21">+SUM(IF(LEFT('EASI AFR Detail'!$F$5:$F$699,3)&amp;RIGHT('EASI AFR Detail'!$F$5:$F$699,5)&amp;LEFT('EASI AFR Detail'!$G$5:$G$699,4)&amp;RIGHT('EASI AFR Detail'!$J$5:$J$699,8)="sup0600)Rigo4 (5010)",'EASI AFR Detail'!$O$5:$O$699))</f>
        <v>0</v>
      </c>
      <c r="N21" s="49">
        <f t="array" ref="N21">+SUM(IF(LEFT('EASI AFR Detail'!$F$5:$F$699,3)&amp;RIGHT('EASI AFR Detail'!$F$5:$F$699,5)&amp;LEFT('EASI AFR Detail'!$G$5:$G$699,9)&amp;RIGHT('EASI AFR Detail'!$J$5:$J$699,8)="sup0600)School Tr4 (5010)",'EASI AFR Detail'!$O$5:$O$699))</f>
        <v>0</v>
      </c>
      <c r="O21" s="49">
        <f t="array" ref="O21">+SUM(IF(LEFT('EASI AFR Detail'!$F$5:$F$699,3)&amp;RIGHT('EASI AFR Detail'!$F$5:$F$699,5)&amp;LEFT('EASI AFR Detail'!$G$5:$G$699,9)&amp;RIGHT('EASI AFR Detail'!$J$5:$J$699,8)="sup0600)School Tu4 (5010)",'EASI AFR Detail'!$O$5:$O$699))</f>
        <v>0</v>
      </c>
      <c r="P21" s="53">
        <f t="shared" si="2"/>
        <v>0</v>
      </c>
    </row>
    <row r="22" spans="1:16" x14ac:dyDescent="0.3">
      <c r="A22" s="188"/>
      <c r="B22" s="63">
        <v>14</v>
      </c>
      <c r="C22" s="65" t="s">
        <v>6553</v>
      </c>
      <c r="D22" s="49">
        <f>SUM(D16:D21)</f>
        <v>0</v>
      </c>
      <c r="E22" s="57">
        <f t="shared" ref="E22:P22" si="3">SUM(E16:E21)</f>
        <v>0</v>
      </c>
      <c r="F22" s="57">
        <f t="shared" si="3"/>
        <v>0</v>
      </c>
      <c r="G22" s="57">
        <f t="shared" si="3"/>
        <v>0</v>
      </c>
      <c r="H22" s="57">
        <f t="shared" si="3"/>
        <v>0</v>
      </c>
      <c r="I22" s="57">
        <f t="shared" si="3"/>
        <v>0</v>
      </c>
      <c r="J22" s="57">
        <f t="shared" si="3"/>
        <v>0</v>
      </c>
      <c r="K22" s="57">
        <f t="shared" si="3"/>
        <v>0</v>
      </c>
      <c r="L22" s="57">
        <f t="shared" si="3"/>
        <v>0</v>
      </c>
      <c r="M22" s="57">
        <f t="shared" si="3"/>
        <v>0</v>
      </c>
      <c r="N22" s="57">
        <f t="shared" si="3"/>
        <v>0</v>
      </c>
      <c r="O22" s="57">
        <f t="shared" si="3"/>
        <v>0</v>
      </c>
      <c r="P22" s="53">
        <f t="shared" si="3"/>
        <v>0</v>
      </c>
    </row>
    <row r="23" spans="1:16" x14ac:dyDescent="0.3">
      <c r="A23" s="188"/>
      <c r="B23" s="66"/>
      <c r="C23" s="67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9"/>
    </row>
    <row r="24" spans="1:16" x14ac:dyDescent="0.3">
      <c r="A24" s="188"/>
      <c r="B24" s="63">
        <v>15</v>
      </c>
      <c r="C24" s="64" t="s">
        <v>6554</v>
      </c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>
        <f>SUM(D24:O24)</f>
        <v>0</v>
      </c>
    </row>
    <row r="25" spans="1:16" x14ac:dyDescent="0.3">
      <c r="A25" s="188"/>
      <c r="B25" s="66"/>
      <c r="C25" s="70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9"/>
    </row>
    <row r="26" spans="1:16" ht="15" thickBot="1" x14ac:dyDescent="0.35">
      <c r="A26" s="189"/>
      <c r="B26" s="71">
        <v>16</v>
      </c>
      <c r="C26" s="72" t="s">
        <v>6517</v>
      </c>
      <c r="D26" s="73">
        <f>D13+D22+D24</f>
        <v>0</v>
      </c>
      <c r="E26" s="74">
        <f t="shared" ref="E26:O26" si="4">E13+E22+E24</f>
        <v>0</v>
      </c>
      <c r="F26" s="74">
        <f t="shared" si="4"/>
        <v>0</v>
      </c>
      <c r="G26" s="74">
        <f t="shared" si="4"/>
        <v>0</v>
      </c>
      <c r="H26" s="74">
        <f t="shared" si="4"/>
        <v>0</v>
      </c>
      <c r="I26" s="74">
        <f t="shared" si="4"/>
        <v>0</v>
      </c>
      <c r="J26" s="74">
        <f t="shared" si="4"/>
        <v>0</v>
      </c>
      <c r="K26" s="74">
        <f t="shared" si="4"/>
        <v>0</v>
      </c>
      <c r="L26" s="74">
        <f t="shared" si="4"/>
        <v>0</v>
      </c>
      <c r="M26" s="74">
        <f t="shared" si="4"/>
        <v>0</v>
      </c>
      <c r="N26" s="74">
        <f t="shared" si="4"/>
        <v>0</v>
      </c>
      <c r="O26" s="74">
        <f t="shared" si="4"/>
        <v>0</v>
      </c>
      <c r="P26" s="75">
        <f>P13+P22+P24</f>
        <v>0</v>
      </c>
    </row>
    <row r="27" spans="1:16" ht="15" thickBot="1" x14ac:dyDescent="0.35">
      <c r="C27" s="58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8" spans="1:16" ht="15" thickBot="1" x14ac:dyDescent="0.35">
      <c r="A28" s="187" t="s">
        <v>6561</v>
      </c>
      <c r="B28" s="190" t="s">
        <v>6543</v>
      </c>
      <c r="C28" s="190"/>
      <c r="D28" s="45" t="s">
        <v>6544</v>
      </c>
      <c r="E28" s="45" t="s">
        <v>6544</v>
      </c>
      <c r="F28" s="45" t="s">
        <v>6544</v>
      </c>
      <c r="G28" s="45" t="s">
        <v>6544</v>
      </c>
      <c r="H28" s="45" t="s">
        <v>6544</v>
      </c>
      <c r="I28" s="45" t="s">
        <v>6544</v>
      </c>
      <c r="J28" s="45" t="s">
        <v>6544</v>
      </c>
      <c r="K28" s="45" t="s">
        <v>6544</v>
      </c>
      <c r="L28" s="45" t="s">
        <v>6544</v>
      </c>
      <c r="M28" s="45" t="s">
        <v>6544</v>
      </c>
      <c r="N28" s="45" t="s">
        <v>6544</v>
      </c>
      <c r="O28" s="45" t="s">
        <v>6544</v>
      </c>
      <c r="P28" s="45" t="s">
        <v>6544</v>
      </c>
    </row>
    <row r="29" spans="1:16" x14ac:dyDescent="0.3">
      <c r="A29" s="188"/>
      <c r="B29" s="47">
        <v>1</v>
      </c>
      <c r="C29" s="48" t="s">
        <v>6545</v>
      </c>
      <c r="D29" s="49" cm="1">
        <f t="array" ref="D29">+SUM(IF(LEFT('EASI AFR Detail'!$F$5:$F$699,3)&amp;RIGHT('EASI AFR Detail'!$F$5:$F$699,5)&amp;LEFT('EASI AFR Detail'!$G$5:$G$699,4)&amp;RIGHT('EASI AFR Detail'!$J$5:$J$699,8)="ins0100)Acco5 (5010)",'EASI AFR Detail'!$O$5:$O$699))</f>
        <v>0</v>
      </c>
      <c r="E29" s="49" cm="1">
        <f t="array" ref="E29">+SUM(IF(LEFT('EASI AFR Detail'!$F$5:$F$699,3)&amp;RIGHT('EASI AFR Detail'!$F$5:$F$699,5)&amp;LEFT('EASI AFR Detail'!$G$5:$G$699,4)&amp;RIGHT('EASI AFR Detail'!$J$5:$J$699,8)="ins0100)Colo5 (5010)",'EASI AFR Detail'!$O$5:$O$699))</f>
        <v>0</v>
      </c>
      <c r="F29" s="49">
        <f t="array" ref="F29">+SUM(IF(LEFT('EASI AFR Detail'!$F$5:$F$699,3)&amp;RIGHT('EASI AFR Detail'!$F$5:$F$699,5)&amp;LEFT('EASI AFR Detail'!$G$5:$G$699,4)&amp;RIGHT('EASI AFR Detail'!$J$5:$J$699,8)="ins0100)Conn5 (5010)",'EASI AFR Detail'!$O$5:$O$699))</f>
        <v>0</v>
      </c>
      <c r="G29" s="49">
        <f t="array" ref="G29">+SUM(IF(LEFT('EASI AFR Detail'!$F$5:$F$699,3)&amp;RIGHT('EASI AFR Detail'!$F$5:$F$699,5)&amp;LEFT('EASI AFR Detail'!$G$5:$G$699,12)&amp;RIGHT('EASI AFR Detail'!$J$5:$J$699,8)="ins0100)Diagnostic a5 (5010)",'EASI AFR Detail'!$O$5:$O$699))</f>
        <v>0</v>
      </c>
      <c r="H29" s="49">
        <f t="array" ref="H29">+SUM(IF(LEFT('EASI AFR Detail'!$F$5:$F$699,3)&amp;RIGHT('EASI AFR Detail'!$F$5:$F$699,5)&amp;LEFT('EASI AFR Detail'!$G$5:$G$699,10)&amp;RIGHT('EASI AFR Detail'!$J$5:$J$699,8)="ins0100)District D5 (5010)",'EASI AFR Detail'!$O$5:$O$699))</f>
        <v>0</v>
      </c>
      <c r="I29" s="49">
        <f t="array" ref="I29">+SUM(IF(LEFT('EASI AFR Detail'!$F$5:$F$699,3)&amp;RIGHT('EASI AFR Detail'!$F$5:$F$699,5)&amp;LEFT('EASI AFR Detail'!$G$5:$G$699,10)&amp;RIGHT('EASI AFR Detail'!$J$5:$J$699,8)="ins0100)District S5 (5010)",'EASI AFR Detail'!$O$5:$O$699))</f>
        <v>0</v>
      </c>
      <c r="J29" s="49">
        <f t="array" ref="J29">+SUM(IF(LEFT('EASI AFR Detail'!$F$5:$F$699,3)&amp;RIGHT('EASI AFR Detail'!$F$5:$F$699,5)&amp;LEFT('EASI AFR Detail'!$G$5:$G$699,4)&amp;RIGHT('EASI AFR Detail'!$J$5:$J$699,8)="ins0100)Expl5 (5010)",'EASI AFR Detail'!$O$5:$O$699))</f>
        <v>0</v>
      </c>
      <c r="K29" s="49">
        <f t="array" ref="K29">+SUM(IF(LEFT('EASI AFR Detail'!$F$5:$F$699,3)&amp;RIGHT('EASI AFR Detail'!$F$5:$F$699,5)&amp;LEFT('EASI AFR Detail'!$G$5:$G$699,4)&amp;RIGHT('EASI AFR Detail'!$J$5:$J$699,8)="ins0100)Faci5 (5010)",'EASI AFR Detail'!$O$5:$O$699))</f>
        <v>0</v>
      </c>
      <c r="L29" s="49">
        <f t="array" ref="L29">+SUM(IF(LEFT('EASI AFR Detail'!$F$5:$F$699,3)&amp;RIGHT('EASI AFR Detail'!$F$5:$F$699,5)&amp;LEFT('EASI AFR Detail'!$G$5:$G$699,4)&amp;RIGHT('EASI AFR Detail'!$J$5:$J$699,8)="ins0100)MTSS5 (5010)",'EASI AFR Detail'!$O$5:$O$699))</f>
        <v>0</v>
      </c>
      <c r="M29" s="49">
        <f t="array" ref="M29">+SUM(IF(LEFT('EASI AFR Detail'!$F$5:$F$699,3)&amp;RIGHT('EASI AFR Detail'!$F$5:$F$699,5)&amp;LEFT('EASI AFR Detail'!$G$5:$G$699,4)&amp;RIGHT('EASI AFR Detail'!$J$5:$J$699,8)="ins0100)Rigo5 (5010)",'EASI AFR Detail'!$O$5:$O$699))</f>
        <v>0</v>
      </c>
      <c r="N29" s="49">
        <f t="array" ref="N29">+SUM(IF(LEFT('EASI AFR Detail'!$F$5:$F$699,3)&amp;RIGHT('EASI AFR Detail'!$F$5:$F$699,5)&amp;LEFT('EASI AFR Detail'!$G$5:$G$699,9)&amp;RIGHT('EASI AFR Detail'!$J$5:$J$699,8)="ins0100)School Tr5 (5010)",'EASI AFR Detail'!$O$5:$O$699))</f>
        <v>0</v>
      </c>
      <c r="O29" s="49">
        <f t="array" ref="O29">+SUM(IF(LEFT('EASI AFR Detail'!$F$5:$F$699,3)&amp;RIGHT('EASI AFR Detail'!$F$5:$F$699,5)&amp;LEFT('EASI AFR Detail'!$G$5:$G$699,9)&amp;RIGHT('EASI AFR Detail'!$J$5:$J$699,8)="ins0100)School Tu5 (5010)",'EASI AFR Detail'!$O$5:$O$699))</f>
        <v>0</v>
      </c>
      <c r="P29" s="50">
        <f t="shared" ref="P29:P34" si="5">SUM(D29:O29)</f>
        <v>0</v>
      </c>
    </row>
    <row r="30" spans="1:16" x14ac:dyDescent="0.3">
      <c r="A30" s="188"/>
      <c r="B30" s="51">
        <v>2</v>
      </c>
      <c r="C30" s="52" t="s">
        <v>6546</v>
      </c>
      <c r="D30" s="49">
        <f t="array" ref="D30">+SUM(IF(LEFT('EASI AFR Detail'!$F$5:$F$699,3)&amp;RIGHT('EASI AFR Detail'!$F$5:$F$699,5)&amp;LEFT('EASI AFR Detail'!$G$5:$G$699,4)&amp;RIGHT('EASI AFR Detail'!$J$5:$J$699,8)="ins0200)Acco5 (5010)",'EASI AFR Detail'!$O$5:$O$699))</f>
        <v>0</v>
      </c>
      <c r="E30" s="49" cm="1">
        <f t="array" ref="E30">+SUM(IF(LEFT('EASI AFR Detail'!$F$5:$F$699,3)&amp;RIGHT('EASI AFR Detail'!$F$5:$F$699,5)&amp;LEFT('EASI AFR Detail'!$G$5:$G$699,4)&amp;RIGHT('EASI AFR Detail'!$J$5:$J$699,8)="ins0200)Colo5 (5010)",'EASI AFR Detail'!$O$5:$O$699))</f>
        <v>0</v>
      </c>
      <c r="F30" s="49">
        <f t="array" ref="F30">+SUM(IF(LEFT('EASI AFR Detail'!$F$5:$F$699,3)&amp;RIGHT('EASI AFR Detail'!$F$5:$F$699,5)&amp;LEFT('EASI AFR Detail'!$G$5:$G$699,4)&amp;RIGHT('EASI AFR Detail'!$J$5:$J$699,8)="ins0200)Conn5 (5010)",'EASI AFR Detail'!$O$5:$O$699))</f>
        <v>0</v>
      </c>
      <c r="G30" s="49">
        <f t="array" ref="G30">+SUM(IF(LEFT('EASI AFR Detail'!$F$5:$F$699,3)&amp;RIGHT('EASI AFR Detail'!$F$5:$F$699,5)&amp;LEFT('EASI AFR Detail'!$G$5:$G$699,12)&amp;RIGHT('EASI AFR Detail'!$J$5:$J$699,8)="ins0200)Diagnostic a5 (5010)",'EASI AFR Detail'!$O$5:$O$699))</f>
        <v>0</v>
      </c>
      <c r="H30" s="49">
        <f t="array" ref="H30">+SUM(IF(LEFT('EASI AFR Detail'!$F$5:$F$699,3)&amp;RIGHT('EASI AFR Detail'!$F$5:$F$699,5)&amp;LEFT('EASI AFR Detail'!$G$5:$G$699,10)&amp;RIGHT('EASI AFR Detail'!$J$5:$J$699,8)="ins0200)District D5 (5010)",'EASI AFR Detail'!$O$5:$O$699))</f>
        <v>0</v>
      </c>
      <c r="I30" s="49">
        <f t="array" ref="I30">+SUM(IF(LEFT('EASI AFR Detail'!$F$5:$F$699,3)&amp;RIGHT('EASI AFR Detail'!$F$5:$F$699,5)&amp;LEFT('EASI AFR Detail'!$G$5:$G$699,10)&amp;RIGHT('EASI AFR Detail'!$J$5:$J$699,8)="ins0200)District S5 (5010)",'EASI AFR Detail'!$O$5:$O$699))</f>
        <v>0</v>
      </c>
      <c r="J30" s="49">
        <f t="array" ref="J30">+SUM(IF(LEFT('EASI AFR Detail'!$F$5:$F$699,3)&amp;RIGHT('EASI AFR Detail'!$F$5:$F$699,5)&amp;LEFT('EASI AFR Detail'!$G$5:$G$699,4)&amp;RIGHT('EASI AFR Detail'!$J$5:$J$699,8)="ins0200)Expl5 (5010)",'EASI AFR Detail'!$O$5:$O$699))</f>
        <v>0</v>
      </c>
      <c r="K30" s="49">
        <f t="array" ref="K30">+SUM(IF(LEFT('EASI AFR Detail'!$F$5:$F$699,3)&amp;RIGHT('EASI AFR Detail'!$F$5:$F$699,5)&amp;LEFT('EASI AFR Detail'!$G$5:$G$699,4)&amp;RIGHT('EASI AFR Detail'!$J$5:$J$699,8)="ins0200)Faci5 (5010)",'EASI AFR Detail'!$O$5:$O$699))</f>
        <v>0</v>
      </c>
      <c r="L30" s="49">
        <f t="array" ref="L30">+SUM(IF(LEFT('EASI AFR Detail'!$F$5:$F$699,3)&amp;RIGHT('EASI AFR Detail'!$F$5:$F$699,5)&amp;LEFT('EASI AFR Detail'!$G$5:$G$699,4)&amp;RIGHT('EASI AFR Detail'!$J$5:$J$699,8)="ins0200)MTSS5 (5010)",'EASI AFR Detail'!$O$5:$O$699))</f>
        <v>0</v>
      </c>
      <c r="M30" s="49">
        <f t="array" ref="M30">+SUM(IF(LEFT('EASI AFR Detail'!$F$5:$F$699,3)&amp;RIGHT('EASI AFR Detail'!$F$5:$F$699,5)&amp;LEFT('EASI AFR Detail'!$G$5:$G$699,4)&amp;RIGHT('EASI AFR Detail'!$J$5:$J$699,8)="ins0200)Rigo5 (5010)",'EASI AFR Detail'!$O$5:$O$699))</f>
        <v>0</v>
      </c>
      <c r="N30" s="49">
        <f t="array" ref="N30">+SUM(IF(LEFT('EASI AFR Detail'!$F$5:$F$699,3)&amp;RIGHT('EASI AFR Detail'!$F$5:$F$699,5)&amp;LEFT('EASI AFR Detail'!$G$5:$G$699,9)&amp;RIGHT('EASI AFR Detail'!$J$5:$J$699,8)="ins0200)School Tr5 (5010)",'EASI AFR Detail'!$O$5:$O$699))</f>
        <v>0</v>
      </c>
      <c r="O30" s="49">
        <f t="array" ref="O30">+SUM(IF(LEFT('EASI AFR Detail'!$F$5:$F$699,3)&amp;RIGHT('EASI AFR Detail'!$F$5:$F$699,5)&amp;LEFT('EASI AFR Detail'!$G$5:$G$699,9)&amp;RIGHT('EASI AFR Detail'!$J$5:$J$699,8)="ins0200)School Tu5 (5010)",'EASI AFR Detail'!$O$5:$O$699))</f>
        <v>0</v>
      </c>
      <c r="P30" s="53">
        <f t="shared" si="5"/>
        <v>0</v>
      </c>
    </row>
    <row r="31" spans="1:16" x14ac:dyDescent="0.3">
      <c r="A31" s="188"/>
      <c r="B31" s="51">
        <v>3</v>
      </c>
      <c r="C31" s="52" t="s">
        <v>6547</v>
      </c>
      <c r="D31" s="49">
        <f t="array" ref="D31">+SUM(IF(LEFT('EASI AFR Detail'!$F$5:$F$699,3)&amp;RIGHT('EASI AFR Detail'!$F$5:$F$699,5)&amp;LEFT('EASI AFR Detail'!$G$5:$G$699,4)&amp;RIGHT('EASI AFR Detail'!$J$5:$J$699,8)="ins0300)Acco5 (5010)",'EASI AFR Detail'!$O$5:$O$699))</f>
        <v>0</v>
      </c>
      <c r="E31" s="49" cm="1">
        <f t="array" ref="E31">+SUM(IF(LEFT('EASI AFR Detail'!$F$5:$F$699,3)&amp;RIGHT('EASI AFR Detail'!$F$5:$F$699,5)&amp;LEFT('EASI AFR Detail'!$G$5:$G$699,4)&amp;RIGHT('EASI AFR Detail'!$J$5:$J$699,8)="ins0300)Colo5 (5010)",'EASI AFR Detail'!$O$5:$O$699))</f>
        <v>0</v>
      </c>
      <c r="F31" s="49">
        <f t="array" ref="F31">+SUM(IF(LEFT('EASI AFR Detail'!$F$5:$F$699,3)&amp;RIGHT('EASI AFR Detail'!$F$5:$F$699,5)&amp;LEFT('EASI AFR Detail'!$G$5:$G$699,4)&amp;RIGHT('EASI AFR Detail'!$J$5:$J$699,8)="ins0300)Conn5 (5010)",'EASI AFR Detail'!$O$5:$O$699))</f>
        <v>0</v>
      </c>
      <c r="G31" s="49">
        <f t="array" ref="G31">+SUM(IF(LEFT('EASI AFR Detail'!$F$5:$F$699,3)&amp;RIGHT('EASI AFR Detail'!$F$5:$F$699,5)&amp;LEFT('EASI AFR Detail'!$G$5:$G$699,12)&amp;RIGHT('EASI AFR Detail'!$J$5:$J$699,8)="ins0300)Diagnostic a5 (5010)",'EASI AFR Detail'!$O$5:$O$699))</f>
        <v>0</v>
      </c>
      <c r="H31" s="49">
        <f t="array" ref="H31">+SUM(IF(LEFT('EASI AFR Detail'!$F$5:$F$699,3)&amp;RIGHT('EASI AFR Detail'!$F$5:$F$699,5)&amp;LEFT('EASI AFR Detail'!$G$5:$G$699,10)&amp;RIGHT('EASI AFR Detail'!$J$5:$J$699,8)="ins0300)District D5 (5010)",'EASI AFR Detail'!$O$5:$O$699))</f>
        <v>0</v>
      </c>
      <c r="I31" s="49">
        <f t="array" ref="I31">+SUM(IF(LEFT('EASI AFR Detail'!$F$5:$F$699,3)&amp;RIGHT('EASI AFR Detail'!$F$5:$F$699,5)&amp;LEFT('EASI AFR Detail'!$G$5:$G$699,10)&amp;RIGHT('EASI AFR Detail'!$J$5:$J$699,8)="ins0300)District S5 (5010)",'EASI AFR Detail'!$O$5:$O$699))</f>
        <v>0</v>
      </c>
      <c r="J31" s="49">
        <f t="array" ref="J31">+SUM(IF(LEFT('EASI AFR Detail'!$F$5:$F$699,3)&amp;RIGHT('EASI AFR Detail'!$F$5:$F$699,5)&amp;LEFT('EASI AFR Detail'!$G$5:$G$699,4)&amp;RIGHT('EASI AFR Detail'!$J$5:$J$699,8)="ins0300)Expl5 (5010)",'EASI AFR Detail'!$O$5:$O$699))</f>
        <v>0</v>
      </c>
      <c r="K31" s="49">
        <f t="array" ref="K31">+SUM(IF(LEFT('EASI AFR Detail'!$F$5:$F$699,3)&amp;RIGHT('EASI AFR Detail'!$F$5:$F$699,5)&amp;LEFT('EASI AFR Detail'!$G$5:$G$699,4)&amp;RIGHT('EASI AFR Detail'!$J$5:$J$699,8)="ins0300)Faci5 (5010)",'EASI AFR Detail'!$O$5:$O$699))</f>
        <v>0</v>
      </c>
      <c r="L31" s="49">
        <f t="array" ref="L31">+SUM(IF(LEFT('EASI AFR Detail'!$F$5:$F$699,3)&amp;RIGHT('EASI AFR Detail'!$F$5:$F$699,5)&amp;LEFT('EASI AFR Detail'!$G$5:$G$699,4)&amp;RIGHT('EASI AFR Detail'!$J$5:$J$699,8)="ins0300)MTSS5 (5010)",'EASI AFR Detail'!$O$5:$O$699))</f>
        <v>0</v>
      </c>
      <c r="M31" s="49">
        <f t="array" ref="M31">+SUM(IF(LEFT('EASI AFR Detail'!$F$5:$F$699,3)&amp;RIGHT('EASI AFR Detail'!$F$5:$F$699,5)&amp;LEFT('EASI AFR Detail'!$G$5:$G$699,4)&amp;RIGHT('EASI AFR Detail'!$J$5:$J$699,8)="ins0300)Rigo5 (5010)",'EASI AFR Detail'!$O$5:$O$699))</f>
        <v>0</v>
      </c>
      <c r="N31" s="49">
        <f t="array" ref="N31">+SUM(IF(LEFT('EASI AFR Detail'!$F$5:$F$699,3)&amp;RIGHT('EASI AFR Detail'!$F$5:$F$699,5)&amp;LEFT('EASI AFR Detail'!$G$5:$G$699,9)&amp;RIGHT('EASI AFR Detail'!$J$5:$J$699,8)="ins0300)School Tr5 (5010)",'EASI AFR Detail'!$O$5:$O$699))</f>
        <v>0</v>
      </c>
      <c r="O31" s="49">
        <f t="array" ref="O31">+SUM(IF(LEFT('EASI AFR Detail'!$F$5:$F$699,3)&amp;RIGHT('EASI AFR Detail'!$F$5:$F$699,5)&amp;LEFT('EASI AFR Detail'!$G$5:$G$699,9)&amp;RIGHT('EASI AFR Detail'!$J$5:$J$699,8)="ins0300)School Tu5 (5010)",'EASI AFR Detail'!$O$5:$O$699))</f>
        <v>0</v>
      </c>
      <c r="P31" s="53">
        <f t="shared" si="5"/>
        <v>0</v>
      </c>
    </row>
    <row r="32" spans="1:16" x14ac:dyDescent="0.3">
      <c r="A32" s="188"/>
      <c r="B32" s="51">
        <v>4</v>
      </c>
      <c r="C32" s="52" t="s">
        <v>6548</v>
      </c>
      <c r="D32" s="49">
        <f t="array" ref="D32">+SUM(IF(LEFT('EASI AFR Detail'!$F$5:$F$699,3)&amp;RIGHT('EASI AFR Detail'!$F$5:$F$699,5)&amp;LEFT('EASI AFR Detail'!$G$5:$G$699,4)&amp;RIGHT('EASI AFR Detail'!$J$5:$J$699,8)="ins0500)Acco5 (5010)",'EASI AFR Detail'!$O$5:$O$699))</f>
        <v>0</v>
      </c>
      <c r="E32" s="49" cm="1">
        <f t="array" ref="E32">+SUM(IF(LEFT('EASI AFR Detail'!$F$5:$F$699,3)&amp;RIGHT('EASI AFR Detail'!$F$5:$F$699,5)&amp;LEFT('EASI AFR Detail'!$G$5:$G$699,4)&amp;RIGHT('EASI AFR Detail'!$J$5:$J$699,8)="ins0500)Colo5 (5010)",'EASI AFR Detail'!$O$5:$O$699))</f>
        <v>0</v>
      </c>
      <c r="F32" s="49">
        <f t="array" ref="F32">+SUM(IF(LEFT('EASI AFR Detail'!$F$5:$F$699,3)&amp;RIGHT('EASI AFR Detail'!$F$5:$F$699,5)&amp;LEFT('EASI AFR Detail'!$G$5:$G$699,4)&amp;RIGHT('EASI AFR Detail'!$J$5:$J$699,8)="ins0500)Conn5 (5010)",'EASI AFR Detail'!$O$5:$O$699))</f>
        <v>0</v>
      </c>
      <c r="G32" s="49">
        <f t="array" ref="G32">+SUM(IF(LEFT('EASI AFR Detail'!$F$5:$F$699,3)&amp;RIGHT('EASI AFR Detail'!$F$5:$F$699,5)&amp;LEFT('EASI AFR Detail'!$G$5:$G$699,12)&amp;RIGHT('EASI AFR Detail'!$J$5:$J$699,8)="ins0500)Diagnostic a5 (5010)",'EASI AFR Detail'!$O$5:$O$699))</f>
        <v>0</v>
      </c>
      <c r="H32" s="49">
        <f t="array" ref="H32">+SUM(IF(LEFT('EASI AFR Detail'!$F$5:$F$699,3)&amp;RIGHT('EASI AFR Detail'!$F$5:$F$699,5)&amp;LEFT('EASI AFR Detail'!$G$5:$G$699,10)&amp;RIGHT('EASI AFR Detail'!$J$5:$J$699,8)="ins0500)District D5 (5010)",'EASI AFR Detail'!$O$5:$O$699))</f>
        <v>0</v>
      </c>
      <c r="I32" s="49">
        <f t="array" ref="I32">+SUM(IF(LEFT('EASI AFR Detail'!$F$5:$F$699,3)&amp;RIGHT('EASI AFR Detail'!$F$5:$F$699,5)&amp;LEFT('EASI AFR Detail'!$G$5:$G$699,10)&amp;RIGHT('EASI AFR Detail'!$J$5:$J$699,8)="ins0500)District S5 (5010)",'EASI AFR Detail'!$O$5:$O$699))</f>
        <v>0</v>
      </c>
      <c r="J32" s="49">
        <f t="array" ref="J32">+SUM(IF(LEFT('EASI AFR Detail'!$F$5:$F$699,3)&amp;RIGHT('EASI AFR Detail'!$F$5:$F$699,5)&amp;LEFT('EASI AFR Detail'!$G$5:$G$699,4)&amp;RIGHT('EASI AFR Detail'!$J$5:$J$699,8)="ins0500)Expl5 (5010)",'EASI AFR Detail'!$O$5:$O$699))</f>
        <v>0</v>
      </c>
      <c r="K32" s="49">
        <f t="array" ref="K32">+SUM(IF(LEFT('EASI AFR Detail'!$F$5:$F$699,3)&amp;RIGHT('EASI AFR Detail'!$F$5:$F$699,5)&amp;LEFT('EASI AFR Detail'!$G$5:$G$699,4)&amp;RIGHT('EASI AFR Detail'!$J$5:$J$699,8)="ins0500)Faci5 (5010)",'EASI AFR Detail'!$O$5:$O$699))</f>
        <v>0</v>
      </c>
      <c r="L32" s="49">
        <f t="array" ref="L32">+SUM(IF(LEFT('EASI AFR Detail'!$F$5:$F$699,3)&amp;RIGHT('EASI AFR Detail'!$F$5:$F$699,5)&amp;LEFT('EASI AFR Detail'!$G$5:$G$699,4)&amp;RIGHT('EASI AFR Detail'!$J$5:$J$699,8)="ins0500)MTSS5 (5010)",'EASI AFR Detail'!$O$5:$O$699))</f>
        <v>0</v>
      </c>
      <c r="M32" s="49">
        <f t="array" ref="M32">+SUM(IF(LEFT('EASI AFR Detail'!$F$5:$F$699,3)&amp;RIGHT('EASI AFR Detail'!$F$5:$F$699,5)&amp;LEFT('EASI AFR Detail'!$G$5:$G$699,4)&amp;RIGHT('EASI AFR Detail'!$J$5:$J$699,8)="ins0500)Rigo5 (5010)",'EASI AFR Detail'!$O$5:$O$699))</f>
        <v>0</v>
      </c>
      <c r="N32" s="49">
        <f t="array" ref="N32">+SUM(IF(LEFT('EASI AFR Detail'!$F$5:$F$699,3)&amp;RIGHT('EASI AFR Detail'!$F$5:$F$699,5)&amp;LEFT('EASI AFR Detail'!$G$5:$G$699,9)&amp;RIGHT('EASI AFR Detail'!$J$5:$J$699,8)="ins0500)School Tr5 (5010)",'EASI AFR Detail'!$O$5:$O$699))</f>
        <v>0</v>
      </c>
      <c r="O32" s="49">
        <f t="array" ref="O32">+SUM(IF(LEFT('EASI AFR Detail'!$F$5:$F$699,3)&amp;RIGHT('EASI AFR Detail'!$F$5:$F$699,5)&amp;LEFT('EASI AFR Detail'!$G$5:$G$699,9)&amp;RIGHT('EASI AFR Detail'!$J$5:$J$699,8)="ins0500)School Tu5 (5010)",'EASI AFR Detail'!$O$5:$O$699))</f>
        <v>0</v>
      </c>
      <c r="P32" s="53">
        <f t="shared" si="5"/>
        <v>0</v>
      </c>
    </row>
    <row r="33" spans="1:16" x14ac:dyDescent="0.3">
      <c r="A33" s="188"/>
      <c r="B33" s="51">
        <v>5</v>
      </c>
      <c r="C33" s="52" t="s">
        <v>6549</v>
      </c>
      <c r="D33" s="49">
        <f t="array" ref="D33">+SUM(IF(LEFT('EASI AFR Detail'!$F$5:$F$699,3)&amp;RIGHT('EASI AFR Detail'!$F$5:$F$699,5)&amp;LEFT('EASI AFR Detail'!$G$5:$G$699,4)&amp;RIGHT('EASI AFR Detail'!$J$5:$J$699,8)="ins0580)Acco5 (5010)",'EASI AFR Detail'!$O$5:$O$699))</f>
        <v>0</v>
      </c>
      <c r="E33" s="49" cm="1">
        <f t="array" ref="E33">+SUM(IF(LEFT('EASI AFR Detail'!$F$5:$F$699,3)&amp;RIGHT('EASI AFR Detail'!$F$5:$F$699,5)&amp;LEFT('EASI AFR Detail'!$G$5:$G$699,4)&amp;RIGHT('EASI AFR Detail'!$J$5:$J$699,8)="ins0580)Colo5 (5010)",'EASI AFR Detail'!$O$5:$O$699))</f>
        <v>0</v>
      </c>
      <c r="F33" s="49">
        <f t="array" ref="F33">+SUM(IF(LEFT('EASI AFR Detail'!$F$5:$F$699,3)&amp;RIGHT('EASI AFR Detail'!$F$5:$F$699,5)&amp;LEFT('EASI AFR Detail'!$G$5:$G$699,4)&amp;RIGHT('EASI AFR Detail'!$J$5:$J$699,8)="ins0580)Conn5 (5010)",'EASI AFR Detail'!$O$5:$O$699))</f>
        <v>0</v>
      </c>
      <c r="G33" s="49">
        <f t="array" ref="G33">+SUM(IF(LEFT('EASI AFR Detail'!$F$5:$F$699,3)&amp;RIGHT('EASI AFR Detail'!$F$5:$F$699,5)&amp;LEFT('EASI AFR Detail'!$G$5:$G$699,12)&amp;RIGHT('EASI AFR Detail'!$J$5:$J$699,8)="ins0580)Diagnostic a5 (5010)",'EASI AFR Detail'!$O$5:$O$699))</f>
        <v>0</v>
      </c>
      <c r="H33" s="49">
        <f t="array" ref="H33">+SUM(IF(LEFT('EASI AFR Detail'!$F$5:$F$699,3)&amp;RIGHT('EASI AFR Detail'!$F$5:$F$699,5)&amp;LEFT('EASI AFR Detail'!$G$5:$G$699,10)&amp;RIGHT('EASI AFR Detail'!$J$5:$J$699,8)="ins0580)District D5 (5010)",'EASI AFR Detail'!$O$5:$O$699))</f>
        <v>0</v>
      </c>
      <c r="I33" s="49">
        <f t="array" ref="I33">+SUM(IF(LEFT('EASI AFR Detail'!$F$5:$F$699,3)&amp;RIGHT('EASI AFR Detail'!$F$5:$F$699,5)&amp;LEFT('EASI AFR Detail'!$G$5:$G$699,10)&amp;RIGHT('EASI AFR Detail'!$J$5:$J$699,8)="ins0580)District S5 (5010)",'EASI AFR Detail'!$O$5:$O$699))</f>
        <v>0</v>
      </c>
      <c r="J33" s="49">
        <f t="array" ref="J33">+SUM(IF(LEFT('EASI AFR Detail'!$F$5:$F$699,3)&amp;RIGHT('EASI AFR Detail'!$F$5:$F$699,5)&amp;LEFT('EASI AFR Detail'!$G$5:$G$699,4)&amp;RIGHT('EASI AFR Detail'!$J$5:$J$699,8)="ins0580)Expl5 (5010)",'EASI AFR Detail'!$O$5:$O$699))</f>
        <v>0</v>
      </c>
      <c r="K33" s="49">
        <f t="array" ref="K33">+SUM(IF(LEFT('EASI AFR Detail'!$F$5:$F$699,3)&amp;RIGHT('EASI AFR Detail'!$F$5:$F$699,5)&amp;LEFT('EASI AFR Detail'!$G$5:$G$699,4)&amp;RIGHT('EASI AFR Detail'!$J$5:$J$699,8)="ins0580)Faci5 (5010)",'EASI AFR Detail'!$O$5:$O$699))</f>
        <v>0</v>
      </c>
      <c r="L33" s="49">
        <f t="array" ref="L33">+SUM(IF(LEFT('EASI AFR Detail'!$F$5:$F$699,3)&amp;RIGHT('EASI AFR Detail'!$F$5:$F$699,5)&amp;LEFT('EASI AFR Detail'!$G$5:$G$699,4)&amp;RIGHT('EASI AFR Detail'!$J$5:$J$699,8)="ins0580)MTSS5 (5010)",'EASI AFR Detail'!$O$5:$O$699))</f>
        <v>0</v>
      </c>
      <c r="M33" s="49">
        <f t="array" ref="M33">+SUM(IF(LEFT('EASI AFR Detail'!$F$5:$F$699,3)&amp;RIGHT('EASI AFR Detail'!$F$5:$F$699,5)&amp;LEFT('EASI AFR Detail'!$G$5:$G$699,4)&amp;RIGHT('EASI AFR Detail'!$J$5:$J$699,8)="ins0580)Rigo5 (5010)",'EASI AFR Detail'!$O$5:$O$699))</f>
        <v>0</v>
      </c>
      <c r="N33" s="49">
        <f t="array" ref="N33">+SUM(IF(LEFT('EASI AFR Detail'!$F$5:$F$699,3)&amp;RIGHT('EASI AFR Detail'!$F$5:$F$699,5)&amp;LEFT('EASI AFR Detail'!$G$5:$G$699,9)&amp;RIGHT('EASI AFR Detail'!$J$5:$J$699,8)="ins0580)School Tr5 (5010)",'EASI AFR Detail'!$O$5:$O$699))</f>
        <v>0</v>
      </c>
      <c r="O33" s="49">
        <f t="array" ref="O33">+SUM(IF(LEFT('EASI AFR Detail'!$F$5:$F$699,3)&amp;RIGHT('EASI AFR Detail'!$F$5:$F$699,5)&amp;LEFT('EASI AFR Detail'!$G$5:$G$699,9)&amp;RIGHT('EASI AFR Detail'!$J$5:$J$699,8)="ins0580)School Tu5 (5010)",'EASI AFR Detail'!$O$5:$O$699))</f>
        <v>0</v>
      </c>
      <c r="P33" s="53">
        <f t="shared" si="5"/>
        <v>0</v>
      </c>
    </row>
    <row r="34" spans="1:16" x14ac:dyDescent="0.3">
      <c r="A34" s="188"/>
      <c r="B34" s="54">
        <v>6</v>
      </c>
      <c r="C34" s="55" t="s">
        <v>6550</v>
      </c>
      <c r="D34" s="49">
        <f t="array" ref="D34">+SUM(IF(LEFT('EASI AFR Detail'!$F$5:$F$699,3)&amp;RIGHT('EASI AFR Detail'!$F$5:$F$699,5)&amp;LEFT('EASI AFR Detail'!$G$5:$G$699,4)&amp;RIGHT('EASI AFR Detail'!$J$5:$J$699,8)="ins0600)Acco5 (5010)",'EASI AFR Detail'!$O$5:$O$699))</f>
        <v>0</v>
      </c>
      <c r="E34" s="49" cm="1">
        <f t="array" ref="E34">+SUM(IF(LEFT('EASI AFR Detail'!$F$5:$F$699,3)&amp;RIGHT('EASI AFR Detail'!$F$5:$F$699,5)&amp;LEFT('EASI AFR Detail'!$G$5:$G$699,4)&amp;RIGHT('EASI AFR Detail'!$J$5:$J$699,8)="ins0600)Colo5 (5010)",'EASI AFR Detail'!$O$5:$O$699))</f>
        <v>0</v>
      </c>
      <c r="F34" s="49">
        <f t="array" ref="F34">+SUM(IF(LEFT('EASI AFR Detail'!$F$5:$F$699,3)&amp;RIGHT('EASI AFR Detail'!$F$5:$F$699,5)&amp;LEFT('EASI AFR Detail'!$G$5:$G$699,4)&amp;RIGHT('EASI AFR Detail'!$J$5:$J$699,8)="ins0600)Conn5 (5010)",'EASI AFR Detail'!$O$5:$O$699))</f>
        <v>0</v>
      </c>
      <c r="G34" s="49">
        <f t="array" ref="G34">+SUM(IF(LEFT('EASI AFR Detail'!$F$5:$F$699,3)&amp;RIGHT('EASI AFR Detail'!$F$5:$F$699,5)&amp;LEFT('EASI AFR Detail'!$G$5:$G$699,12)&amp;RIGHT('EASI AFR Detail'!$J$5:$J$699,8)="ins0600)Diagnostic a5 (5010)",'EASI AFR Detail'!$O$5:$O$699))</f>
        <v>0</v>
      </c>
      <c r="H34" s="49">
        <f t="array" ref="H34">+SUM(IF(LEFT('EASI AFR Detail'!$F$5:$F$699,3)&amp;RIGHT('EASI AFR Detail'!$F$5:$F$699,5)&amp;LEFT('EASI AFR Detail'!$G$5:$G$699,10)&amp;RIGHT('EASI AFR Detail'!$J$5:$J$699,8)="ins0600)District D5 (5010)",'EASI AFR Detail'!$O$5:$O$699))</f>
        <v>0</v>
      </c>
      <c r="I34" s="49">
        <f t="array" ref="I34">+SUM(IF(LEFT('EASI AFR Detail'!$F$5:$F$699,3)&amp;RIGHT('EASI AFR Detail'!$F$5:$F$699,5)&amp;LEFT('EASI AFR Detail'!$G$5:$G$699,10)&amp;RIGHT('EASI AFR Detail'!$J$5:$J$699,8)="ins0600)District S5 (5010)",'EASI AFR Detail'!$O$5:$O$699))</f>
        <v>0</v>
      </c>
      <c r="J34" s="49">
        <f t="array" ref="J34">+SUM(IF(LEFT('EASI AFR Detail'!$F$5:$F$699,3)&amp;RIGHT('EASI AFR Detail'!$F$5:$F$699,5)&amp;LEFT('EASI AFR Detail'!$G$5:$G$699,4)&amp;RIGHT('EASI AFR Detail'!$J$5:$J$699,8)="ins0600)Expl5 (5010)",'EASI AFR Detail'!$O$5:$O$699))</f>
        <v>0</v>
      </c>
      <c r="K34" s="49">
        <f t="array" ref="K34">+SUM(IF(LEFT('EASI AFR Detail'!$F$5:$F$699,3)&amp;RIGHT('EASI AFR Detail'!$F$5:$F$699,5)&amp;LEFT('EASI AFR Detail'!$G$5:$G$699,4)&amp;RIGHT('EASI AFR Detail'!$J$5:$J$699,8)="ins0600)Faci5 (5010)",'EASI AFR Detail'!$O$5:$O$699))</f>
        <v>0</v>
      </c>
      <c r="L34" s="49">
        <f t="array" ref="L34">+SUM(IF(LEFT('EASI AFR Detail'!$F$5:$F$699,3)&amp;RIGHT('EASI AFR Detail'!$F$5:$F$699,5)&amp;LEFT('EASI AFR Detail'!$G$5:$G$699,4)&amp;RIGHT('EASI AFR Detail'!$J$5:$J$699,8)="ins0600)MTSS5 (5010)",'EASI AFR Detail'!$O$5:$O$699))</f>
        <v>0</v>
      </c>
      <c r="M34" s="49">
        <f t="array" ref="M34">+SUM(IF(LEFT('EASI AFR Detail'!$F$5:$F$699,3)&amp;RIGHT('EASI AFR Detail'!$F$5:$F$699,5)&amp;LEFT('EASI AFR Detail'!$G$5:$G$699,4)&amp;RIGHT('EASI AFR Detail'!$J$5:$J$699,8)="ins0600)Rigo5 (5010)",'EASI AFR Detail'!$O$5:$O$699))</f>
        <v>0</v>
      </c>
      <c r="N34" s="49">
        <f t="array" ref="N34">+SUM(IF(LEFT('EASI AFR Detail'!$F$5:$F$699,3)&amp;RIGHT('EASI AFR Detail'!$F$5:$F$699,5)&amp;LEFT('EASI AFR Detail'!$G$5:$G$699,9)&amp;RIGHT('EASI AFR Detail'!$J$5:$J$699,8)="ins0600)School Tr5 (5010)",'EASI AFR Detail'!$O$5:$O$699))</f>
        <v>0</v>
      </c>
      <c r="O34" s="49">
        <f t="array" ref="O34">+SUM(IF(LEFT('EASI AFR Detail'!$F$5:$F$699,3)&amp;RIGHT('EASI AFR Detail'!$F$5:$F$699,5)&amp;LEFT('EASI AFR Detail'!$G$5:$G$699,9)&amp;RIGHT('EASI AFR Detail'!$J$5:$J$699,8)="ins0600)School Tu5 (5010)",'EASI AFR Detail'!$O$5:$O$699))</f>
        <v>0</v>
      </c>
      <c r="P34" s="53">
        <f t="shared" si="5"/>
        <v>0</v>
      </c>
    </row>
    <row r="35" spans="1:16" ht="15" thickBot="1" x14ac:dyDescent="0.35">
      <c r="A35" s="188"/>
      <c r="B35" s="51">
        <v>7</v>
      </c>
      <c r="C35" s="56" t="s">
        <v>6551</v>
      </c>
      <c r="D35" s="49">
        <f>SUM(D29:D34)</f>
        <v>0</v>
      </c>
      <c r="E35" s="57">
        <f t="shared" ref="E35:P35" si="6">SUM(E29:E34)</f>
        <v>0</v>
      </c>
      <c r="F35" s="57">
        <f t="shared" si="6"/>
        <v>0</v>
      </c>
      <c r="G35" s="57">
        <f t="shared" si="6"/>
        <v>0</v>
      </c>
      <c r="H35" s="57">
        <f t="shared" si="6"/>
        <v>0</v>
      </c>
      <c r="I35" s="57">
        <f t="shared" si="6"/>
        <v>0</v>
      </c>
      <c r="J35" s="57">
        <f t="shared" si="6"/>
        <v>0</v>
      </c>
      <c r="K35" s="57">
        <f t="shared" si="6"/>
        <v>0</v>
      </c>
      <c r="L35" s="57">
        <f t="shared" si="6"/>
        <v>0</v>
      </c>
      <c r="M35" s="57">
        <f t="shared" si="6"/>
        <v>0</v>
      </c>
      <c r="N35" s="57">
        <f t="shared" si="6"/>
        <v>0</v>
      </c>
      <c r="O35" s="57">
        <f t="shared" si="6"/>
        <v>0</v>
      </c>
      <c r="P35" s="53">
        <f t="shared" si="6"/>
        <v>0</v>
      </c>
    </row>
    <row r="36" spans="1:16" ht="15" thickBot="1" x14ac:dyDescent="0.35">
      <c r="A36" s="188"/>
      <c r="C36" s="58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60"/>
    </row>
    <row r="37" spans="1:16" ht="15" thickBot="1" x14ac:dyDescent="0.35">
      <c r="A37" s="188"/>
      <c r="B37" s="190" t="s">
        <v>6552</v>
      </c>
      <c r="C37" s="190"/>
      <c r="D37" s="45" t="s">
        <v>6544</v>
      </c>
      <c r="E37" s="45" t="s">
        <v>6544</v>
      </c>
      <c r="F37" s="45" t="s">
        <v>6544</v>
      </c>
      <c r="G37" s="45" t="s">
        <v>6544</v>
      </c>
      <c r="H37" s="45" t="s">
        <v>6544</v>
      </c>
      <c r="I37" s="45" t="s">
        <v>6544</v>
      </c>
      <c r="J37" s="45" t="s">
        <v>6544</v>
      </c>
      <c r="K37" s="45" t="s">
        <v>6544</v>
      </c>
      <c r="L37" s="45" t="s">
        <v>6544</v>
      </c>
      <c r="M37" s="45" t="s">
        <v>6544</v>
      </c>
      <c r="N37" s="45" t="s">
        <v>6544</v>
      </c>
      <c r="O37" s="45" t="s">
        <v>6544</v>
      </c>
      <c r="P37" s="45" t="s">
        <v>6544</v>
      </c>
    </row>
    <row r="38" spans="1:16" x14ac:dyDescent="0.3">
      <c r="A38" s="188"/>
      <c r="B38" s="61">
        <v>8</v>
      </c>
      <c r="C38" s="62" t="s">
        <v>6545</v>
      </c>
      <c r="D38" s="49">
        <f t="array" ref="D38">+SUM(IF(LEFT('EASI AFR Detail'!$F$5:$F$699,3)&amp;RIGHT('EASI AFR Detail'!$F$5:$F$699,5)&amp;LEFT('EASI AFR Detail'!$G$5:$G$699,4)&amp;RIGHT('EASI AFR Detail'!$J$5:$J$699,8)="sup0100)Acco5 (5010)",'EASI AFR Detail'!$O$5:$O$699))</f>
        <v>0</v>
      </c>
      <c r="E38" s="49" cm="1">
        <f t="array" ref="E38">+SUM(IF(LEFT('EASI AFR Detail'!$F$5:$F$699,3)&amp;RIGHT('EASI AFR Detail'!$F$5:$F$699,5)&amp;LEFT('EASI AFR Detail'!$G$5:$G$699,4)&amp;RIGHT('EASI AFR Detail'!$J$5:$J$699,8)="sup0100)Colo5 (5010)",'EASI AFR Detail'!$O$5:$O$699))</f>
        <v>0</v>
      </c>
      <c r="F38" s="49">
        <f t="array" ref="F38">+SUM(IF(LEFT('EASI AFR Detail'!$F$5:$F$699,3)&amp;RIGHT('EASI AFR Detail'!$F$5:$F$699,5)&amp;LEFT('EASI AFR Detail'!$G$5:$G$699,4)&amp;RIGHT('EASI AFR Detail'!$J$5:$J$699,8)="sup0100)Conn5 (5010)",'EASI AFR Detail'!$O$5:$O$699))</f>
        <v>0</v>
      </c>
      <c r="G38" s="49">
        <f t="array" ref="G38">+SUM(IF(LEFT('EASI AFR Detail'!$F$5:$F$699,3)&amp;RIGHT('EASI AFR Detail'!$F$5:$F$699,5)&amp;LEFT('EASI AFR Detail'!$G$5:$G$699,12)&amp;RIGHT('EASI AFR Detail'!$J$5:$J$699,8)="sup0100)Diagnostic a5 (5010)",'EASI AFR Detail'!$O$5:$O$699))</f>
        <v>0</v>
      </c>
      <c r="H38" s="49">
        <f t="array" ref="H38">+SUM(IF(LEFT('EASI AFR Detail'!$F$5:$F$699,3)&amp;RIGHT('EASI AFR Detail'!$F$5:$F$699,5)&amp;LEFT('EASI AFR Detail'!$G$5:$G$699,10)&amp;RIGHT('EASI AFR Detail'!$J$5:$J$699,8)="sup0100)District D5 (5010)",'EASI AFR Detail'!$O$5:$O$699))</f>
        <v>0</v>
      </c>
      <c r="I38" s="49">
        <f t="array" ref="I38">+SUM(IF(LEFT('EASI AFR Detail'!$F$5:$F$699,3)&amp;RIGHT('EASI AFR Detail'!$F$5:$F$699,5)&amp;LEFT('EASI AFR Detail'!$G$5:$G$699,10)&amp;RIGHT('EASI AFR Detail'!$J$5:$J$699,8)="sup0100)District S5 (5010)",'EASI AFR Detail'!$O$5:$O$699))</f>
        <v>0</v>
      </c>
      <c r="J38" s="49">
        <f t="array" ref="J38">+SUM(IF(LEFT('EASI AFR Detail'!$F$5:$F$699,3)&amp;RIGHT('EASI AFR Detail'!$F$5:$F$699,5)&amp;LEFT('EASI AFR Detail'!$G$5:$G$699,4)&amp;RIGHT('EASI AFR Detail'!$J$5:$J$699,8)="sup0100)Expl5 (5010)",'EASI AFR Detail'!$O$5:$O$699))</f>
        <v>0</v>
      </c>
      <c r="K38" s="49">
        <f t="array" ref="K38">+SUM(IF(LEFT('EASI AFR Detail'!$F$5:$F$699,3)&amp;RIGHT('EASI AFR Detail'!$F$5:$F$699,5)&amp;LEFT('EASI AFR Detail'!$G$5:$G$699,4)&amp;RIGHT('EASI AFR Detail'!$J$5:$J$699,8)="sup0100)Faci5 (5010)",'EASI AFR Detail'!$O$5:$O$699))</f>
        <v>0</v>
      </c>
      <c r="L38" s="49">
        <f t="array" ref="L38">+SUM(IF(LEFT('EASI AFR Detail'!$F$5:$F$699,3)&amp;RIGHT('EASI AFR Detail'!$F$5:$F$699,5)&amp;LEFT('EASI AFR Detail'!$G$5:$G$699,4)&amp;RIGHT('EASI AFR Detail'!$J$5:$J$699,8)="sup0100)MTSS5 (5010)",'EASI AFR Detail'!$O$5:$O$699))</f>
        <v>0</v>
      </c>
      <c r="M38" s="49">
        <f t="array" ref="M38">+SUM(IF(LEFT('EASI AFR Detail'!$F$5:$F$699,3)&amp;RIGHT('EASI AFR Detail'!$F$5:$F$699,5)&amp;LEFT('EASI AFR Detail'!$G$5:$G$699,4)&amp;RIGHT('EASI AFR Detail'!$J$5:$J$699,8)="sup0100)Rigo5 (5010)",'EASI AFR Detail'!$O$5:$O$699))</f>
        <v>0</v>
      </c>
      <c r="N38" s="49">
        <f t="array" ref="N38">+SUM(IF(LEFT('EASI AFR Detail'!$F$5:$F$699,3)&amp;RIGHT('EASI AFR Detail'!$F$5:$F$699,5)&amp;LEFT('EASI AFR Detail'!$G$5:$G$699,9)&amp;RIGHT('EASI AFR Detail'!$J$5:$J$699,8)="sup0100)School Tr5 (5010)",'EASI AFR Detail'!$O$5:$O$699))</f>
        <v>0</v>
      </c>
      <c r="O38" s="49">
        <f t="array" ref="O38">+SUM(IF(LEFT('EASI AFR Detail'!$F$5:$F$699,3)&amp;RIGHT('EASI AFR Detail'!$F$5:$F$699,5)&amp;LEFT('EASI AFR Detail'!$G$5:$G$699,9)&amp;RIGHT('EASI AFR Detail'!$J$5:$J$699,8)="sup0100)School Tu5 (5010)",'EASI AFR Detail'!$O$5:$O$699))</f>
        <v>0</v>
      </c>
      <c r="P38" s="50">
        <f t="shared" ref="P38:P43" si="7">SUM(D38:O38)</f>
        <v>0</v>
      </c>
    </row>
    <row r="39" spans="1:16" x14ac:dyDescent="0.3">
      <c r="A39" s="188"/>
      <c r="B39" s="63">
        <v>9</v>
      </c>
      <c r="C39" s="64" t="s">
        <v>6546</v>
      </c>
      <c r="D39" s="49">
        <f t="array" ref="D39">+SUM(IF(LEFT('EASI AFR Detail'!$F$5:$F$699,3)&amp;RIGHT('EASI AFR Detail'!$F$5:$F$699,5)&amp;LEFT('EASI AFR Detail'!$G$5:$G$699,4)&amp;RIGHT('EASI AFR Detail'!$J$5:$J$699,8)="sup0200)Acco5 (5010)",'EASI AFR Detail'!$O$5:$O$699))</f>
        <v>0</v>
      </c>
      <c r="E39" s="49" cm="1">
        <f t="array" ref="E39">+SUM(IF(LEFT('EASI AFR Detail'!$F$5:$F$699,3)&amp;RIGHT('EASI AFR Detail'!$F$5:$F$699,5)&amp;LEFT('EASI AFR Detail'!$G$5:$G$699,4)&amp;RIGHT('EASI AFR Detail'!$J$5:$J$699,8)="sup0200)Colo5 (5010)",'EASI AFR Detail'!$O$5:$O$699))</f>
        <v>0</v>
      </c>
      <c r="F39" s="49">
        <f t="array" ref="F39">+SUM(IF(LEFT('EASI AFR Detail'!$F$5:$F$699,3)&amp;RIGHT('EASI AFR Detail'!$F$5:$F$699,5)&amp;LEFT('EASI AFR Detail'!$G$5:$G$699,4)&amp;RIGHT('EASI AFR Detail'!$J$5:$J$699,8)="sup0200)Conn5 (5010)",'EASI AFR Detail'!$O$5:$O$699))</f>
        <v>0</v>
      </c>
      <c r="G39" s="49">
        <f t="array" ref="G39">+SUM(IF(LEFT('EASI AFR Detail'!$F$5:$F$699,3)&amp;RIGHT('EASI AFR Detail'!$F$5:$F$699,5)&amp;LEFT('EASI AFR Detail'!$G$5:$G$699,12)&amp;RIGHT('EASI AFR Detail'!$J$5:$J$699,8)="sup0200)Diagnostic a5 (5010)",'EASI AFR Detail'!$O$5:$O$699))</f>
        <v>0</v>
      </c>
      <c r="H39" s="49">
        <f t="array" ref="H39">+SUM(IF(LEFT('EASI AFR Detail'!$F$5:$F$699,3)&amp;RIGHT('EASI AFR Detail'!$F$5:$F$699,5)&amp;LEFT('EASI AFR Detail'!$G$5:$G$699,10)&amp;RIGHT('EASI AFR Detail'!$J$5:$J$699,8)="sup0200)District D5 (5010)",'EASI AFR Detail'!$O$5:$O$699))</f>
        <v>0</v>
      </c>
      <c r="I39" s="49">
        <f t="array" ref="I39">+SUM(IF(LEFT('EASI AFR Detail'!$F$5:$F$699,3)&amp;RIGHT('EASI AFR Detail'!$F$5:$F$699,5)&amp;LEFT('EASI AFR Detail'!$G$5:$G$699,10)&amp;RIGHT('EASI AFR Detail'!$J$5:$J$699,8)="sup0200)District S5 (5010)",'EASI AFR Detail'!$O$5:$O$699))</f>
        <v>0</v>
      </c>
      <c r="J39" s="49">
        <f t="array" ref="J39">+SUM(IF(LEFT('EASI AFR Detail'!$F$5:$F$699,3)&amp;RIGHT('EASI AFR Detail'!$F$5:$F$699,5)&amp;LEFT('EASI AFR Detail'!$G$5:$G$699,4)&amp;RIGHT('EASI AFR Detail'!$J$5:$J$699,8)="sup0200)Expl5 (5010)",'EASI AFR Detail'!$O$5:$O$699))</f>
        <v>0</v>
      </c>
      <c r="K39" s="49">
        <f t="array" ref="K39">+SUM(IF(LEFT('EASI AFR Detail'!$F$5:$F$699,3)&amp;RIGHT('EASI AFR Detail'!$F$5:$F$699,5)&amp;LEFT('EASI AFR Detail'!$G$5:$G$699,4)&amp;RIGHT('EASI AFR Detail'!$J$5:$J$699,8)="sup0200)Faci5 (5010)",'EASI AFR Detail'!$O$5:$O$699))</f>
        <v>0</v>
      </c>
      <c r="L39" s="49">
        <f t="array" ref="L39">+SUM(IF(LEFT('EASI AFR Detail'!$F$5:$F$699,3)&amp;RIGHT('EASI AFR Detail'!$F$5:$F$699,5)&amp;LEFT('EASI AFR Detail'!$G$5:$G$699,4)&amp;RIGHT('EASI AFR Detail'!$J$5:$J$699,8)="sup0200)MTSS5 (5010)",'EASI AFR Detail'!$O$5:$O$699))</f>
        <v>0</v>
      </c>
      <c r="M39" s="49">
        <f t="array" ref="M39">+SUM(IF(LEFT('EASI AFR Detail'!$F$5:$F$699,3)&amp;RIGHT('EASI AFR Detail'!$F$5:$F$699,5)&amp;LEFT('EASI AFR Detail'!$G$5:$G$699,4)&amp;RIGHT('EASI AFR Detail'!$J$5:$J$699,8)="sup0200)Rigo5 (5010)",'EASI AFR Detail'!$O$5:$O$699))</f>
        <v>0</v>
      </c>
      <c r="N39" s="49">
        <f t="array" ref="N39">+SUM(IF(LEFT('EASI AFR Detail'!$F$5:$F$699,3)&amp;RIGHT('EASI AFR Detail'!$F$5:$F$699,5)&amp;LEFT('EASI AFR Detail'!$G$5:$G$699,9)&amp;RIGHT('EASI AFR Detail'!$J$5:$J$699,8)="sup0200)School Tr5 (5010)",'EASI AFR Detail'!$O$5:$O$699))</f>
        <v>0</v>
      </c>
      <c r="O39" s="49">
        <f t="array" ref="O39">+SUM(IF(LEFT('EASI AFR Detail'!$F$5:$F$699,3)&amp;RIGHT('EASI AFR Detail'!$F$5:$F$699,5)&amp;LEFT('EASI AFR Detail'!$G$5:$G$699,9)&amp;RIGHT('EASI AFR Detail'!$J$5:$J$699,8)="sup0200)School Tu5 (5010)",'EASI AFR Detail'!$O$5:$O$699))</f>
        <v>0</v>
      </c>
      <c r="P39" s="53">
        <f t="shared" si="7"/>
        <v>0</v>
      </c>
    </row>
    <row r="40" spans="1:16" x14ac:dyDescent="0.3">
      <c r="A40" s="188"/>
      <c r="B40" s="63">
        <v>10</v>
      </c>
      <c r="C40" s="64" t="s">
        <v>6547</v>
      </c>
      <c r="D40" s="49">
        <f t="array" ref="D40">+SUM(IF(LEFT('EASI AFR Detail'!$F$5:$F$699,3)&amp;RIGHT('EASI AFR Detail'!$F$5:$F$699,5)&amp;LEFT('EASI AFR Detail'!$G$5:$G$699,4)&amp;RIGHT('EASI AFR Detail'!$J$5:$J$699,8)="sup0300)Acco5 (5010)",'EASI AFR Detail'!$O$5:$O$699))</f>
        <v>0</v>
      </c>
      <c r="E40" s="49" cm="1">
        <f t="array" ref="E40">+SUM(IF(LEFT('EASI AFR Detail'!$F$5:$F$699,3)&amp;RIGHT('EASI AFR Detail'!$F$5:$F$699,5)&amp;LEFT('EASI AFR Detail'!$G$5:$G$699,4)&amp;RIGHT('EASI AFR Detail'!$J$5:$J$699,8)="sup0300)Colo5 (5010)",'EASI AFR Detail'!$O$5:$O$699))</f>
        <v>0</v>
      </c>
      <c r="F40" s="49">
        <f t="array" ref="F40">+SUM(IF(LEFT('EASI AFR Detail'!$F$5:$F$699,3)&amp;RIGHT('EASI AFR Detail'!$F$5:$F$699,5)&amp;LEFT('EASI AFR Detail'!$G$5:$G$699,4)&amp;RIGHT('EASI AFR Detail'!$J$5:$J$699,8)="sup0300)Conn5 (5010)",'EASI AFR Detail'!$O$5:$O$699))</f>
        <v>0</v>
      </c>
      <c r="G40" s="49">
        <f t="array" ref="G40">+SUM(IF(LEFT('EASI AFR Detail'!$F$5:$F$699,3)&amp;RIGHT('EASI AFR Detail'!$F$5:$F$699,5)&amp;LEFT('EASI AFR Detail'!$G$5:$G$699,12)&amp;RIGHT('EASI AFR Detail'!$J$5:$J$699,8)="sup0300)Diagnostic a5 (5010)",'EASI AFR Detail'!$O$5:$O$699))</f>
        <v>0</v>
      </c>
      <c r="H40" s="49">
        <f t="array" ref="H40">+SUM(IF(LEFT('EASI AFR Detail'!$F$5:$F$699,3)&amp;RIGHT('EASI AFR Detail'!$F$5:$F$699,5)&amp;LEFT('EASI AFR Detail'!$G$5:$G$699,10)&amp;RIGHT('EASI AFR Detail'!$J$5:$J$699,8)="sup0300)District D5 (5010)",'EASI AFR Detail'!$O$5:$O$699))</f>
        <v>0</v>
      </c>
      <c r="I40" s="49">
        <f t="array" ref="I40">+SUM(IF(LEFT('EASI AFR Detail'!$F$5:$F$699,3)&amp;RIGHT('EASI AFR Detail'!$F$5:$F$699,5)&amp;LEFT('EASI AFR Detail'!$G$5:$G$699,10)&amp;RIGHT('EASI AFR Detail'!$J$5:$J$699,8)="sup0300)District S5 (5010)",'EASI AFR Detail'!$O$5:$O$699))</f>
        <v>0</v>
      </c>
      <c r="J40" s="49">
        <f t="array" ref="J40">+SUM(IF(LEFT('EASI AFR Detail'!$F$5:$F$699,3)&amp;RIGHT('EASI AFR Detail'!$F$5:$F$699,5)&amp;LEFT('EASI AFR Detail'!$G$5:$G$699,4)&amp;RIGHT('EASI AFR Detail'!$J$5:$J$699,8)="sup0300)Expl5 (5010)",'EASI AFR Detail'!$O$5:$O$699))</f>
        <v>0</v>
      </c>
      <c r="K40" s="49">
        <f t="array" ref="K40">+SUM(IF(LEFT('EASI AFR Detail'!$F$5:$F$699,3)&amp;RIGHT('EASI AFR Detail'!$F$5:$F$699,5)&amp;LEFT('EASI AFR Detail'!$G$5:$G$699,4)&amp;RIGHT('EASI AFR Detail'!$J$5:$J$699,8)="sup0300)Faci5 (5010)",'EASI AFR Detail'!$O$5:$O$699))</f>
        <v>0</v>
      </c>
      <c r="L40" s="49">
        <f t="array" ref="L40">+SUM(IF(LEFT('EASI AFR Detail'!$F$5:$F$699,3)&amp;RIGHT('EASI AFR Detail'!$F$5:$F$699,5)&amp;LEFT('EASI AFR Detail'!$G$5:$G$699,4)&amp;RIGHT('EASI AFR Detail'!$J$5:$J$699,8)="sup0300)MTSS5 (5010)",'EASI AFR Detail'!$O$5:$O$699))</f>
        <v>0</v>
      </c>
      <c r="M40" s="49">
        <f t="array" ref="M40">+SUM(IF(LEFT('EASI AFR Detail'!$F$5:$F$699,3)&amp;RIGHT('EASI AFR Detail'!$F$5:$F$699,5)&amp;LEFT('EASI AFR Detail'!$G$5:$G$699,4)&amp;RIGHT('EASI AFR Detail'!$J$5:$J$699,8)="sup0300)Rigo5 (5010)",'EASI AFR Detail'!$O$5:$O$699))</f>
        <v>0</v>
      </c>
      <c r="N40" s="49">
        <f t="array" ref="N40">+SUM(IF(LEFT('EASI AFR Detail'!$F$5:$F$699,3)&amp;RIGHT('EASI AFR Detail'!$F$5:$F$699,5)&amp;LEFT('EASI AFR Detail'!$G$5:$G$699,9)&amp;RIGHT('EASI AFR Detail'!$J$5:$J$699,8)="sup0300)School Tr5 (5010)",'EASI AFR Detail'!$O$5:$O$699))</f>
        <v>0</v>
      </c>
      <c r="O40" s="49">
        <f t="array" ref="O40">+SUM(IF(LEFT('EASI AFR Detail'!$F$5:$F$699,3)&amp;RIGHT('EASI AFR Detail'!$F$5:$F$699,5)&amp;LEFT('EASI AFR Detail'!$G$5:$G$699,9)&amp;RIGHT('EASI AFR Detail'!$J$5:$J$699,8)="sup0300)School Tu5 (5010)",'EASI AFR Detail'!$O$5:$O$699))</f>
        <v>0</v>
      </c>
      <c r="P40" s="53">
        <f t="shared" si="7"/>
        <v>0</v>
      </c>
    </row>
    <row r="41" spans="1:16" x14ac:dyDescent="0.3">
      <c r="A41" s="188"/>
      <c r="B41" s="63">
        <v>11</v>
      </c>
      <c r="C41" s="64" t="s">
        <v>6548</v>
      </c>
      <c r="D41" s="49">
        <f t="array" ref="D41">+SUM(IF(LEFT('EASI AFR Detail'!$F$5:$F$699,3)&amp;RIGHT('EASI AFR Detail'!$F$5:$F$699,5)&amp;LEFT('EASI AFR Detail'!$G$5:$G$699,4)&amp;RIGHT('EASI AFR Detail'!$J$5:$J$699,8)="sup0500)Acco5 (5010)",'EASI AFR Detail'!$O$5:$O$699))</f>
        <v>0</v>
      </c>
      <c r="E41" s="49" cm="1">
        <f t="array" ref="E41">+SUM(IF(LEFT('EASI AFR Detail'!$F$5:$F$699,3)&amp;RIGHT('EASI AFR Detail'!$F$5:$F$699,5)&amp;LEFT('EASI AFR Detail'!$G$5:$G$699,4)&amp;RIGHT('EASI AFR Detail'!$J$5:$J$699,8)="sup0500)Colo5 (5010)",'EASI AFR Detail'!$O$5:$O$699))</f>
        <v>0</v>
      </c>
      <c r="F41" s="49">
        <f t="array" ref="F41">+SUM(IF(LEFT('EASI AFR Detail'!$F$5:$F$699,3)&amp;RIGHT('EASI AFR Detail'!$F$5:$F$699,5)&amp;LEFT('EASI AFR Detail'!$G$5:$G$699,4)&amp;RIGHT('EASI AFR Detail'!$J$5:$J$699,8)="sup0500)Conn5 (5010)",'EASI AFR Detail'!$O$5:$O$699))</f>
        <v>0</v>
      </c>
      <c r="G41" s="49">
        <f t="array" ref="G41">+SUM(IF(LEFT('EASI AFR Detail'!$F$5:$F$699,3)&amp;RIGHT('EASI AFR Detail'!$F$5:$F$699,5)&amp;LEFT('EASI AFR Detail'!$G$5:$G$699,12)&amp;RIGHT('EASI AFR Detail'!$J$5:$J$699,8)="sup0500)Diagnostic a5 (5010)",'EASI AFR Detail'!$O$5:$O$699))</f>
        <v>0</v>
      </c>
      <c r="H41" s="49">
        <f t="array" ref="H41">+SUM(IF(LEFT('EASI AFR Detail'!$F$5:$F$699,3)&amp;RIGHT('EASI AFR Detail'!$F$5:$F$699,5)&amp;LEFT('EASI AFR Detail'!$G$5:$G$699,10)&amp;RIGHT('EASI AFR Detail'!$J$5:$J$699,8)="sup0500)District D5 (5010)",'EASI AFR Detail'!$O$5:$O$699))</f>
        <v>0</v>
      </c>
      <c r="I41" s="49">
        <f t="array" ref="I41">+SUM(IF(LEFT('EASI AFR Detail'!$F$5:$F$699,3)&amp;RIGHT('EASI AFR Detail'!$F$5:$F$699,5)&amp;LEFT('EASI AFR Detail'!$G$5:$G$699,10)&amp;RIGHT('EASI AFR Detail'!$J$5:$J$699,8)="sup0500)District S5 (5010)",'EASI AFR Detail'!$O$5:$O$699))</f>
        <v>0</v>
      </c>
      <c r="J41" s="49">
        <f t="array" ref="J41">+SUM(IF(LEFT('EASI AFR Detail'!$F$5:$F$699,3)&amp;RIGHT('EASI AFR Detail'!$F$5:$F$699,5)&amp;LEFT('EASI AFR Detail'!$G$5:$G$699,4)&amp;RIGHT('EASI AFR Detail'!$J$5:$J$699,8)="sup0500)Expl5 (5010)",'EASI AFR Detail'!$O$5:$O$699))</f>
        <v>0</v>
      </c>
      <c r="K41" s="49">
        <f t="array" ref="K41">+SUM(IF(LEFT('EASI AFR Detail'!$F$5:$F$699,3)&amp;RIGHT('EASI AFR Detail'!$F$5:$F$699,5)&amp;LEFT('EASI AFR Detail'!$G$5:$G$699,4)&amp;RIGHT('EASI AFR Detail'!$J$5:$J$699,8)="sup0500)Faci5 (5010)",'EASI AFR Detail'!$O$5:$O$699))</f>
        <v>0</v>
      </c>
      <c r="L41" s="49">
        <f t="array" ref="L41">+SUM(IF(LEFT('EASI AFR Detail'!$F$5:$F$699,3)&amp;RIGHT('EASI AFR Detail'!$F$5:$F$699,5)&amp;LEFT('EASI AFR Detail'!$G$5:$G$699,4)&amp;RIGHT('EASI AFR Detail'!$J$5:$J$699,8)="sup0500)MTSS5 (5010)",'EASI AFR Detail'!$O$5:$O$699))</f>
        <v>0</v>
      </c>
      <c r="M41" s="49">
        <f t="array" ref="M41">+SUM(IF(LEFT('EASI AFR Detail'!$F$5:$F$699,3)&amp;RIGHT('EASI AFR Detail'!$F$5:$F$699,5)&amp;LEFT('EASI AFR Detail'!$G$5:$G$699,4)&amp;RIGHT('EASI AFR Detail'!$J$5:$J$699,8)="sup0500)Rigo5 (5010)",'EASI AFR Detail'!$O$5:$O$699))</f>
        <v>0</v>
      </c>
      <c r="N41" s="49">
        <f t="array" ref="N41">+SUM(IF(LEFT('EASI AFR Detail'!$F$5:$F$699,3)&amp;RIGHT('EASI AFR Detail'!$F$5:$F$699,5)&amp;LEFT('EASI AFR Detail'!$G$5:$G$699,9)&amp;RIGHT('EASI AFR Detail'!$J$5:$J$699,8)="sup0500)School Tr5 (5010)",'EASI AFR Detail'!$O$5:$O$699))</f>
        <v>0</v>
      </c>
      <c r="O41" s="49">
        <f t="array" ref="O41">+SUM(IF(LEFT('EASI AFR Detail'!$F$5:$F$699,3)&amp;RIGHT('EASI AFR Detail'!$F$5:$F$699,5)&amp;LEFT('EASI AFR Detail'!$G$5:$G$699,9)&amp;RIGHT('EASI AFR Detail'!$J$5:$J$699,8)="sup0500)School Tu5 (5010)",'EASI AFR Detail'!$O$5:$O$699))</f>
        <v>0</v>
      </c>
      <c r="P41" s="53">
        <f t="shared" si="7"/>
        <v>0</v>
      </c>
    </row>
    <row r="42" spans="1:16" x14ac:dyDescent="0.3">
      <c r="A42" s="188"/>
      <c r="B42" s="63">
        <v>12</v>
      </c>
      <c r="C42" s="64" t="s">
        <v>6549</v>
      </c>
      <c r="D42" s="49">
        <f t="array" ref="D42">+SUM(IF(LEFT('EASI AFR Detail'!$F$5:$F$699,3)&amp;RIGHT('EASI AFR Detail'!$F$5:$F$699,5)&amp;LEFT('EASI AFR Detail'!$G$5:$G$699,4)&amp;RIGHT('EASI AFR Detail'!$J$5:$J$699,8)="sup0580)Acco5 (5010)",'EASI AFR Detail'!$O$5:$O$699))</f>
        <v>0</v>
      </c>
      <c r="E42" s="49" cm="1">
        <f t="array" ref="E42">+SUM(IF(LEFT('EASI AFR Detail'!$F$5:$F$699,3)&amp;RIGHT('EASI AFR Detail'!$F$5:$F$699,5)&amp;LEFT('EASI AFR Detail'!$G$5:$G$699,4)&amp;RIGHT('EASI AFR Detail'!$J$5:$J$699,8)="sup0580)Colo5 (5010)",'EASI AFR Detail'!$O$5:$O$699))</f>
        <v>0</v>
      </c>
      <c r="F42" s="49">
        <f t="array" ref="F42">+SUM(IF(LEFT('EASI AFR Detail'!$F$5:$F$699,3)&amp;RIGHT('EASI AFR Detail'!$F$5:$F$699,5)&amp;LEFT('EASI AFR Detail'!$G$5:$G$699,4)&amp;RIGHT('EASI AFR Detail'!$J$5:$J$699,8)="sup0580)Conn5 (5010)",'EASI AFR Detail'!$O$5:$O$699))</f>
        <v>0</v>
      </c>
      <c r="G42" s="49">
        <f t="array" ref="G42">+SUM(IF(LEFT('EASI AFR Detail'!$F$5:$F$699,3)&amp;RIGHT('EASI AFR Detail'!$F$5:$F$699,5)&amp;LEFT('EASI AFR Detail'!$G$5:$G$699,12)&amp;RIGHT('EASI AFR Detail'!$J$5:$J$699,8)="sup0580)Diagnostic a5 (5010)",'EASI AFR Detail'!$O$5:$O$699))</f>
        <v>0</v>
      </c>
      <c r="H42" s="49">
        <f t="array" ref="H42">+SUM(IF(LEFT('EASI AFR Detail'!$F$5:$F$699,3)&amp;RIGHT('EASI AFR Detail'!$F$5:$F$699,5)&amp;LEFT('EASI AFR Detail'!$G$5:$G$699,10)&amp;RIGHT('EASI AFR Detail'!$J$5:$J$699,8)="sup0580)District D5 (5010)",'EASI AFR Detail'!$O$5:$O$699))</f>
        <v>0</v>
      </c>
      <c r="I42" s="49">
        <f t="array" ref="I42">+SUM(IF(LEFT('EASI AFR Detail'!$F$5:$F$699,3)&amp;RIGHT('EASI AFR Detail'!$F$5:$F$699,5)&amp;LEFT('EASI AFR Detail'!$G$5:$G$699,10)&amp;RIGHT('EASI AFR Detail'!$J$5:$J$699,8)="sup0580)District S5 (5010)",'EASI AFR Detail'!$O$5:$O$699))</f>
        <v>0</v>
      </c>
      <c r="J42" s="49">
        <f t="array" ref="J42">+SUM(IF(LEFT('EASI AFR Detail'!$F$5:$F$699,3)&amp;RIGHT('EASI AFR Detail'!$F$5:$F$699,5)&amp;LEFT('EASI AFR Detail'!$G$5:$G$699,4)&amp;RIGHT('EASI AFR Detail'!$J$5:$J$699,8)="sup0580)Expl5 (5010)",'EASI AFR Detail'!$O$5:$O$699))</f>
        <v>0</v>
      </c>
      <c r="K42" s="49">
        <f t="array" ref="K42">+SUM(IF(LEFT('EASI AFR Detail'!$F$5:$F$699,3)&amp;RIGHT('EASI AFR Detail'!$F$5:$F$699,5)&amp;LEFT('EASI AFR Detail'!$G$5:$G$699,4)&amp;RIGHT('EASI AFR Detail'!$J$5:$J$699,8)="sup0580)Faci5 (5010)",'EASI AFR Detail'!$O$5:$O$699))</f>
        <v>0</v>
      </c>
      <c r="L42" s="49">
        <f t="array" ref="L42">+SUM(IF(LEFT('EASI AFR Detail'!$F$5:$F$699,3)&amp;RIGHT('EASI AFR Detail'!$F$5:$F$699,5)&amp;LEFT('EASI AFR Detail'!$G$5:$G$699,4)&amp;RIGHT('EASI AFR Detail'!$J$5:$J$699,8)="sup0580)MTSS5 (5010)",'EASI AFR Detail'!$O$5:$O$699))</f>
        <v>0</v>
      </c>
      <c r="M42" s="49">
        <f t="array" ref="M42">+SUM(IF(LEFT('EASI AFR Detail'!$F$5:$F$699,3)&amp;RIGHT('EASI AFR Detail'!$F$5:$F$699,5)&amp;LEFT('EASI AFR Detail'!$G$5:$G$699,4)&amp;RIGHT('EASI AFR Detail'!$J$5:$J$699,8)="sup0580)Rigo5 (5010)",'EASI AFR Detail'!$O$5:$O$699))</f>
        <v>0</v>
      </c>
      <c r="N42" s="49">
        <f t="array" ref="N42">+SUM(IF(LEFT('EASI AFR Detail'!$F$5:$F$699,3)&amp;RIGHT('EASI AFR Detail'!$F$5:$F$699,5)&amp;LEFT('EASI AFR Detail'!$G$5:$G$699,9)&amp;RIGHT('EASI AFR Detail'!$J$5:$J$699,8)="sup0580)School Tr5 (5010)",'EASI AFR Detail'!$O$5:$O$699))</f>
        <v>0</v>
      </c>
      <c r="O42" s="49">
        <f t="array" ref="O42">+SUM(IF(LEFT('EASI AFR Detail'!$F$5:$F$699,3)&amp;RIGHT('EASI AFR Detail'!$F$5:$F$699,5)&amp;LEFT('EASI AFR Detail'!$G$5:$G$699,9)&amp;RIGHT('EASI AFR Detail'!$J$5:$J$699,8)="sup0580)School Tu5 (5010)",'EASI AFR Detail'!$O$5:$O$699))</f>
        <v>0</v>
      </c>
      <c r="P42" s="53">
        <f t="shared" si="7"/>
        <v>0</v>
      </c>
    </row>
    <row r="43" spans="1:16" x14ac:dyDescent="0.3">
      <c r="A43" s="188"/>
      <c r="B43" s="63">
        <v>13</v>
      </c>
      <c r="C43" s="64" t="s">
        <v>6550</v>
      </c>
      <c r="D43" s="49">
        <f t="array" ref="D43">+SUM(IF(LEFT('EASI AFR Detail'!$F$5:$F$699,3)&amp;RIGHT('EASI AFR Detail'!$F$5:$F$699,5)&amp;LEFT('EASI AFR Detail'!$G$5:$G$699,4)&amp;RIGHT('EASI AFR Detail'!$J$5:$J$699,8)="sup0600)Acco5 (5010)",'EASI AFR Detail'!$O$5:$O$699))</f>
        <v>0</v>
      </c>
      <c r="E43" s="49" cm="1">
        <f t="array" ref="E43">+SUM(IF(LEFT('EASI AFR Detail'!$F$5:$F$699,3)&amp;RIGHT('EASI AFR Detail'!$F$5:$F$699,5)&amp;LEFT('EASI AFR Detail'!$G$5:$G$699,4)&amp;RIGHT('EASI AFR Detail'!$J$5:$J$699,8)="sup0600)Colo5 (5010)",'EASI AFR Detail'!$O$5:$O$699))</f>
        <v>0</v>
      </c>
      <c r="F43" s="49">
        <f t="array" ref="F43">+SUM(IF(LEFT('EASI AFR Detail'!$F$5:$F$699,3)&amp;RIGHT('EASI AFR Detail'!$F$5:$F$699,5)&amp;LEFT('EASI AFR Detail'!$G$5:$G$699,4)&amp;RIGHT('EASI AFR Detail'!$J$5:$J$699,8)="sup0600)Conn5 (5010)",'EASI AFR Detail'!$O$5:$O$699))</f>
        <v>0</v>
      </c>
      <c r="G43" s="49">
        <f t="array" ref="G43">+SUM(IF(LEFT('EASI AFR Detail'!$F$5:$F$699,3)&amp;RIGHT('EASI AFR Detail'!$F$5:$F$699,5)&amp;LEFT('EASI AFR Detail'!$G$5:$G$699,12)&amp;RIGHT('EASI AFR Detail'!$J$5:$J$699,8)="sup0600)Diagnostic a5 (5010)",'EASI AFR Detail'!$O$5:$O$699))</f>
        <v>0</v>
      </c>
      <c r="H43" s="49">
        <f t="array" ref="H43">+SUM(IF(LEFT('EASI AFR Detail'!$F$5:$F$699,3)&amp;RIGHT('EASI AFR Detail'!$F$5:$F$699,5)&amp;LEFT('EASI AFR Detail'!$G$5:$G$699,10)&amp;RIGHT('EASI AFR Detail'!$J$5:$J$699,8)="sup0600)District D5 (5010)",'EASI AFR Detail'!$O$5:$O$699))</f>
        <v>0</v>
      </c>
      <c r="I43" s="49">
        <f t="array" ref="I43">+SUM(IF(LEFT('EASI AFR Detail'!$F$5:$F$699,3)&amp;RIGHT('EASI AFR Detail'!$F$5:$F$699,5)&amp;LEFT('EASI AFR Detail'!$G$5:$G$699,10)&amp;RIGHT('EASI AFR Detail'!$J$5:$J$699,8)="sup0600)District S5 (5010)",'EASI AFR Detail'!$O$5:$O$699))</f>
        <v>0</v>
      </c>
      <c r="J43" s="49">
        <f t="array" ref="J43">+SUM(IF(LEFT('EASI AFR Detail'!$F$5:$F$699,3)&amp;RIGHT('EASI AFR Detail'!$F$5:$F$699,5)&amp;LEFT('EASI AFR Detail'!$G$5:$G$699,4)&amp;RIGHT('EASI AFR Detail'!$J$5:$J$699,8)="sup0600)Expl5 (5010)",'EASI AFR Detail'!$O$5:$O$699))</f>
        <v>0</v>
      </c>
      <c r="K43" s="49">
        <f t="array" ref="K43">+SUM(IF(LEFT('EASI AFR Detail'!$F$5:$F$699,3)&amp;RIGHT('EASI AFR Detail'!$F$5:$F$699,5)&amp;LEFT('EASI AFR Detail'!$G$5:$G$699,4)&amp;RIGHT('EASI AFR Detail'!$J$5:$J$699,8)="sup0600)Faci5 (5010)",'EASI AFR Detail'!$O$5:$O$699))</f>
        <v>0</v>
      </c>
      <c r="L43" s="49">
        <f t="array" ref="L43">+SUM(IF(LEFT('EASI AFR Detail'!$F$5:$F$699,3)&amp;RIGHT('EASI AFR Detail'!$F$5:$F$699,5)&amp;LEFT('EASI AFR Detail'!$G$5:$G$699,4)&amp;RIGHT('EASI AFR Detail'!$J$5:$J$699,8)="sup0600)MTSS5 (5010)",'EASI AFR Detail'!$O$5:$O$699))</f>
        <v>0</v>
      </c>
      <c r="M43" s="49">
        <f t="array" ref="M43">+SUM(IF(LEFT('EASI AFR Detail'!$F$5:$F$699,3)&amp;RIGHT('EASI AFR Detail'!$F$5:$F$699,5)&amp;LEFT('EASI AFR Detail'!$G$5:$G$699,4)&amp;RIGHT('EASI AFR Detail'!$J$5:$J$699,8)="sup0600)Rigo5 (5010)",'EASI AFR Detail'!$O$5:$O$699))</f>
        <v>0</v>
      </c>
      <c r="N43" s="49">
        <f t="array" ref="N43">+SUM(IF(LEFT('EASI AFR Detail'!$F$5:$F$699,3)&amp;RIGHT('EASI AFR Detail'!$F$5:$F$699,5)&amp;LEFT('EASI AFR Detail'!$G$5:$G$699,9)&amp;RIGHT('EASI AFR Detail'!$J$5:$J$699,8)="sup0600)School Tr5 (5010)",'EASI AFR Detail'!$O$5:$O$699))</f>
        <v>0</v>
      </c>
      <c r="O43" s="49">
        <f t="array" ref="O43">+SUM(IF(LEFT('EASI AFR Detail'!$F$5:$F$699,3)&amp;RIGHT('EASI AFR Detail'!$F$5:$F$699,5)&amp;LEFT('EASI AFR Detail'!$G$5:$G$699,9)&amp;RIGHT('EASI AFR Detail'!$J$5:$J$699,8)="sup0600)School Tu5 (5010)",'EASI AFR Detail'!$O$5:$O$699))</f>
        <v>0</v>
      </c>
      <c r="P43" s="53">
        <f t="shared" si="7"/>
        <v>0</v>
      </c>
    </row>
    <row r="44" spans="1:16" x14ac:dyDescent="0.3">
      <c r="A44" s="188"/>
      <c r="B44" s="63">
        <v>14</v>
      </c>
      <c r="C44" s="65" t="s">
        <v>6553</v>
      </c>
      <c r="D44" s="49">
        <f>SUM(D38:D43)</f>
        <v>0</v>
      </c>
      <c r="E44" s="57">
        <f t="shared" ref="E44:P44" si="8">SUM(E38:E43)</f>
        <v>0</v>
      </c>
      <c r="F44" s="57">
        <f t="shared" si="8"/>
        <v>0</v>
      </c>
      <c r="G44" s="57">
        <f t="shared" si="8"/>
        <v>0</v>
      </c>
      <c r="H44" s="57">
        <f t="shared" si="8"/>
        <v>0</v>
      </c>
      <c r="I44" s="57">
        <f t="shared" si="8"/>
        <v>0</v>
      </c>
      <c r="J44" s="57">
        <f t="shared" si="8"/>
        <v>0</v>
      </c>
      <c r="K44" s="57">
        <f t="shared" si="8"/>
        <v>0</v>
      </c>
      <c r="L44" s="57">
        <f t="shared" si="8"/>
        <v>0</v>
      </c>
      <c r="M44" s="57">
        <f t="shared" si="8"/>
        <v>0</v>
      </c>
      <c r="N44" s="57">
        <f t="shared" si="8"/>
        <v>0</v>
      </c>
      <c r="O44" s="57">
        <f t="shared" si="8"/>
        <v>0</v>
      </c>
      <c r="P44" s="53">
        <f t="shared" si="8"/>
        <v>0</v>
      </c>
    </row>
    <row r="45" spans="1:16" x14ac:dyDescent="0.3">
      <c r="A45" s="188"/>
      <c r="B45" s="66"/>
      <c r="C45" s="67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9"/>
    </row>
    <row r="46" spans="1:16" x14ac:dyDescent="0.3">
      <c r="A46" s="188"/>
      <c r="B46" s="63">
        <v>15</v>
      </c>
      <c r="C46" s="64" t="s">
        <v>6554</v>
      </c>
      <c r="D46" s="39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1">
        <f>SUM(D46:O46)</f>
        <v>0</v>
      </c>
    </row>
    <row r="47" spans="1:16" x14ac:dyDescent="0.3">
      <c r="A47" s="188"/>
      <c r="B47" s="66"/>
      <c r="C47" s="70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9"/>
    </row>
    <row r="48" spans="1:16" ht="15" thickBot="1" x14ac:dyDescent="0.35">
      <c r="A48" s="189"/>
      <c r="B48" s="71">
        <v>16</v>
      </c>
      <c r="C48" s="72" t="s">
        <v>6517</v>
      </c>
      <c r="D48" s="73">
        <f>D35+D44+D46</f>
        <v>0</v>
      </c>
      <c r="E48" s="74">
        <f t="shared" ref="E48:O48" si="9">E35+E44+E46</f>
        <v>0</v>
      </c>
      <c r="F48" s="74">
        <f t="shared" si="9"/>
        <v>0</v>
      </c>
      <c r="G48" s="74">
        <f t="shared" si="9"/>
        <v>0</v>
      </c>
      <c r="H48" s="74">
        <f t="shared" si="9"/>
        <v>0</v>
      </c>
      <c r="I48" s="74">
        <f t="shared" si="9"/>
        <v>0</v>
      </c>
      <c r="J48" s="74">
        <f t="shared" si="9"/>
        <v>0</v>
      </c>
      <c r="K48" s="74">
        <f t="shared" si="9"/>
        <v>0</v>
      </c>
      <c r="L48" s="74">
        <f t="shared" si="9"/>
        <v>0</v>
      </c>
      <c r="M48" s="74">
        <f t="shared" si="9"/>
        <v>0</v>
      </c>
      <c r="N48" s="74">
        <f t="shared" si="9"/>
        <v>0</v>
      </c>
      <c r="O48" s="74">
        <f t="shared" si="9"/>
        <v>0</v>
      </c>
      <c r="P48" s="75">
        <f>P35+P44+P46</f>
        <v>0</v>
      </c>
    </row>
    <row r="49" spans="1:16" x14ac:dyDescent="0.3">
      <c r="C49" s="77"/>
    </row>
    <row r="50" spans="1:16" ht="15" thickBot="1" x14ac:dyDescent="0.35">
      <c r="C50" s="77"/>
    </row>
    <row r="51" spans="1:16" ht="15" thickBot="1" x14ac:dyDescent="0.35">
      <c r="A51" s="187" t="s">
        <v>6560</v>
      </c>
      <c r="B51" s="190" t="s">
        <v>6543</v>
      </c>
      <c r="C51" s="190"/>
      <c r="D51" s="45" t="s">
        <v>6544</v>
      </c>
      <c r="E51" s="45" t="s">
        <v>6544</v>
      </c>
      <c r="F51" s="45" t="s">
        <v>6544</v>
      </c>
      <c r="G51" s="45" t="s">
        <v>6544</v>
      </c>
      <c r="H51" s="45" t="s">
        <v>6544</v>
      </c>
      <c r="I51" s="45" t="s">
        <v>6544</v>
      </c>
      <c r="J51" s="45" t="s">
        <v>6544</v>
      </c>
      <c r="K51" s="45" t="s">
        <v>6544</v>
      </c>
      <c r="L51" s="45" t="s">
        <v>6544</v>
      </c>
      <c r="M51" s="45" t="s">
        <v>6544</v>
      </c>
      <c r="N51" s="45" t="s">
        <v>6544</v>
      </c>
      <c r="O51" s="45" t="s">
        <v>6544</v>
      </c>
      <c r="P51" s="45" t="s">
        <v>6544</v>
      </c>
    </row>
    <row r="52" spans="1:16" x14ac:dyDescent="0.3">
      <c r="A52" s="188"/>
      <c r="B52" s="47">
        <v>1</v>
      </c>
      <c r="C52" s="48" t="s">
        <v>6545</v>
      </c>
      <c r="D52" s="49" cm="1">
        <f t="array" ref="D52">+SUM(IF(LEFT('EASI AFR Detail'!$F$5:$F$699,3)&amp;RIGHT('EASI AFR Detail'!$F$5:$F$699,5)&amp;LEFT('EASI AFR Detail'!$G$5:$G$699,4)&amp;RIGHT('EASI AFR Detail'!$J$5:$J$699,8)="ins0100)Acco6 (5010)",'EASI AFR Detail'!$O$5:$O$699))</f>
        <v>0</v>
      </c>
      <c r="E52" s="49" cm="1">
        <f t="array" ref="E52">+SUM(IF(LEFT('EASI AFR Detail'!$F$5:$F$699,3)&amp;RIGHT('EASI AFR Detail'!$F$5:$F$699,5)&amp;LEFT('EASI AFR Detail'!$G$5:$G$699,4)&amp;RIGHT('EASI AFR Detail'!$J$5:$J$699,8)="ins0100)Colo6 (5010)",'EASI AFR Detail'!$O$5:$O$699))</f>
        <v>0</v>
      </c>
      <c r="F52" s="49" cm="1">
        <f t="array" ref="F52">+SUM(IF(LEFT('EASI AFR Detail'!$F$5:$F$699,3)&amp;RIGHT('EASI AFR Detail'!$F$5:$F$699,5)&amp;LEFT('EASI AFR Detail'!$G$5:$G$699,4)&amp;RIGHT('EASI AFR Detail'!$J$5:$J$699,8)="ins0100)Conn6 (5010)",'EASI AFR Detail'!$O$5:$O$699))</f>
        <v>0</v>
      </c>
      <c r="G52" s="49" cm="1">
        <f t="array" ref="G52">+SUM(IF(LEFT('EASI AFR Detail'!$F$5:$F$699,3)&amp;RIGHT('EASI AFR Detail'!$F$5:$F$699,5)&amp;LEFT('EASI AFR Detail'!$G$5:$G$699,12)&amp;RIGHT('EASI AFR Detail'!$J$5:$J$699,8)="ins0100)Diagnostic a6 (5010)",'EASI AFR Detail'!$O$5:$O$699))</f>
        <v>0</v>
      </c>
      <c r="H52" s="49" cm="1">
        <f t="array" ref="H52">+SUM(IF(LEFT('EASI AFR Detail'!$F$5:$F$699,3)&amp;RIGHT('EASI AFR Detail'!$F$5:$F$699,5)&amp;LEFT('EASI AFR Detail'!$G$5:$G$699,10)&amp;RIGHT('EASI AFR Detail'!$J$5:$J$699,8)="ins0100)District D6 (5010)",'EASI AFR Detail'!$O$5:$O$699))</f>
        <v>0</v>
      </c>
      <c r="I52" s="49" cm="1">
        <f t="array" ref="I52">+SUM(IF(LEFT('EASI AFR Detail'!$F$5:$F$699,3)&amp;RIGHT('EASI AFR Detail'!$F$5:$F$699,5)&amp;LEFT('EASI AFR Detail'!$G$5:$G$699,10)&amp;RIGHT('EASI AFR Detail'!$J$5:$J$699,8)="ins0100)District S6 (5010)",'EASI AFR Detail'!$O$5:$O$699))</f>
        <v>0</v>
      </c>
      <c r="J52" s="49" cm="1">
        <f t="array" ref="J52">+SUM(IF(LEFT('EASI AFR Detail'!$F$5:$F$699,3)&amp;RIGHT('EASI AFR Detail'!$F$5:$F$699,5)&amp;LEFT('EASI AFR Detail'!$G$5:$G$699,4)&amp;RIGHT('EASI AFR Detail'!$J$5:$J$699,8)="ins0100)Expl6 (5010)",'EASI AFR Detail'!$O$5:$O$699))</f>
        <v>0</v>
      </c>
      <c r="K52" s="49" cm="1">
        <f t="array" ref="K52">+SUM(IF(LEFT('EASI AFR Detail'!$F$5:$F$699,3)&amp;RIGHT('EASI AFR Detail'!$F$5:$F$699,5)&amp;LEFT('EASI AFR Detail'!$G$5:$G$699,4)&amp;RIGHT('EASI AFR Detail'!$J$5:$J$699,8)="ins0100)Faci6 (5010)",'EASI AFR Detail'!$O$5:$O$699))</f>
        <v>0</v>
      </c>
      <c r="L52" s="49" cm="1">
        <f t="array" ref="L52">+SUM(IF(LEFT('EASI AFR Detail'!$F$5:$F$699,3)&amp;RIGHT('EASI AFR Detail'!$F$5:$F$699,5)&amp;LEFT('EASI AFR Detail'!$G$5:$G$699,4)&amp;RIGHT('EASI AFR Detail'!$J$5:$J$699,8)="ins0100)MTSS6 (5010)",'EASI AFR Detail'!$O$5:$O$699))</f>
        <v>0</v>
      </c>
      <c r="M52" s="49" cm="1">
        <f t="array" ref="M52">+SUM(IF(LEFT('EASI AFR Detail'!$F$5:$F$699,3)&amp;RIGHT('EASI AFR Detail'!$F$5:$F$699,5)&amp;LEFT('EASI AFR Detail'!$G$5:$G$699,4)&amp;RIGHT('EASI AFR Detail'!$J$5:$J$699,8)="ins0100)Rigo6 (5010)",'EASI AFR Detail'!$O$5:$O$699))</f>
        <v>0</v>
      </c>
      <c r="N52" s="49" cm="1">
        <f t="array" ref="N52">+SUM(IF(LEFT('EASI AFR Detail'!$F$5:$F$699,3)&amp;RIGHT('EASI AFR Detail'!$F$5:$F$699,5)&amp;LEFT('EASI AFR Detail'!$G$5:$G$699,9)&amp;RIGHT('EASI AFR Detail'!$J$5:$J$699,8)="ins0100)School Tr6 (5010)",'EASI AFR Detail'!$O$5:$O$699))</f>
        <v>0</v>
      </c>
      <c r="O52" s="49" cm="1">
        <f t="array" ref="O52">+SUM(IF(LEFT('EASI AFR Detail'!$F$5:$F$699,3)&amp;RIGHT('EASI AFR Detail'!$F$5:$F$699,5)&amp;LEFT('EASI AFR Detail'!$G$5:$G$699,9)&amp;RIGHT('EASI AFR Detail'!$J$5:$J$699,8)="ins0100)School Tu6 (5010)",'EASI AFR Detail'!$O$5:$O$699))</f>
        <v>0</v>
      </c>
      <c r="P52" s="50">
        <f t="shared" ref="P52:P57" si="10">SUM(D52:O52)</f>
        <v>0</v>
      </c>
    </row>
    <row r="53" spans="1:16" x14ac:dyDescent="0.3">
      <c r="A53" s="188"/>
      <c r="B53" s="51">
        <v>2</v>
      </c>
      <c r="C53" s="52" t="s">
        <v>6546</v>
      </c>
      <c r="D53" s="49" cm="1">
        <f t="array" ref="D53">+SUM(IF(LEFT('EASI AFR Detail'!$F$5:$F$699,3)&amp;RIGHT('EASI AFR Detail'!$F$5:$F$699,5)&amp;LEFT('EASI AFR Detail'!$G$5:$G$699,4)&amp;RIGHT('EASI AFR Detail'!$J$5:$J$699,8)="ins0200)Acco6 (5010)",'EASI AFR Detail'!$O$5:$O$699))</f>
        <v>0</v>
      </c>
      <c r="E53" s="49" cm="1">
        <f t="array" ref="E53">+SUM(IF(LEFT('EASI AFR Detail'!$F$5:$F$699,3)&amp;RIGHT('EASI AFR Detail'!$F$5:$F$699,5)&amp;LEFT('EASI AFR Detail'!$G$5:$G$699,4)&amp;RIGHT('EASI AFR Detail'!$J$5:$J$699,8)="ins0200)Colo6 (5010)",'EASI AFR Detail'!$O$5:$O$699))</f>
        <v>0</v>
      </c>
      <c r="F53" s="49" cm="1">
        <f t="array" ref="F53">+SUM(IF(LEFT('EASI AFR Detail'!$F$5:$F$699,3)&amp;RIGHT('EASI AFR Detail'!$F$5:$F$699,5)&amp;LEFT('EASI AFR Detail'!$G$5:$G$699,4)&amp;RIGHT('EASI AFR Detail'!$J$5:$J$699,8)="ins0200)Conn6 (5010)",'EASI AFR Detail'!$O$5:$O$699))</f>
        <v>0</v>
      </c>
      <c r="G53" s="49" cm="1">
        <f t="array" ref="G53">+SUM(IF(LEFT('EASI AFR Detail'!$F$5:$F$699,3)&amp;RIGHT('EASI AFR Detail'!$F$5:$F$699,5)&amp;LEFT('EASI AFR Detail'!$G$5:$G$699,12)&amp;RIGHT('EASI AFR Detail'!$J$5:$J$699,8)="ins0200)Diagnostic a6 (5010)",'EASI AFR Detail'!$O$5:$O$699))</f>
        <v>0</v>
      </c>
      <c r="H53" s="49" cm="1">
        <f t="array" ref="H53">+SUM(IF(LEFT('EASI AFR Detail'!$F$5:$F$699,3)&amp;RIGHT('EASI AFR Detail'!$F$5:$F$699,5)&amp;LEFT('EASI AFR Detail'!$G$5:$G$699,10)&amp;RIGHT('EASI AFR Detail'!$J$5:$J$699,8)="ins0200)District D6 (5010)",'EASI AFR Detail'!$O$5:$O$699))</f>
        <v>0</v>
      </c>
      <c r="I53" s="49" cm="1">
        <f t="array" ref="I53">+SUM(IF(LEFT('EASI AFR Detail'!$F$5:$F$699,3)&amp;RIGHT('EASI AFR Detail'!$F$5:$F$699,5)&amp;LEFT('EASI AFR Detail'!$G$5:$G$699,10)&amp;RIGHT('EASI AFR Detail'!$J$5:$J$699,8)="ins0200)District S6 (5010)",'EASI AFR Detail'!$O$5:$O$699))</f>
        <v>0</v>
      </c>
      <c r="J53" s="49" cm="1">
        <f t="array" ref="J53">+SUM(IF(LEFT('EASI AFR Detail'!$F$5:$F$699,3)&amp;RIGHT('EASI AFR Detail'!$F$5:$F$699,5)&amp;LEFT('EASI AFR Detail'!$G$5:$G$699,4)&amp;RIGHT('EASI AFR Detail'!$J$5:$J$699,8)="ins0200)Expl6 (5010)",'EASI AFR Detail'!$O$5:$O$699))</f>
        <v>0</v>
      </c>
      <c r="K53" s="49" cm="1">
        <f t="array" ref="K53">+SUM(IF(LEFT('EASI AFR Detail'!$F$5:$F$699,3)&amp;RIGHT('EASI AFR Detail'!$F$5:$F$699,5)&amp;LEFT('EASI AFR Detail'!$G$5:$G$699,4)&amp;RIGHT('EASI AFR Detail'!$J$5:$J$699,8)="ins0200)Faci6 (5010)",'EASI AFR Detail'!$O$5:$O$699))</f>
        <v>0</v>
      </c>
      <c r="L53" s="49" cm="1">
        <f t="array" ref="L53">+SUM(IF(LEFT('EASI AFR Detail'!$F$5:$F$699,3)&amp;RIGHT('EASI AFR Detail'!$F$5:$F$699,5)&amp;LEFT('EASI AFR Detail'!$G$5:$G$699,4)&amp;RIGHT('EASI AFR Detail'!$J$5:$J$699,8)="ins0200)MTSS6 (5010)",'EASI AFR Detail'!$O$5:$O$699))</f>
        <v>0</v>
      </c>
      <c r="M53" s="49" cm="1">
        <f t="array" ref="M53">+SUM(IF(LEFT('EASI AFR Detail'!$F$5:$F$699,3)&amp;RIGHT('EASI AFR Detail'!$F$5:$F$699,5)&amp;LEFT('EASI AFR Detail'!$G$5:$G$699,4)&amp;RIGHT('EASI AFR Detail'!$J$5:$J$699,8)="ins0200)Rigo6 (5010)",'EASI AFR Detail'!$O$5:$O$699))</f>
        <v>0</v>
      </c>
      <c r="N53" s="49" cm="1">
        <f t="array" ref="N53">+SUM(IF(LEFT('EASI AFR Detail'!$F$5:$F$699,3)&amp;RIGHT('EASI AFR Detail'!$F$5:$F$699,5)&amp;LEFT('EASI AFR Detail'!$G$5:$G$699,9)&amp;RIGHT('EASI AFR Detail'!$J$5:$J$699,8)="ins0200)School Tr6 (5010)",'EASI AFR Detail'!$O$5:$O$699))</f>
        <v>0</v>
      </c>
      <c r="O53" s="49" cm="1">
        <f t="array" ref="O53">+SUM(IF(LEFT('EASI AFR Detail'!$F$5:$F$699,3)&amp;RIGHT('EASI AFR Detail'!$F$5:$F$699,5)&amp;LEFT('EASI AFR Detail'!$G$5:$G$699,9)&amp;RIGHT('EASI AFR Detail'!$J$5:$J$699,8)="ins0200)School Tu6 (5010)",'EASI AFR Detail'!$O$5:$O$699))</f>
        <v>0</v>
      </c>
      <c r="P53" s="53">
        <f t="shared" si="10"/>
        <v>0</v>
      </c>
    </row>
    <row r="54" spans="1:16" x14ac:dyDescent="0.3">
      <c r="A54" s="188"/>
      <c r="B54" s="51">
        <v>3</v>
      </c>
      <c r="C54" s="52" t="s">
        <v>6547</v>
      </c>
      <c r="D54" s="49" cm="1">
        <f t="array" ref="D54">+SUM(IF(LEFT('EASI AFR Detail'!$F$5:$F$699,3)&amp;RIGHT('EASI AFR Detail'!$F$5:$F$699,5)&amp;LEFT('EASI AFR Detail'!$G$5:$G$699,4)&amp;RIGHT('EASI AFR Detail'!$J$5:$J$699,8)="ins0300)Acco6 (5010)",'EASI AFR Detail'!$O$5:$O$699))</f>
        <v>0</v>
      </c>
      <c r="E54" s="49" cm="1">
        <f t="array" ref="E54">+SUM(IF(LEFT('EASI AFR Detail'!$F$5:$F$699,3)&amp;RIGHT('EASI AFR Detail'!$F$5:$F$699,5)&amp;LEFT('EASI AFR Detail'!$G$5:$G$699,4)&amp;RIGHT('EASI AFR Detail'!$J$5:$J$699,8)="ins0300)Colo6 (5010)",'EASI AFR Detail'!$O$5:$O$699))</f>
        <v>0</v>
      </c>
      <c r="F54" s="49" cm="1">
        <f t="array" ref="F54">+SUM(IF(LEFT('EASI AFR Detail'!$F$5:$F$699,3)&amp;RIGHT('EASI AFR Detail'!$F$5:$F$699,5)&amp;LEFT('EASI AFR Detail'!$G$5:$G$699,4)&amp;RIGHT('EASI AFR Detail'!$J$5:$J$699,8)="ins0300)Conn6 (5010)",'EASI AFR Detail'!$O$5:$O$699))</f>
        <v>0</v>
      </c>
      <c r="G54" s="49" cm="1">
        <f t="array" ref="G54">+SUM(IF(LEFT('EASI AFR Detail'!$F$5:$F$699,3)&amp;RIGHT('EASI AFR Detail'!$F$5:$F$699,5)&amp;LEFT('EASI AFR Detail'!$G$5:$G$699,12)&amp;RIGHT('EASI AFR Detail'!$J$5:$J$699,8)="ins0300)Diagnostic a6 (5010)",'EASI AFR Detail'!$O$5:$O$699))</f>
        <v>0</v>
      </c>
      <c r="H54" s="49" cm="1">
        <f t="array" ref="H54">+SUM(IF(LEFT('EASI AFR Detail'!$F$5:$F$699,3)&amp;RIGHT('EASI AFR Detail'!$F$5:$F$699,5)&amp;LEFT('EASI AFR Detail'!$G$5:$G$699,10)&amp;RIGHT('EASI AFR Detail'!$J$5:$J$699,8)="ins0300)District D6 (5010)",'EASI AFR Detail'!$O$5:$O$699))</f>
        <v>0</v>
      </c>
      <c r="I54" s="49" cm="1">
        <f t="array" ref="I54">+SUM(IF(LEFT('EASI AFR Detail'!$F$5:$F$699,3)&amp;RIGHT('EASI AFR Detail'!$F$5:$F$699,5)&amp;LEFT('EASI AFR Detail'!$G$5:$G$699,10)&amp;RIGHT('EASI AFR Detail'!$J$5:$J$699,8)="ins0300)District S6 (5010)",'EASI AFR Detail'!$O$5:$O$699))</f>
        <v>0</v>
      </c>
      <c r="J54" s="49" cm="1">
        <f t="array" ref="J54">+SUM(IF(LEFT('EASI AFR Detail'!$F$5:$F$699,3)&amp;RIGHT('EASI AFR Detail'!$F$5:$F$699,5)&amp;LEFT('EASI AFR Detail'!$G$5:$G$699,4)&amp;RIGHT('EASI AFR Detail'!$J$5:$J$699,8)="ins0300)Expl6 (5010)",'EASI AFR Detail'!$O$5:$O$699))</f>
        <v>0</v>
      </c>
      <c r="K54" s="49" cm="1">
        <f t="array" ref="K54">+SUM(IF(LEFT('EASI AFR Detail'!$F$5:$F$699,3)&amp;RIGHT('EASI AFR Detail'!$F$5:$F$699,5)&amp;LEFT('EASI AFR Detail'!$G$5:$G$699,4)&amp;RIGHT('EASI AFR Detail'!$J$5:$J$699,8)="ins0300)Faci6 (5010)",'EASI AFR Detail'!$O$5:$O$699))</f>
        <v>0</v>
      </c>
      <c r="L54" s="49" cm="1">
        <f t="array" ref="L54">+SUM(IF(LEFT('EASI AFR Detail'!$F$5:$F$699,3)&amp;RIGHT('EASI AFR Detail'!$F$5:$F$699,5)&amp;LEFT('EASI AFR Detail'!$G$5:$G$699,4)&amp;RIGHT('EASI AFR Detail'!$J$5:$J$699,8)="ins0300)MTSS6 (5010)",'EASI AFR Detail'!$O$5:$O$699))</f>
        <v>0</v>
      </c>
      <c r="M54" s="49" cm="1">
        <f t="array" ref="M54">+SUM(IF(LEFT('EASI AFR Detail'!$F$5:$F$699,3)&amp;RIGHT('EASI AFR Detail'!$F$5:$F$699,5)&amp;LEFT('EASI AFR Detail'!$G$5:$G$699,4)&amp;RIGHT('EASI AFR Detail'!$J$5:$J$699,8)="ins0300)Rigo6 (5010)",'EASI AFR Detail'!$O$5:$O$699))</f>
        <v>0</v>
      </c>
      <c r="N54" s="49" cm="1">
        <f t="array" ref="N54">+SUM(IF(LEFT('EASI AFR Detail'!$F$5:$F$699,3)&amp;RIGHT('EASI AFR Detail'!$F$5:$F$699,5)&amp;LEFT('EASI AFR Detail'!$G$5:$G$699,9)&amp;RIGHT('EASI AFR Detail'!$J$5:$J$699,8)="ins0300)School Tr6 (5010)",'EASI AFR Detail'!$O$5:$O$699))</f>
        <v>0</v>
      </c>
      <c r="O54" s="49" cm="1">
        <f t="array" ref="O54">+SUM(IF(LEFT('EASI AFR Detail'!$F$5:$F$699,3)&amp;RIGHT('EASI AFR Detail'!$F$5:$F$699,5)&amp;LEFT('EASI AFR Detail'!$G$5:$G$699,9)&amp;RIGHT('EASI AFR Detail'!$J$5:$J$699,8)="ins0300)School Tu6 (5010)",'EASI AFR Detail'!$O$5:$O$699))</f>
        <v>0</v>
      </c>
      <c r="P54" s="53">
        <f t="shared" si="10"/>
        <v>0</v>
      </c>
    </row>
    <row r="55" spans="1:16" x14ac:dyDescent="0.3">
      <c r="A55" s="188"/>
      <c r="B55" s="51">
        <v>4</v>
      </c>
      <c r="C55" s="52" t="s">
        <v>6548</v>
      </c>
      <c r="D55" s="49" cm="1">
        <f t="array" ref="D55">+SUM(IF(LEFT('EASI AFR Detail'!$F$5:$F$699,3)&amp;RIGHT('EASI AFR Detail'!$F$5:$F$699,5)&amp;LEFT('EASI AFR Detail'!$G$5:$G$699,4)&amp;RIGHT('EASI AFR Detail'!$J$5:$J$699,8)="ins0500)Acco6 (5010)",'EASI AFR Detail'!$O$5:$O$699))</f>
        <v>0</v>
      </c>
      <c r="E55" s="49" cm="1">
        <f t="array" ref="E55">+SUM(IF(LEFT('EASI AFR Detail'!$F$5:$F$699,3)&amp;RIGHT('EASI AFR Detail'!$F$5:$F$699,5)&amp;LEFT('EASI AFR Detail'!$G$5:$G$699,4)&amp;RIGHT('EASI AFR Detail'!$J$5:$J$699,8)="ins0500)Colo6 (5010)",'EASI AFR Detail'!$O$5:$O$699))</f>
        <v>0</v>
      </c>
      <c r="F55" s="49" cm="1">
        <f t="array" ref="F55">+SUM(IF(LEFT('EASI AFR Detail'!$F$5:$F$699,3)&amp;RIGHT('EASI AFR Detail'!$F$5:$F$699,5)&amp;LEFT('EASI AFR Detail'!$G$5:$G$699,4)&amp;RIGHT('EASI AFR Detail'!$J$5:$J$699,8)="ins0500)Conn6 (5010)",'EASI AFR Detail'!$O$5:$O$699))</f>
        <v>0</v>
      </c>
      <c r="G55" s="49" cm="1">
        <f t="array" ref="G55">+SUM(IF(LEFT('EASI AFR Detail'!$F$5:$F$699,3)&amp;RIGHT('EASI AFR Detail'!$F$5:$F$699,5)&amp;LEFT('EASI AFR Detail'!$G$5:$G$699,12)&amp;RIGHT('EASI AFR Detail'!$J$5:$J$699,8)="ins0500)Diagnostic a6 (5010)",'EASI AFR Detail'!$O$5:$O$699))</f>
        <v>0</v>
      </c>
      <c r="H55" s="49" cm="1">
        <f t="array" ref="H55">+SUM(IF(LEFT('EASI AFR Detail'!$F$5:$F$699,3)&amp;RIGHT('EASI AFR Detail'!$F$5:$F$699,5)&amp;LEFT('EASI AFR Detail'!$G$5:$G$699,10)&amp;RIGHT('EASI AFR Detail'!$J$5:$J$699,8)="ins0500)District D6 (5010)",'EASI AFR Detail'!$O$5:$O$699))</f>
        <v>0</v>
      </c>
      <c r="I55" s="49" cm="1">
        <f t="array" ref="I55">+SUM(IF(LEFT('EASI AFR Detail'!$F$5:$F$699,3)&amp;RIGHT('EASI AFR Detail'!$F$5:$F$699,5)&amp;LEFT('EASI AFR Detail'!$G$5:$G$699,10)&amp;RIGHT('EASI AFR Detail'!$J$5:$J$699,8)="ins0500)District S6 (5010)",'EASI AFR Detail'!$O$5:$O$699))</f>
        <v>0</v>
      </c>
      <c r="J55" s="49" cm="1">
        <f t="array" ref="J55">+SUM(IF(LEFT('EASI AFR Detail'!$F$5:$F$699,3)&amp;RIGHT('EASI AFR Detail'!$F$5:$F$699,5)&amp;LEFT('EASI AFR Detail'!$G$5:$G$699,4)&amp;RIGHT('EASI AFR Detail'!$J$5:$J$699,8)="ins0500)Expl6 (5010)",'EASI AFR Detail'!$O$5:$O$699))</f>
        <v>0</v>
      </c>
      <c r="K55" s="49" cm="1">
        <f t="array" ref="K55">+SUM(IF(LEFT('EASI AFR Detail'!$F$5:$F$699,3)&amp;RIGHT('EASI AFR Detail'!$F$5:$F$699,5)&amp;LEFT('EASI AFR Detail'!$G$5:$G$699,4)&amp;RIGHT('EASI AFR Detail'!$J$5:$J$699,8)="ins0500)Faci6 (5010)",'EASI AFR Detail'!$O$5:$O$699))</f>
        <v>0</v>
      </c>
      <c r="L55" s="49" cm="1">
        <f t="array" ref="L55">+SUM(IF(LEFT('EASI AFR Detail'!$F$5:$F$699,3)&amp;RIGHT('EASI AFR Detail'!$F$5:$F$699,5)&amp;LEFT('EASI AFR Detail'!$G$5:$G$699,4)&amp;RIGHT('EASI AFR Detail'!$J$5:$J$699,8)="ins0500)MTSS6 (5010)",'EASI AFR Detail'!$O$5:$O$699))</f>
        <v>0</v>
      </c>
      <c r="M55" s="49" cm="1">
        <f t="array" ref="M55">+SUM(IF(LEFT('EASI AFR Detail'!$F$5:$F$699,3)&amp;RIGHT('EASI AFR Detail'!$F$5:$F$699,5)&amp;LEFT('EASI AFR Detail'!$G$5:$G$699,4)&amp;RIGHT('EASI AFR Detail'!$J$5:$J$699,8)="ins0500)Rigo6 (5010)",'EASI AFR Detail'!$O$5:$O$699))</f>
        <v>0</v>
      </c>
      <c r="N55" s="49" cm="1">
        <f t="array" ref="N55">+SUM(IF(LEFT('EASI AFR Detail'!$F$5:$F$699,3)&amp;RIGHT('EASI AFR Detail'!$F$5:$F$699,5)&amp;LEFT('EASI AFR Detail'!$G$5:$G$699,9)&amp;RIGHT('EASI AFR Detail'!$J$5:$J$699,8)="ins0500)School Tr6 (5010)",'EASI AFR Detail'!$O$5:$O$699))</f>
        <v>0</v>
      </c>
      <c r="O55" s="49" cm="1">
        <f t="array" ref="O55">+SUM(IF(LEFT('EASI AFR Detail'!$F$5:$F$699,3)&amp;RIGHT('EASI AFR Detail'!$F$5:$F$699,5)&amp;LEFT('EASI AFR Detail'!$G$5:$G$699,9)&amp;RIGHT('EASI AFR Detail'!$J$5:$J$699,8)="ins0500)School Tu6 (5010)",'EASI AFR Detail'!$O$5:$O$699))</f>
        <v>0</v>
      </c>
      <c r="P55" s="53">
        <f t="shared" si="10"/>
        <v>0</v>
      </c>
    </row>
    <row r="56" spans="1:16" x14ac:dyDescent="0.3">
      <c r="A56" s="188"/>
      <c r="B56" s="51">
        <v>5</v>
      </c>
      <c r="C56" s="52" t="s">
        <v>6549</v>
      </c>
      <c r="D56" s="49" cm="1">
        <f t="array" ref="D56">+SUM(IF(LEFT('EASI AFR Detail'!$F$5:$F$699,3)&amp;RIGHT('EASI AFR Detail'!$F$5:$F$699,5)&amp;LEFT('EASI AFR Detail'!$G$5:$G$699,4)&amp;RIGHT('EASI AFR Detail'!$J$5:$J$699,8)="ins0580)Acco6 (5010)",'EASI AFR Detail'!$O$5:$O$699))</f>
        <v>0</v>
      </c>
      <c r="E56" s="49" cm="1">
        <f t="array" ref="E56">+SUM(IF(LEFT('EASI AFR Detail'!$F$5:$F$699,3)&amp;RIGHT('EASI AFR Detail'!$F$5:$F$699,5)&amp;LEFT('EASI AFR Detail'!$G$5:$G$699,4)&amp;RIGHT('EASI AFR Detail'!$J$5:$J$699,8)="ins0580)Colo6 (5010)",'EASI AFR Detail'!$O$5:$O$699))</f>
        <v>0</v>
      </c>
      <c r="F56" s="49" cm="1">
        <f t="array" ref="F56">+SUM(IF(LEFT('EASI AFR Detail'!$F$5:$F$699,3)&amp;RIGHT('EASI AFR Detail'!$F$5:$F$699,5)&amp;LEFT('EASI AFR Detail'!$G$5:$G$699,4)&amp;RIGHT('EASI AFR Detail'!$J$5:$J$699,8)="ins0580)Conn6 (5010)",'EASI AFR Detail'!$O$5:$O$699))</f>
        <v>0</v>
      </c>
      <c r="G56" s="49" cm="1">
        <f t="array" ref="G56">+SUM(IF(LEFT('EASI AFR Detail'!$F$5:$F$699,3)&amp;RIGHT('EASI AFR Detail'!$F$5:$F$699,5)&amp;LEFT('EASI AFR Detail'!$G$5:$G$699,12)&amp;RIGHT('EASI AFR Detail'!$J$5:$J$699,8)="ins0580)Diagnostic a6 (5010)",'EASI AFR Detail'!$O$5:$O$699))</f>
        <v>0</v>
      </c>
      <c r="H56" s="49" cm="1">
        <f t="array" ref="H56">+SUM(IF(LEFT('EASI AFR Detail'!$F$5:$F$699,3)&amp;RIGHT('EASI AFR Detail'!$F$5:$F$699,5)&amp;LEFT('EASI AFR Detail'!$G$5:$G$699,10)&amp;RIGHT('EASI AFR Detail'!$J$5:$J$699,8)="ins0580)District D6 (5010)",'EASI AFR Detail'!$O$5:$O$699))</f>
        <v>0</v>
      </c>
      <c r="I56" s="49" cm="1">
        <f t="array" ref="I56">+SUM(IF(LEFT('EASI AFR Detail'!$F$5:$F$699,3)&amp;RIGHT('EASI AFR Detail'!$F$5:$F$699,5)&amp;LEFT('EASI AFR Detail'!$G$5:$G$699,10)&amp;RIGHT('EASI AFR Detail'!$J$5:$J$699,8)="ins0580)District S6 (5010)",'EASI AFR Detail'!$O$5:$O$699))</f>
        <v>0</v>
      </c>
      <c r="J56" s="49" cm="1">
        <f t="array" ref="J56">+SUM(IF(LEFT('EASI AFR Detail'!$F$5:$F$699,3)&amp;RIGHT('EASI AFR Detail'!$F$5:$F$699,5)&amp;LEFT('EASI AFR Detail'!$G$5:$G$699,4)&amp;RIGHT('EASI AFR Detail'!$J$5:$J$699,8)="ins0580)Expl6 (5010)",'EASI AFR Detail'!$O$5:$O$699))</f>
        <v>0</v>
      </c>
      <c r="K56" s="49" cm="1">
        <f t="array" ref="K56">+SUM(IF(LEFT('EASI AFR Detail'!$F$5:$F$699,3)&amp;RIGHT('EASI AFR Detail'!$F$5:$F$699,5)&amp;LEFT('EASI AFR Detail'!$G$5:$G$699,4)&amp;RIGHT('EASI AFR Detail'!$J$5:$J$699,8)="ins0580)Faci6 (5010)",'EASI AFR Detail'!$O$5:$O$699))</f>
        <v>0</v>
      </c>
      <c r="L56" s="49" cm="1">
        <f t="array" ref="L56">+SUM(IF(LEFT('EASI AFR Detail'!$F$5:$F$699,3)&amp;RIGHT('EASI AFR Detail'!$F$5:$F$699,5)&amp;LEFT('EASI AFR Detail'!$G$5:$G$699,4)&amp;RIGHT('EASI AFR Detail'!$J$5:$J$699,8)="ins0580)MTSS6 (5010)",'EASI AFR Detail'!$O$5:$O$699))</f>
        <v>0</v>
      </c>
      <c r="M56" s="49" cm="1">
        <f t="array" ref="M56">+SUM(IF(LEFT('EASI AFR Detail'!$F$5:$F$699,3)&amp;RIGHT('EASI AFR Detail'!$F$5:$F$699,5)&amp;LEFT('EASI AFR Detail'!$G$5:$G$699,4)&amp;RIGHT('EASI AFR Detail'!$J$5:$J$699,8)="ins0580)Rigo6 (5010)",'EASI AFR Detail'!$O$5:$O$699))</f>
        <v>0</v>
      </c>
      <c r="N56" s="49" cm="1">
        <f t="array" ref="N56">+SUM(IF(LEFT('EASI AFR Detail'!$F$5:$F$699,3)&amp;RIGHT('EASI AFR Detail'!$F$5:$F$699,5)&amp;LEFT('EASI AFR Detail'!$G$5:$G$699,9)&amp;RIGHT('EASI AFR Detail'!$J$5:$J$699,8)="ins0580)School Tr6 (5010)",'EASI AFR Detail'!$O$5:$O$699))</f>
        <v>0</v>
      </c>
      <c r="O56" s="49" cm="1">
        <f t="array" ref="O56">+SUM(IF(LEFT('EASI AFR Detail'!$F$5:$F$699,3)&amp;RIGHT('EASI AFR Detail'!$F$5:$F$699,5)&amp;LEFT('EASI AFR Detail'!$G$5:$G$699,9)&amp;RIGHT('EASI AFR Detail'!$J$5:$J$699,8)="ins0580)School Tu6 (5010)",'EASI AFR Detail'!$O$5:$O$699))</f>
        <v>0</v>
      </c>
      <c r="P56" s="53">
        <f t="shared" si="10"/>
        <v>0</v>
      </c>
    </row>
    <row r="57" spans="1:16" x14ac:dyDescent="0.3">
      <c r="A57" s="188"/>
      <c r="B57" s="54">
        <v>6</v>
      </c>
      <c r="C57" s="55" t="s">
        <v>6550</v>
      </c>
      <c r="D57" s="49" cm="1">
        <f t="array" ref="D57">+SUM(IF(LEFT('EASI AFR Detail'!$F$5:$F$699,3)&amp;RIGHT('EASI AFR Detail'!$F$5:$F$699,5)&amp;LEFT('EASI AFR Detail'!$G$5:$G$699,4)&amp;RIGHT('EASI AFR Detail'!$J$5:$J$699,8)="ins0600)Acco6 (5010)",'EASI AFR Detail'!$O$5:$O$699))</f>
        <v>0</v>
      </c>
      <c r="E57" s="49" cm="1">
        <f t="array" ref="E57">+SUM(IF(LEFT('EASI AFR Detail'!$F$5:$F$699,3)&amp;RIGHT('EASI AFR Detail'!$F$5:$F$699,5)&amp;LEFT('EASI AFR Detail'!$G$5:$G$699,4)&amp;RIGHT('EASI AFR Detail'!$J$5:$J$699,8)="ins0600)Colo6 (5010)",'EASI AFR Detail'!$O$5:$O$699))</f>
        <v>0</v>
      </c>
      <c r="F57" s="49" cm="1">
        <f t="array" ref="F57">+SUM(IF(LEFT('EASI AFR Detail'!$F$5:$F$699,3)&amp;RIGHT('EASI AFR Detail'!$F$5:$F$699,5)&amp;LEFT('EASI AFR Detail'!$G$5:$G$699,4)&amp;RIGHT('EASI AFR Detail'!$J$5:$J$699,8)="ins0600)Conn6 (5010)",'EASI AFR Detail'!$O$5:$O$699))</f>
        <v>0</v>
      </c>
      <c r="G57" s="49" cm="1">
        <f t="array" ref="G57">+SUM(IF(LEFT('EASI AFR Detail'!$F$5:$F$699,3)&amp;RIGHT('EASI AFR Detail'!$F$5:$F$699,5)&amp;LEFT('EASI AFR Detail'!$G$5:$G$699,12)&amp;RIGHT('EASI AFR Detail'!$J$5:$J$699,8)="ins0600)Diagnostic a6 (5010)",'EASI AFR Detail'!$O$5:$O$699))</f>
        <v>0</v>
      </c>
      <c r="H57" s="49" cm="1">
        <f t="array" ref="H57">+SUM(IF(LEFT('EASI AFR Detail'!$F$5:$F$699,3)&amp;RIGHT('EASI AFR Detail'!$F$5:$F$699,5)&amp;LEFT('EASI AFR Detail'!$G$5:$G$699,10)&amp;RIGHT('EASI AFR Detail'!$J$5:$J$699,8)="ins0600)District D6 (5010)",'EASI AFR Detail'!$O$5:$O$699))</f>
        <v>0</v>
      </c>
      <c r="I57" s="49" cm="1">
        <f t="array" ref="I57">+SUM(IF(LEFT('EASI AFR Detail'!$F$5:$F$699,3)&amp;RIGHT('EASI AFR Detail'!$F$5:$F$699,5)&amp;LEFT('EASI AFR Detail'!$G$5:$G$699,10)&amp;RIGHT('EASI AFR Detail'!$J$5:$J$699,8)="ins0600)District S6 (5010)",'EASI AFR Detail'!$O$5:$O$699))</f>
        <v>0</v>
      </c>
      <c r="J57" s="49" cm="1">
        <f t="array" ref="J57">+SUM(IF(LEFT('EASI AFR Detail'!$F$5:$F$699,3)&amp;RIGHT('EASI AFR Detail'!$F$5:$F$699,5)&amp;LEFT('EASI AFR Detail'!$G$5:$G$699,4)&amp;RIGHT('EASI AFR Detail'!$J$5:$J$699,8)="ins0600)Expl6 (5010)",'EASI AFR Detail'!$O$5:$O$699))</f>
        <v>0</v>
      </c>
      <c r="K57" s="49" cm="1">
        <f t="array" ref="K57">+SUM(IF(LEFT('EASI AFR Detail'!$F$5:$F$699,3)&amp;RIGHT('EASI AFR Detail'!$F$5:$F$699,5)&amp;LEFT('EASI AFR Detail'!$G$5:$G$699,4)&amp;RIGHT('EASI AFR Detail'!$J$5:$J$699,8)="ins0600)Faci6 (5010)",'EASI AFR Detail'!$O$5:$O$699))</f>
        <v>0</v>
      </c>
      <c r="L57" s="49" cm="1">
        <f t="array" ref="L57">+SUM(IF(LEFT('EASI AFR Detail'!$F$5:$F$699,3)&amp;RIGHT('EASI AFR Detail'!$F$5:$F$699,5)&amp;LEFT('EASI AFR Detail'!$G$5:$G$699,4)&amp;RIGHT('EASI AFR Detail'!$J$5:$J$699,8)="ins0600)MTSS6 (5010)",'EASI AFR Detail'!$O$5:$O$699))</f>
        <v>0</v>
      </c>
      <c r="M57" s="49" cm="1">
        <f t="array" ref="M57">+SUM(IF(LEFT('EASI AFR Detail'!$F$5:$F$699,3)&amp;RIGHT('EASI AFR Detail'!$F$5:$F$699,5)&amp;LEFT('EASI AFR Detail'!$G$5:$G$699,4)&amp;RIGHT('EASI AFR Detail'!$J$5:$J$699,8)="ins0600)Rigo6 (5010)",'EASI AFR Detail'!$O$5:$O$699))</f>
        <v>0</v>
      </c>
      <c r="N57" s="49" cm="1">
        <f t="array" ref="N57">+SUM(IF(LEFT('EASI AFR Detail'!$F$5:$F$699,3)&amp;RIGHT('EASI AFR Detail'!$F$5:$F$699,5)&amp;LEFT('EASI AFR Detail'!$G$5:$G$699,9)&amp;RIGHT('EASI AFR Detail'!$J$5:$J$699,8)="ins0600)School Tr6 (5010)",'EASI AFR Detail'!$O$5:$O$699))</f>
        <v>0</v>
      </c>
      <c r="O57" s="49" cm="1">
        <f t="array" ref="O57">+SUM(IF(LEFT('EASI AFR Detail'!$F$5:$F$699,3)&amp;RIGHT('EASI AFR Detail'!$F$5:$F$699,5)&amp;LEFT('EASI AFR Detail'!$G$5:$G$699,9)&amp;RIGHT('EASI AFR Detail'!$J$5:$J$699,8)="ins0600)School Tu6 (5010)",'EASI AFR Detail'!$O$5:$O$699))</f>
        <v>0</v>
      </c>
      <c r="P57" s="53">
        <f t="shared" si="10"/>
        <v>0</v>
      </c>
    </row>
    <row r="58" spans="1:16" ht="15" thickBot="1" x14ac:dyDescent="0.35">
      <c r="A58" s="188"/>
      <c r="B58" s="51">
        <v>7</v>
      </c>
      <c r="C58" s="56" t="s">
        <v>6551</v>
      </c>
      <c r="D58" s="49">
        <f>SUM(D52:D57)</f>
        <v>0</v>
      </c>
      <c r="E58" s="57">
        <f t="shared" ref="E58:P58" si="11">SUM(E52:E57)</f>
        <v>0</v>
      </c>
      <c r="F58" s="57">
        <f t="shared" si="11"/>
        <v>0</v>
      </c>
      <c r="G58" s="57">
        <f t="shared" si="11"/>
        <v>0</v>
      </c>
      <c r="H58" s="57">
        <f t="shared" si="11"/>
        <v>0</v>
      </c>
      <c r="I58" s="57">
        <f t="shared" si="11"/>
        <v>0</v>
      </c>
      <c r="J58" s="57">
        <f t="shared" si="11"/>
        <v>0</v>
      </c>
      <c r="K58" s="57">
        <f t="shared" si="11"/>
        <v>0</v>
      </c>
      <c r="L58" s="57">
        <f t="shared" si="11"/>
        <v>0</v>
      </c>
      <c r="M58" s="57">
        <f t="shared" si="11"/>
        <v>0</v>
      </c>
      <c r="N58" s="57">
        <f t="shared" si="11"/>
        <v>0</v>
      </c>
      <c r="O58" s="57">
        <f t="shared" si="11"/>
        <v>0</v>
      </c>
      <c r="P58" s="53">
        <f t="shared" si="11"/>
        <v>0</v>
      </c>
    </row>
    <row r="59" spans="1:16" ht="15" thickBot="1" x14ac:dyDescent="0.35">
      <c r="A59" s="188"/>
      <c r="C59" s="58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60"/>
    </row>
    <row r="60" spans="1:16" ht="15" thickBot="1" x14ac:dyDescent="0.35">
      <c r="A60" s="188"/>
      <c r="B60" s="190" t="s">
        <v>6552</v>
      </c>
      <c r="C60" s="190"/>
      <c r="D60" s="45" t="s">
        <v>6544</v>
      </c>
      <c r="E60" s="45" t="s">
        <v>6544</v>
      </c>
      <c r="F60" s="45" t="s">
        <v>6544</v>
      </c>
      <c r="G60" s="45" t="s">
        <v>6544</v>
      </c>
      <c r="H60" s="45" t="s">
        <v>6544</v>
      </c>
      <c r="I60" s="45" t="s">
        <v>6544</v>
      </c>
      <c r="J60" s="45" t="s">
        <v>6544</v>
      </c>
      <c r="K60" s="45" t="s">
        <v>6544</v>
      </c>
      <c r="L60" s="45" t="s">
        <v>6544</v>
      </c>
      <c r="M60" s="45" t="s">
        <v>6544</v>
      </c>
      <c r="N60" s="45" t="s">
        <v>6544</v>
      </c>
      <c r="O60" s="45" t="s">
        <v>6544</v>
      </c>
      <c r="P60" s="45" t="s">
        <v>6544</v>
      </c>
    </row>
    <row r="61" spans="1:16" x14ac:dyDescent="0.3">
      <c r="A61" s="188"/>
      <c r="B61" s="61">
        <v>8</v>
      </c>
      <c r="C61" s="62" t="s">
        <v>6545</v>
      </c>
      <c r="D61" s="49" cm="1">
        <f t="array" ref="D61">+SUM(IF(LEFT('EASI AFR Detail'!$F$5:$F$699,3)&amp;RIGHT('EASI AFR Detail'!$F$5:$F$699,5)&amp;LEFT('EASI AFR Detail'!$G$5:$G$699,4)&amp;RIGHT('EASI AFR Detail'!$J$5:$J$699,8)="sup0100)Acco6 (5010)",'EASI AFR Detail'!$O$5:$O$699))</f>
        <v>0</v>
      </c>
      <c r="E61" s="49" cm="1">
        <f t="array" ref="E61">+SUM(IF(LEFT('EASI AFR Detail'!$F$5:$F$699,3)&amp;RIGHT('EASI AFR Detail'!$F$5:$F$699,5)&amp;LEFT('EASI AFR Detail'!$G$5:$G$699,4)&amp;RIGHT('EASI AFR Detail'!$J$5:$J$699,8)="sup0100)Colo6 (5010)",'EASI AFR Detail'!$O$5:$O$699))</f>
        <v>0</v>
      </c>
      <c r="F61" s="49" cm="1">
        <f t="array" ref="F61">+SUM(IF(LEFT('EASI AFR Detail'!$F$5:$F$699,3)&amp;RIGHT('EASI AFR Detail'!$F$5:$F$699,5)&amp;LEFT('EASI AFR Detail'!$G$5:$G$699,4)&amp;RIGHT('EASI AFR Detail'!$J$5:$J$699,8)="sup0100)Conn6 (5010)",'EASI AFR Detail'!$O$5:$O$699))</f>
        <v>0</v>
      </c>
      <c r="G61" s="49" cm="1">
        <f t="array" ref="G61">+SUM(IF(LEFT('EASI AFR Detail'!$F$5:$F$699,3)&amp;RIGHT('EASI AFR Detail'!$F$5:$F$699,5)&amp;LEFT('EASI AFR Detail'!$G$5:$G$699,12)&amp;RIGHT('EASI AFR Detail'!$J$5:$J$699,8)="sup0100)Diagnostic a6 (5010)",'EASI AFR Detail'!$O$5:$O$699))</f>
        <v>0</v>
      </c>
      <c r="H61" s="49" cm="1">
        <f t="array" ref="H61">+SUM(IF(LEFT('EASI AFR Detail'!$F$5:$F$699,3)&amp;RIGHT('EASI AFR Detail'!$F$5:$F$699,5)&amp;LEFT('EASI AFR Detail'!$G$5:$G$699,10)&amp;RIGHT('EASI AFR Detail'!$J$5:$J$699,8)="sup0100)District D6 (5010)",'EASI AFR Detail'!$O$5:$O$699))</f>
        <v>0</v>
      </c>
      <c r="I61" s="49" cm="1">
        <f t="array" ref="I61">+SUM(IF(LEFT('EASI AFR Detail'!$F$5:$F$699,3)&amp;RIGHT('EASI AFR Detail'!$F$5:$F$699,5)&amp;LEFT('EASI AFR Detail'!$G$5:$G$699,10)&amp;RIGHT('EASI AFR Detail'!$J$5:$J$699,8)="sup0100)District S6 (5010)",'EASI AFR Detail'!$O$5:$O$699))</f>
        <v>0</v>
      </c>
      <c r="J61" s="49" cm="1">
        <f t="array" ref="J61">+SUM(IF(LEFT('EASI AFR Detail'!$F$5:$F$699,3)&amp;RIGHT('EASI AFR Detail'!$F$5:$F$699,5)&amp;LEFT('EASI AFR Detail'!$G$5:$G$699,4)&amp;RIGHT('EASI AFR Detail'!$J$5:$J$699,8)="sup0100)Expl6 (5010)",'EASI AFR Detail'!$O$5:$O$699))</f>
        <v>0</v>
      </c>
      <c r="K61" s="49" cm="1">
        <f t="array" ref="K61">+SUM(IF(LEFT('EASI AFR Detail'!$F$5:$F$699,3)&amp;RIGHT('EASI AFR Detail'!$F$5:$F$699,5)&amp;LEFT('EASI AFR Detail'!$G$5:$G$699,4)&amp;RIGHT('EASI AFR Detail'!$J$5:$J$699,8)="sup0100)Faci6 (5010)",'EASI AFR Detail'!$O$5:$O$699))</f>
        <v>0</v>
      </c>
      <c r="L61" s="49" cm="1">
        <f t="array" ref="L61">+SUM(IF(LEFT('EASI AFR Detail'!$F$5:$F$699,3)&amp;RIGHT('EASI AFR Detail'!$F$5:$F$699,5)&amp;LEFT('EASI AFR Detail'!$G$5:$G$699,4)&amp;RIGHT('EASI AFR Detail'!$J$5:$J$699,8)="sup0100)MTSS6 (5010)",'EASI AFR Detail'!$O$5:$O$699))</f>
        <v>0</v>
      </c>
      <c r="M61" s="49" cm="1">
        <f t="array" ref="M61">+SUM(IF(LEFT('EASI AFR Detail'!$F$5:$F$699,3)&amp;RIGHT('EASI AFR Detail'!$F$5:$F$699,5)&amp;LEFT('EASI AFR Detail'!$G$5:$G$699,4)&amp;RIGHT('EASI AFR Detail'!$J$5:$J$699,8)="sup0100)Rigo6 (5010)",'EASI AFR Detail'!$O$5:$O$699))</f>
        <v>0</v>
      </c>
      <c r="N61" s="49" cm="1">
        <f t="array" ref="N61">+SUM(IF(LEFT('EASI AFR Detail'!$F$5:$F$699,3)&amp;RIGHT('EASI AFR Detail'!$F$5:$F$699,5)&amp;LEFT('EASI AFR Detail'!$G$5:$G$699,9)&amp;RIGHT('EASI AFR Detail'!$J$5:$J$699,8)="sup0100)School Tr6 (5010)",'EASI AFR Detail'!$O$5:$O$699))</f>
        <v>0</v>
      </c>
      <c r="O61" s="49" cm="1">
        <f t="array" ref="O61">+SUM(IF(LEFT('EASI AFR Detail'!$F$5:$F$699,3)&amp;RIGHT('EASI AFR Detail'!$F$5:$F$699,5)&amp;LEFT('EASI AFR Detail'!$G$5:$G$699,9)&amp;RIGHT('EASI AFR Detail'!$J$5:$J$699,8)="sup0100)School Tu6 (5010)",'EASI AFR Detail'!$O$5:$O$699))</f>
        <v>0</v>
      </c>
      <c r="P61" s="50">
        <f t="shared" ref="P61:P66" si="12">SUM(D61:O61)</f>
        <v>0</v>
      </c>
    </row>
    <row r="62" spans="1:16" x14ac:dyDescent="0.3">
      <c r="A62" s="188"/>
      <c r="B62" s="63">
        <v>9</v>
      </c>
      <c r="C62" s="64" t="s">
        <v>6546</v>
      </c>
      <c r="D62" s="49" cm="1">
        <f t="array" ref="D62">+SUM(IF(LEFT('EASI AFR Detail'!$F$5:$F$699,3)&amp;RIGHT('EASI AFR Detail'!$F$5:$F$699,5)&amp;LEFT('EASI AFR Detail'!$G$5:$G$699,4)&amp;RIGHT('EASI AFR Detail'!$J$5:$J$699,8)="sup0200)Acco6 (5010)",'EASI AFR Detail'!$O$5:$O$699))</f>
        <v>0</v>
      </c>
      <c r="E62" s="49" cm="1">
        <f t="array" ref="E62">+SUM(IF(LEFT('EASI AFR Detail'!$F$5:$F$699,3)&amp;RIGHT('EASI AFR Detail'!$F$5:$F$699,5)&amp;LEFT('EASI AFR Detail'!$G$5:$G$699,4)&amp;RIGHT('EASI AFR Detail'!$J$5:$J$699,8)="sup0200)Colo6 (5010)",'EASI AFR Detail'!$O$5:$O$699))</f>
        <v>0</v>
      </c>
      <c r="F62" s="49" cm="1">
        <f t="array" ref="F62">+SUM(IF(LEFT('EASI AFR Detail'!$F$5:$F$699,3)&amp;RIGHT('EASI AFR Detail'!$F$5:$F$699,5)&amp;LEFT('EASI AFR Detail'!$G$5:$G$699,4)&amp;RIGHT('EASI AFR Detail'!$J$5:$J$699,8)="sup0200)Conn6 (5010)",'EASI AFR Detail'!$O$5:$O$699))</f>
        <v>0</v>
      </c>
      <c r="G62" s="49" cm="1">
        <f t="array" ref="G62">+SUM(IF(LEFT('EASI AFR Detail'!$F$5:$F$699,3)&amp;RIGHT('EASI AFR Detail'!$F$5:$F$699,5)&amp;LEFT('EASI AFR Detail'!$G$5:$G$699,12)&amp;RIGHT('EASI AFR Detail'!$J$5:$J$699,8)="sup0200)Diagnostic a6 (5010)",'EASI AFR Detail'!$O$5:$O$699))</f>
        <v>0</v>
      </c>
      <c r="H62" s="49" cm="1">
        <f t="array" ref="H62">+SUM(IF(LEFT('EASI AFR Detail'!$F$5:$F$699,3)&amp;RIGHT('EASI AFR Detail'!$F$5:$F$699,5)&amp;LEFT('EASI AFR Detail'!$G$5:$G$699,10)&amp;RIGHT('EASI AFR Detail'!$J$5:$J$699,8)="sup0200)District D6 (5010)",'EASI AFR Detail'!$O$5:$O$699))</f>
        <v>0</v>
      </c>
      <c r="I62" s="49" cm="1">
        <f t="array" ref="I62">+SUM(IF(LEFT('EASI AFR Detail'!$F$5:$F$699,3)&amp;RIGHT('EASI AFR Detail'!$F$5:$F$699,5)&amp;LEFT('EASI AFR Detail'!$G$5:$G$699,10)&amp;RIGHT('EASI AFR Detail'!$J$5:$J$699,8)="sup0200)District S6 (5010)",'EASI AFR Detail'!$O$5:$O$699))</f>
        <v>0</v>
      </c>
      <c r="J62" s="49" cm="1">
        <f t="array" ref="J62">+SUM(IF(LEFT('EASI AFR Detail'!$F$5:$F$699,3)&amp;RIGHT('EASI AFR Detail'!$F$5:$F$699,5)&amp;LEFT('EASI AFR Detail'!$G$5:$G$699,4)&amp;RIGHT('EASI AFR Detail'!$J$5:$J$699,8)="sup0200)Expl6 (5010)",'EASI AFR Detail'!$O$5:$O$699))</f>
        <v>0</v>
      </c>
      <c r="K62" s="49" cm="1">
        <f t="array" ref="K62">+SUM(IF(LEFT('EASI AFR Detail'!$F$5:$F$699,3)&amp;RIGHT('EASI AFR Detail'!$F$5:$F$699,5)&amp;LEFT('EASI AFR Detail'!$G$5:$G$699,4)&amp;RIGHT('EASI AFR Detail'!$J$5:$J$699,8)="sup0200)Faci6 (5010)",'EASI AFR Detail'!$O$5:$O$699))</f>
        <v>0</v>
      </c>
      <c r="L62" s="49" cm="1">
        <f t="array" ref="L62">+SUM(IF(LEFT('EASI AFR Detail'!$F$5:$F$699,3)&amp;RIGHT('EASI AFR Detail'!$F$5:$F$699,5)&amp;LEFT('EASI AFR Detail'!$G$5:$G$699,4)&amp;RIGHT('EASI AFR Detail'!$J$5:$J$699,8)="sup0200)MTSS6 (5010)",'EASI AFR Detail'!$O$5:$O$699))</f>
        <v>0</v>
      </c>
      <c r="M62" s="49" cm="1">
        <f t="array" ref="M62">+SUM(IF(LEFT('EASI AFR Detail'!$F$5:$F$699,3)&amp;RIGHT('EASI AFR Detail'!$F$5:$F$699,5)&amp;LEFT('EASI AFR Detail'!$G$5:$G$699,4)&amp;RIGHT('EASI AFR Detail'!$J$5:$J$699,8)="sup0200)Rigo6 (5010)",'EASI AFR Detail'!$O$5:$O$699))</f>
        <v>0</v>
      </c>
      <c r="N62" s="49" cm="1">
        <f t="array" ref="N62">+SUM(IF(LEFT('EASI AFR Detail'!$F$5:$F$699,3)&amp;RIGHT('EASI AFR Detail'!$F$5:$F$699,5)&amp;LEFT('EASI AFR Detail'!$G$5:$G$699,9)&amp;RIGHT('EASI AFR Detail'!$J$5:$J$699,8)="sup0200)School Tr6 (5010)",'EASI AFR Detail'!$O$5:$O$699))</f>
        <v>0</v>
      </c>
      <c r="O62" s="49" cm="1">
        <f t="array" ref="O62">+SUM(IF(LEFT('EASI AFR Detail'!$F$5:$F$699,3)&amp;RIGHT('EASI AFR Detail'!$F$5:$F$699,5)&amp;LEFT('EASI AFR Detail'!$G$5:$G$699,9)&amp;RIGHT('EASI AFR Detail'!$J$5:$J$699,8)="sup0200)School Tu6 (5010)",'EASI AFR Detail'!$O$5:$O$699))</f>
        <v>0</v>
      </c>
      <c r="P62" s="53">
        <f t="shared" si="12"/>
        <v>0</v>
      </c>
    </row>
    <row r="63" spans="1:16" x14ac:dyDescent="0.3">
      <c r="A63" s="188"/>
      <c r="B63" s="63">
        <v>10</v>
      </c>
      <c r="C63" s="64" t="s">
        <v>6547</v>
      </c>
      <c r="D63" s="49" cm="1">
        <f t="array" ref="D63">+SUM(IF(LEFT('EASI AFR Detail'!$F$5:$F$699,3)&amp;RIGHT('EASI AFR Detail'!$F$5:$F$699,5)&amp;LEFT('EASI AFR Detail'!$G$5:$G$699,4)&amp;RIGHT('EASI AFR Detail'!$J$5:$J$699,8)="sup0300)Acco6 (5010)",'EASI AFR Detail'!$O$5:$O$699))</f>
        <v>0</v>
      </c>
      <c r="E63" s="49" cm="1">
        <f t="array" ref="E63">+SUM(IF(LEFT('EASI AFR Detail'!$F$5:$F$699,3)&amp;RIGHT('EASI AFR Detail'!$F$5:$F$699,5)&amp;LEFT('EASI AFR Detail'!$G$5:$G$699,4)&amp;RIGHT('EASI AFR Detail'!$J$5:$J$699,8)="sup0300)Colo6 (5010)",'EASI AFR Detail'!$O$5:$O$699))</f>
        <v>0</v>
      </c>
      <c r="F63" s="49" cm="1">
        <f t="array" ref="F63">+SUM(IF(LEFT('EASI AFR Detail'!$F$5:$F$699,3)&amp;RIGHT('EASI AFR Detail'!$F$5:$F$699,5)&amp;LEFT('EASI AFR Detail'!$G$5:$G$699,4)&amp;RIGHT('EASI AFR Detail'!$J$5:$J$699,8)="sup0300)Conn6 (5010)",'EASI AFR Detail'!$O$5:$O$699))</f>
        <v>0</v>
      </c>
      <c r="G63" s="49" cm="1">
        <f t="array" ref="G63">+SUM(IF(LEFT('EASI AFR Detail'!$F$5:$F$699,3)&amp;RIGHT('EASI AFR Detail'!$F$5:$F$699,5)&amp;LEFT('EASI AFR Detail'!$G$5:$G$699,12)&amp;RIGHT('EASI AFR Detail'!$J$5:$J$699,8)="sup0300)Diagnostic a6 (5010)",'EASI AFR Detail'!$O$5:$O$699))</f>
        <v>0</v>
      </c>
      <c r="H63" s="49" cm="1">
        <f t="array" ref="H63">+SUM(IF(LEFT('EASI AFR Detail'!$F$5:$F$699,3)&amp;RIGHT('EASI AFR Detail'!$F$5:$F$699,5)&amp;LEFT('EASI AFR Detail'!$G$5:$G$699,10)&amp;RIGHT('EASI AFR Detail'!$J$5:$J$699,8)="sup0300)District D6 (5010)",'EASI AFR Detail'!$O$5:$O$699))</f>
        <v>0</v>
      </c>
      <c r="I63" s="49" cm="1">
        <f t="array" ref="I63">+SUM(IF(LEFT('EASI AFR Detail'!$F$5:$F$699,3)&amp;RIGHT('EASI AFR Detail'!$F$5:$F$699,5)&amp;LEFT('EASI AFR Detail'!$G$5:$G$699,10)&amp;RIGHT('EASI AFR Detail'!$J$5:$J$699,8)="sup0300)District S6 (5010)",'EASI AFR Detail'!$O$5:$O$699))</f>
        <v>0</v>
      </c>
      <c r="J63" s="49" cm="1">
        <f t="array" ref="J63">+SUM(IF(LEFT('EASI AFR Detail'!$F$5:$F$699,3)&amp;RIGHT('EASI AFR Detail'!$F$5:$F$699,5)&amp;LEFT('EASI AFR Detail'!$G$5:$G$699,4)&amp;RIGHT('EASI AFR Detail'!$J$5:$J$699,8)="sup0300)Expl6 (5010)",'EASI AFR Detail'!$O$5:$O$699))</f>
        <v>0</v>
      </c>
      <c r="K63" s="49" cm="1">
        <f t="array" ref="K63">+SUM(IF(LEFT('EASI AFR Detail'!$F$5:$F$699,3)&amp;RIGHT('EASI AFR Detail'!$F$5:$F$699,5)&amp;LEFT('EASI AFR Detail'!$G$5:$G$699,4)&amp;RIGHT('EASI AFR Detail'!$J$5:$J$699,8)="sup0300)Faci6 (5010)",'EASI AFR Detail'!$O$5:$O$699))</f>
        <v>0</v>
      </c>
      <c r="L63" s="49" cm="1">
        <f t="array" ref="L63">+SUM(IF(LEFT('EASI AFR Detail'!$F$5:$F$699,3)&amp;RIGHT('EASI AFR Detail'!$F$5:$F$699,5)&amp;LEFT('EASI AFR Detail'!$G$5:$G$699,4)&amp;RIGHT('EASI AFR Detail'!$J$5:$J$699,8)="sup0300)MTSS6 (5010)",'EASI AFR Detail'!$O$5:$O$699))</f>
        <v>0</v>
      </c>
      <c r="M63" s="49" cm="1">
        <f t="array" ref="M63">+SUM(IF(LEFT('EASI AFR Detail'!$F$5:$F$699,3)&amp;RIGHT('EASI AFR Detail'!$F$5:$F$699,5)&amp;LEFT('EASI AFR Detail'!$G$5:$G$699,4)&amp;RIGHT('EASI AFR Detail'!$J$5:$J$699,8)="sup0300)Rigo6 (5010)",'EASI AFR Detail'!$O$5:$O$699))</f>
        <v>0</v>
      </c>
      <c r="N63" s="49" cm="1">
        <f t="array" ref="N63">+SUM(IF(LEFT('EASI AFR Detail'!$F$5:$F$699,3)&amp;RIGHT('EASI AFR Detail'!$F$5:$F$699,5)&amp;LEFT('EASI AFR Detail'!$G$5:$G$699,9)&amp;RIGHT('EASI AFR Detail'!$J$5:$J$699,8)="sup0300)School Tr6 (5010)",'EASI AFR Detail'!$O$5:$O$699))</f>
        <v>0</v>
      </c>
      <c r="O63" s="49" cm="1">
        <f t="array" ref="O63">+SUM(IF(LEFT('EASI AFR Detail'!$F$5:$F$699,3)&amp;RIGHT('EASI AFR Detail'!$F$5:$F$699,5)&amp;LEFT('EASI AFR Detail'!$G$5:$G$699,9)&amp;RIGHT('EASI AFR Detail'!$J$5:$J$699,8)="sup0300)School Tu6 (5010)",'EASI AFR Detail'!$O$5:$O$699))</f>
        <v>0</v>
      </c>
      <c r="P63" s="53">
        <f t="shared" si="12"/>
        <v>0</v>
      </c>
    </row>
    <row r="64" spans="1:16" x14ac:dyDescent="0.3">
      <c r="A64" s="188"/>
      <c r="B64" s="63">
        <v>11</v>
      </c>
      <c r="C64" s="64" t="s">
        <v>6548</v>
      </c>
      <c r="D64" s="49" cm="1">
        <f t="array" ref="D64">+SUM(IF(LEFT('EASI AFR Detail'!$F$5:$F$699,3)&amp;RIGHT('EASI AFR Detail'!$F$5:$F$699,5)&amp;LEFT('EASI AFR Detail'!$G$5:$G$699,4)&amp;RIGHT('EASI AFR Detail'!$J$5:$J$699,8)="sup0500)Acco6 (5010)",'EASI AFR Detail'!$O$5:$O$699))</f>
        <v>0</v>
      </c>
      <c r="E64" s="49" cm="1">
        <f t="array" ref="E64">+SUM(IF(LEFT('EASI AFR Detail'!$F$5:$F$699,3)&amp;RIGHT('EASI AFR Detail'!$F$5:$F$699,5)&amp;LEFT('EASI AFR Detail'!$G$5:$G$699,4)&amp;RIGHT('EASI AFR Detail'!$J$5:$J$699,8)="sup0500)Colo6 (5010)",'EASI AFR Detail'!$O$5:$O$699))</f>
        <v>0</v>
      </c>
      <c r="F64" s="49" cm="1">
        <f t="array" ref="F64">+SUM(IF(LEFT('EASI AFR Detail'!$F$5:$F$699,3)&amp;RIGHT('EASI AFR Detail'!$F$5:$F$699,5)&amp;LEFT('EASI AFR Detail'!$G$5:$G$699,4)&amp;RIGHT('EASI AFR Detail'!$J$5:$J$699,8)="sup0500)Conn6 (5010)",'EASI AFR Detail'!$O$5:$O$699))</f>
        <v>0</v>
      </c>
      <c r="G64" s="49" cm="1">
        <f t="array" ref="G64">+SUM(IF(LEFT('EASI AFR Detail'!$F$5:$F$699,3)&amp;RIGHT('EASI AFR Detail'!$F$5:$F$699,5)&amp;LEFT('EASI AFR Detail'!$G$5:$G$699,12)&amp;RIGHT('EASI AFR Detail'!$J$5:$J$699,8)="sup0500)Diagnostic a6 (5010)",'EASI AFR Detail'!$O$5:$O$699))</f>
        <v>0</v>
      </c>
      <c r="H64" s="49" cm="1">
        <f t="array" ref="H64">+SUM(IF(LEFT('EASI AFR Detail'!$F$5:$F$699,3)&amp;RIGHT('EASI AFR Detail'!$F$5:$F$699,5)&amp;LEFT('EASI AFR Detail'!$G$5:$G$699,10)&amp;RIGHT('EASI AFR Detail'!$J$5:$J$699,8)="sup0500)District D6 (5010)",'EASI AFR Detail'!$O$5:$O$699))</f>
        <v>0</v>
      </c>
      <c r="I64" s="49" cm="1">
        <f t="array" ref="I64">+SUM(IF(LEFT('EASI AFR Detail'!$F$5:$F$699,3)&amp;RIGHT('EASI AFR Detail'!$F$5:$F$699,5)&amp;LEFT('EASI AFR Detail'!$G$5:$G$699,10)&amp;RIGHT('EASI AFR Detail'!$J$5:$J$699,8)="sup0500)District S6 (5010)",'EASI AFR Detail'!$O$5:$O$699))</f>
        <v>0</v>
      </c>
      <c r="J64" s="49" cm="1">
        <f t="array" ref="J64">+SUM(IF(LEFT('EASI AFR Detail'!$F$5:$F$699,3)&amp;RIGHT('EASI AFR Detail'!$F$5:$F$699,5)&amp;LEFT('EASI AFR Detail'!$G$5:$G$699,4)&amp;RIGHT('EASI AFR Detail'!$J$5:$J$699,8)="sup0500)Expl6 (5010)",'EASI AFR Detail'!$O$5:$O$699))</f>
        <v>0</v>
      </c>
      <c r="K64" s="49" cm="1">
        <f t="array" ref="K64">+SUM(IF(LEFT('EASI AFR Detail'!$F$5:$F$699,3)&amp;RIGHT('EASI AFR Detail'!$F$5:$F$699,5)&amp;LEFT('EASI AFR Detail'!$G$5:$G$699,4)&amp;RIGHT('EASI AFR Detail'!$J$5:$J$699,8)="sup0500)Faci6 (5010)",'EASI AFR Detail'!$O$5:$O$699))</f>
        <v>0</v>
      </c>
      <c r="L64" s="49" cm="1">
        <f t="array" ref="L64">+SUM(IF(LEFT('EASI AFR Detail'!$F$5:$F$699,3)&amp;RIGHT('EASI AFR Detail'!$F$5:$F$699,5)&amp;LEFT('EASI AFR Detail'!$G$5:$G$699,4)&amp;RIGHT('EASI AFR Detail'!$J$5:$J$699,8)="sup0500)MTSS6 (5010)",'EASI AFR Detail'!$O$5:$O$699))</f>
        <v>0</v>
      </c>
      <c r="M64" s="49" cm="1">
        <f t="array" ref="M64">+SUM(IF(LEFT('EASI AFR Detail'!$F$5:$F$699,3)&amp;RIGHT('EASI AFR Detail'!$F$5:$F$699,5)&amp;LEFT('EASI AFR Detail'!$G$5:$G$699,4)&amp;RIGHT('EASI AFR Detail'!$J$5:$J$699,8)="sup0500)Rigo6 (5010)",'EASI AFR Detail'!$O$5:$O$699))</f>
        <v>0</v>
      </c>
      <c r="N64" s="49" cm="1">
        <f t="array" ref="N64">+SUM(IF(LEFT('EASI AFR Detail'!$F$5:$F$699,3)&amp;RIGHT('EASI AFR Detail'!$F$5:$F$699,5)&amp;LEFT('EASI AFR Detail'!$G$5:$G$699,9)&amp;RIGHT('EASI AFR Detail'!$J$5:$J$699,8)="sup0500)School Tr6 (5010)",'EASI AFR Detail'!$O$5:$O$699))</f>
        <v>0</v>
      </c>
      <c r="O64" s="49" cm="1">
        <f t="array" ref="O64">+SUM(IF(LEFT('EASI AFR Detail'!$F$5:$F$699,3)&amp;RIGHT('EASI AFR Detail'!$F$5:$F$699,5)&amp;LEFT('EASI AFR Detail'!$G$5:$G$699,9)&amp;RIGHT('EASI AFR Detail'!$J$5:$J$699,8)="sup0500)School Tu6 (5010)",'EASI AFR Detail'!$O$5:$O$699))</f>
        <v>0</v>
      </c>
      <c r="P64" s="53">
        <f t="shared" si="12"/>
        <v>0</v>
      </c>
    </row>
    <row r="65" spans="1:16" x14ac:dyDescent="0.3">
      <c r="A65" s="188"/>
      <c r="B65" s="63">
        <v>12</v>
      </c>
      <c r="C65" s="64" t="s">
        <v>6549</v>
      </c>
      <c r="D65" s="49" cm="1">
        <f t="array" ref="D65">+SUM(IF(LEFT('EASI AFR Detail'!$F$5:$F$699,3)&amp;RIGHT('EASI AFR Detail'!$F$5:$F$699,5)&amp;LEFT('EASI AFR Detail'!$G$5:$G$699,4)&amp;RIGHT('EASI AFR Detail'!$J$5:$J$699,8)="sup0580)Acco6 (5010)",'EASI AFR Detail'!$O$5:$O$699))</f>
        <v>0</v>
      </c>
      <c r="E65" s="49" cm="1">
        <f t="array" ref="E65">+SUM(IF(LEFT('EASI AFR Detail'!$F$5:$F$699,3)&amp;RIGHT('EASI AFR Detail'!$F$5:$F$699,5)&amp;LEFT('EASI AFR Detail'!$G$5:$G$699,4)&amp;RIGHT('EASI AFR Detail'!$J$5:$J$699,8)="sup0580)Colo6 (5010)",'EASI AFR Detail'!$O$5:$O$699))</f>
        <v>0</v>
      </c>
      <c r="F65" s="49" cm="1">
        <f t="array" ref="F65">+SUM(IF(LEFT('EASI AFR Detail'!$F$5:$F$699,3)&amp;RIGHT('EASI AFR Detail'!$F$5:$F$699,5)&amp;LEFT('EASI AFR Detail'!$G$5:$G$699,4)&amp;RIGHT('EASI AFR Detail'!$J$5:$J$699,8)="sup0580)Conn6 (5010)",'EASI AFR Detail'!$O$5:$O$699))</f>
        <v>0</v>
      </c>
      <c r="G65" s="49" cm="1">
        <f t="array" ref="G65">+SUM(IF(LEFT('EASI AFR Detail'!$F$5:$F$699,3)&amp;RIGHT('EASI AFR Detail'!$F$5:$F$699,5)&amp;LEFT('EASI AFR Detail'!$G$5:$G$699,12)&amp;RIGHT('EASI AFR Detail'!$J$5:$J$699,8)="sup0580)Diagnostic a6 (5010)",'EASI AFR Detail'!$O$5:$O$699))</f>
        <v>0</v>
      </c>
      <c r="H65" s="49" cm="1">
        <f t="array" ref="H65">+SUM(IF(LEFT('EASI AFR Detail'!$F$5:$F$699,3)&amp;RIGHT('EASI AFR Detail'!$F$5:$F$699,5)&amp;LEFT('EASI AFR Detail'!$G$5:$G$699,10)&amp;RIGHT('EASI AFR Detail'!$J$5:$J$699,8)="sup0580)District D6 (5010)",'EASI AFR Detail'!$O$5:$O$699))</f>
        <v>0</v>
      </c>
      <c r="I65" s="49" cm="1">
        <f t="array" ref="I65">+SUM(IF(LEFT('EASI AFR Detail'!$F$5:$F$699,3)&amp;RIGHT('EASI AFR Detail'!$F$5:$F$699,5)&amp;LEFT('EASI AFR Detail'!$G$5:$G$699,10)&amp;RIGHT('EASI AFR Detail'!$J$5:$J$699,8)="sup0580)District S6 (5010)",'EASI AFR Detail'!$O$5:$O$699))</f>
        <v>0</v>
      </c>
      <c r="J65" s="49" cm="1">
        <f t="array" ref="J65">+SUM(IF(LEFT('EASI AFR Detail'!$F$5:$F$699,3)&amp;RIGHT('EASI AFR Detail'!$F$5:$F$699,5)&amp;LEFT('EASI AFR Detail'!$G$5:$G$699,4)&amp;RIGHT('EASI AFR Detail'!$J$5:$J$699,8)="sup0580)Expl6 (5010)",'EASI AFR Detail'!$O$5:$O$699))</f>
        <v>0</v>
      </c>
      <c r="K65" s="49" cm="1">
        <f t="array" ref="K65">+SUM(IF(LEFT('EASI AFR Detail'!$F$5:$F$699,3)&amp;RIGHT('EASI AFR Detail'!$F$5:$F$699,5)&amp;LEFT('EASI AFR Detail'!$G$5:$G$699,4)&amp;RIGHT('EASI AFR Detail'!$J$5:$J$699,8)="sup0580)Faci6 (5010)",'EASI AFR Detail'!$O$5:$O$699))</f>
        <v>0</v>
      </c>
      <c r="L65" s="49" cm="1">
        <f t="array" ref="L65">+SUM(IF(LEFT('EASI AFR Detail'!$F$5:$F$699,3)&amp;RIGHT('EASI AFR Detail'!$F$5:$F$699,5)&amp;LEFT('EASI AFR Detail'!$G$5:$G$699,4)&amp;RIGHT('EASI AFR Detail'!$J$5:$J$699,8)="sup0580)MTSS6 (5010)",'EASI AFR Detail'!$O$5:$O$699))</f>
        <v>0</v>
      </c>
      <c r="M65" s="49" cm="1">
        <f t="array" ref="M65">+SUM(IF(LEFT('EASI AFR Detail'!$F$5:$F$699,3)&amp;RIGHT('EASI AFR Detail'!$F$5:$F$699,5)&amp;LEFT('EASI AFR Detail'!$G$5:$G$699,4)&amp;RIGHT('EASI AFR Detail'!$J$5:$J$699,8)="sup0580)Rigo6 (5010)",'EASI AFR Detail'!$O$5:$O$699))</f>
        <v>0</v>
      </c>
      <c r="N65" s="49" cm="1">
        <f t="array" ref="N65">+SUM(IF(LEFT('EASI AFR Detail'!$F$5:$F$699,3)&amp;RIGHT('EASI AFR Detail'!$F$5:$F$699,5)&amp;LEFT('EASI AFR Detail'!$G$5:$G$699,9)&amp;RIGHT('EASI AFR Detail'!$J$5:$J$699,8)="sup0580)School Tr6 (5010)",'EASI AFR Detail'!$O$5:$O$699))</f>
        <v>0</v>
      </c>
      <c r="O65" s="49" cm="1">
        <f t="array" ref="O65">+SUM(IF(LEFT('EASI AFR Detail'!$F$5:$F$699,3)&amp;RIGHT('EASI AFR Detail'!$F$5:$F$699,5)&amp;LEFT('EASI AFR Detail'!$G$5:$G$699,9)&amp;RIGHT('EASI AFR Detail'!$J$5:$J$699,8)="sup0580)School Tu6 (5010)",'EASI AFR Detail'!$O$5:$O$699))</f>
        <v>0</v>
      </c>
      <c r="P65" s="53">
        <f t="shared" si="12"/>
        <v>0</v>
      </c>
    </row>
    <row r="66" spans="1:16" x14ac:dyDescent="0.3">
      <c r="A66" s="188"/>
      <c r="B66" s="63">
        <v>13</v>
      </c>
      <c r="C66" s="64" t="s">
        <v>6550</v>
      </c>
      <c r="D66" s="49" cm="1">
        <f t="array" ref="D66">+SUM(IF(LEFT('EASI AFR Detail'!$F$5:$F$699,3)&amp;RIGHT('EASI AFR Detail'!$F$5:$F$699,5)&amp;LEFT('EASI AFR Detail'!$G$5:$G$699,4)&amp;RIGHT('EASI AFR Detail'!$J$5:$J$699,8)="sup0600)Acco6 (5010)",'EASI AFR Detail'!$O$5:$O$699))</f>
        <v>0</v>
      </c>
      <c r="E66" s="49" cm="1">
        <f t="array" ref="E66">+SUM(IF(LEFT('EASI AFR Detail'!$F$5:$F$699,3)&amp;RIGHT('EASI AFR Detail'!$F$5:$F$699,5)&amp;LEFT('EASI AFR Detail'!$G$5:$G$699,4)&amp;RIGHT('EASI AFR Detail'!$J$5:$J$699,8)="sup0600)Colo6 (5010)",'EASI AFR Detail'!$O$5:$O$699))</f>
        <v>0</v>
      </c>
      <c r="F66" s="49" cm="1">
        <f t="array" ref="F66">+SUM(IF(LEFT('EASI AFR Detail'!$F$5:$F$699,3)&amp;RIGHT('EASI AFR Detail'!$F$5:$F$699,5)&amp;LEFT('EASI AFR Detail'!$G$5:$G$699,4)&amp;RIGHT('EASI AFR Detail'!$J$5:$J$699,8)="sup0600)Conn6 (5010)",'EASI AFR Detail'!$O$5:$O$699))</f>
        <v>0</v>
      </c>
      <c r="G66" s="49" cm="1">
        <f t="array" ref="G66">+SUM(IF(LEFT('EASI AFR Detail'!$F$5:$F$699,3)&amp;RIGHT('EASI AFR Detail'!$F$5:$F$699,5)&amp;LEFT('EASI AFR Detail'!$G$5:$G$699,12)&amp;RIGHT('EASI AFR Detail'!$J$5:$J$699,8)="sup0600)Diagnostic a6 (5010)",'EASI AFR Detail'!$O$5:$O$699))</f>
        <v>0</v>
      </c>
      <c r="H66" s="49" cm="1">
        <f t="array" ref="H66">+SUM(IF(LEFT('EASI AFR Detail'!$F$5:$F$699,3)&amp;RIGHT('EASI AFR Detail'!$F$5:$F$699,5)&amp;LEFT('EASI AFR Detail'!$G$5:$G$699,10)&amp;RIGHT('EASI AFR Detail'!$J$5:$J$699,8)="sup0600)District D6 (5010)",'EASI AFR Detail'!$O$5:$O$699))</f>
        <v>0</v>
      </c>
      <c r="I66" s="49" cm="1">
        <f t="array" ref="I66">+SUM(IF(LEFT('EASI AFR Detail'!$F$5:$F$699,3)&amp;RIGHT('EASI AFR Detail'!$F$5:$F$699,5)&amp;LEFT('EASI AFR Detail'!$G$5:$G$699,10)&amp;RIGHT('EASI AFR Detail'!$J$5:$J$699,8)="sup0600)District S6 (5010)",'EASI AFR Detail'!$O$5:$O$699))</f>
        <v>0</v>
      </c>
      <c r="J66" s="49" cm="1">
        <f t="array" ref="J66">+SUM(IF(LEFT('EASI AFR Detail'!$F$5:$F$699,3)&amp;RIGHT('EASI AFR Detail'!$F$5:$F$699,5)&amp;LEFT('EASI AFR Detail'!$G$5:$G$699,4)&amp;RIGHT('EASI AFR Detail'!$J$5:$J$699,8)="sup0600)Expl6 (5010)",'EASI AFR Detail'!$O$5:$O$699))</f>
        <v>0</v>
      </c>
      <c r="K66" s="49" cm="1">
        <f t="array" ref="K66">+SUM(IF(LEFT('EASI AFR Detail'!$F$5:$F$699,3)&amp;RIGHT('EASI AFR Detail'!$F$5:$F$699,5)&amp;LEFT('EASI AFR Detail'!$G$5:$G$699,4)&amp;RIGHT('EASI AFR Detail'!$J$5:$J$699,8)="sup0600)Faci6 (5010)",'EASI AFR Detail'!$O$5:$O$699))</f>
        <v>0</v>
      </c>
      <c r="L66" s="49" cm="1">
        <f t="array" ref="L66">+SUM(IF(LEFT('EASI AFR Detail'!$F$5:$F$699,3)&amp;RIGHT('EASI AFR Detail'!$F$5:$F$699,5)&amp;LEFT('EASI AFR Detail'!$G$5:$G$699,4)&amp;RIGHT('EASI AFR Detail'!$J$5:$J$699,8)="sup0600)MTSS6 (5010)",'EASI AFR Detail'!$O$5:$O$699))</f>
        <v>0</v>
      </c>
      <c r="M66" s="49" cm="1">
        <f t="array" ref="M66">+SUM(IF(LEFT('EASI AFR Detail'!$F$5:$F$699,3)&amp;RIGHT('EASI AFR Detail'!$F$5:$F$699,5)&amp;LEFT('EASI AFR Detail'!$G$5:$G$699,4)&amp;RIGHT('EASI AFR Detail'!$J$5:$J$699,8)="sup0600)Rigo6 (5010)",'EASI AFR Detail'!$O$5:$O$699))</f>
        <v>0</v>
      </c>
      <c r="N66" s="49" cm="1">
        <f t="array" ref="N66">+SUM(IF(LEFT('EASI AFR Detail'!$F$5:$F$699,3)&amp;RIGHT('EASI AFR Detail'!$F$5:$F$699,5)&amp;LEFT('EASI AFR Detail'!$G$5:$G$699,9)&amp;RIGHT('EASI AFR Detail'!$J$5:$J$699,8)="sup0600)School Tr6 (5010)",'EASI AFR Detail'!$O$5:$O$699))</f>
        <v>0</v>
      </c>
      <c r="O66" s="49" cm="1">
        <f t="array" ref="O66">+SUM(IF(LEFT('EASI AFR Detail'!$F$5:$F$699,3)&amp;RIGHT('EASI AFR Detail'!$F$5:$F$699,5)&amp;LEFT('EASI AFR Detail'!$G$5:$G$699,9)&amp;RIGHT('EASI AFR Detail'!$J$5:$J$699,8)="sup0600)School Tu6 (5010)",'EASI AFR Detail'!$O$5:$O$699))</f>
        <v>0</v>
      </c>
      <c r="P66" s="53">
        <f t="shared" si="12"/>
        <v>0</v>
      </c>
    </row>
    <row r="67" spans="1:16" x14ac:dyDescent="0.3">
      <c r="A67" s="188"/>
      <c r="B67" s="63">
        <v>14</v>
      </c>
      <c r="C67" s="65" t="s">
        <v>6553</v>
      </c>
      <c r="D67" s="49">
        <f>SUM(D61:D66)</f>
        <v>0</v>
      </c>
      <c r="E67" s="57">
        <f t="shared" ref="E67:P67" si="13">SUM(E61:E66)</f>
        <v>0</v>
      </c>
      <c r="F67" s="57">
        <f t="shared" si="13"/>
        <v>0</v>
      </c>
      <c r="G67" s="57">
        <f t="shared" si="13"/>
        <v>0</v>
      </c>
      <c r="H67" s="57">
        <f t="shared" si="13"/>
        <v>0</v>
      </c>
      <c r="I67" s="57">
        <f t="shared" si="13"/>
        <v>0</v>
      </c>
      <c r="J67" s="57">
        <f t="shared" si="13"/>
        <v>0</v>
      </c>
      <c r="K67" s="57">
        <f t="shared" si="13"/>
        <v>0</v>
      </c>
      <c r="L67" s="57">
        <f t="shared" si="13"/>
        <v>0</v>
      </c>
      <c r="M67" s="57">
        <f t="shared" si="13"/>
        <v>0</v>
      </c>
      <c r="N67" s="57">
        <f t="shared" si="13"/>
        <v>0</v>
      </c>
      <c r="O67" s="57">
        <f t="shared" si="13"/>
        <v>0</v>
      </c>
      <c r="P67" s="53">
        <f t="shared" si="13"/>
        <v>0</v>
      </c>
    </row>
    <row r="68" spans="1:16" x14ac:dyDescent="0.3">
      <c r="A68" s="188"/>
      <c r="B68" s="66"/>
      <c r="C68" s="67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9"/>
    </row>
    <row r="69" spans="1:16" x14ac:dyDescent="0.3">
      <c r="A69" s="188"/>
      <c r="B69" s="63">
        <v>15</v>
      </c>
      <c r="C69" s="64" t="s">
        <v>6554</v>
      </c>
      <c r="D69" s="39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1">
        <f>SUM(D69:O69)</f>
        <v>0</v>
      </c>
    </row>
    <row r="70" spans="1:16" x14ac:dyDescent="0.3">
      <c r="A70" s="188"/>
      <c r="B70" s="66"/>
      <c r="C70" s="70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9"/>
    </row>
    <row r="71" spans="1:16" ht="15" thickBot="1" x14ac:dyDescent="0.35">
      <c r="A71" s="189"/>
      <c r="B71" s="71">
        <v>16</v>
      </c>
      <c r="C71" s="72" t="s">
        <v>6517</v>
      </c>
      <c r="D71" s="73">
        <f>D58+D67+D69</f>
        <v>0</v>
      </c>
      <c r="E71" s="74">
        <f t="shared" ref="E71:O71" si="14">E58+E67+E69</f>
        <v>0</v>
      </c>
      <c r="F71" s="74">
        <f t="shared" si="14"/>
        <v>0</v>
      </c>
      <c r="G71" s="74">
        <f t="shared" si="14"/>
        <v>0</v>
      </c>
      <c r="H71" s="74">
        <f t="shared" si="14"/>
        <v>0</v>
      </c>
      <c r="I71" s="74">
        <f t="shared" si="14"/>
        <v>0</v>
      </c>
      <c r="J71" s="74">
        <f t="shared" si="14"/>
        <v>0</v>
      </c>
      <c r="K71" s="74">
        <f t="shared" si="14"/>
        <v>0</v>
      </c>
      <c r="L71" s="74">
        <f t="shared" si="14"/>
        <v>0</v>
      </c>
      <c r="M71" s="74">
        <f t="shared" si="14"/>
        <v>0</v>
      </c>
      <c r="N71" s="74">
        <f t="shared" si="14"/>
        <v>0</v>
      </c>
      <c r="O71" s="74">
        <f t="shared" si="14"/>
        <v>0</v>
      </c>
      <c r="P71" s="75">
        <f>P58+P67+P69</f>
        <v>0</v>
      </c>
    </row>
    <row r="72" spans="1:16" x14ac:dyDescent="0.3">
      <c r="C72" s="77"/>
    </row>
    <row r="73" spans="1:16" ht="15" thickBot="1" x14ac:dyDescent="0.35">
      <c r="C73" s="77"/>
    </row>
    <row r="74" spans="1:16" ht="15" thickBot="1" x14ac:dyDescent="0.35">
      <c r="A74" s="187" t="s">
        <v>6572</v>
      </c>
      <c r="B74" s="194" t="s">
        <v>6543</v>
      </c>
      <c r="C74" s="196"/>
      <c r="D74" s="45" t="s">
        <v>6544</v>
      </c>
      <c r="E74" s="45" t="s">
        <v>6544</v>
      </c>
      <c r="F74" s="45" t="s">
        <v>6544</v>
      </c>
      <c r="G74" s="45" t="s">
        <v>6544</v>
      </c>
      <c r="H74" s="45" t="s">
        <v>6544</v>
      </c>
      <c r="I74" s="45" t="s">
        <v>6544</v>
      </c>
      <c r="J74" s="45" t="s">
        <v>6544</v>
      </c>
      <c r="K74" s="45" t="s">
        <v>6544</v>
      </c>
      <c r="L74" s="45" t="s">
        <v>6544</v>
      </c>
      <c r="M74" s="45" t="s">
        <v>6544</v>
      </c>
      <c r="N74" s="45" t="s">
        <v>6544</v>
      </c>
      <c r="O74" s="45" t="s">
        <v>6544</v>
      </c>
      <c r="P74" s="45" t="s">
        <v>6544</v>
      </c>
    </row>
    <row r="75" spans="1:16" x14ac:dyDescent="0.3">
      <c r="A75" s="188"/>
      <c r="B75" s="47">
        <v>1</v>
      </c>
      <c r="C75" s="48" t="s">
        <v>6545</v>
      </c>
      <c r="D75" s="49" cm="1">
        <f t="array" ref="D75">+SUM(IF(LEFT('EASI AFR Detail'!$F$5:$F$699,3)&amp;RIGHT('EASI AFR Detail'!$F$5:$F$699,5)&amp;LEFT('EASI AFR Detail'!$G$5:$G$699,4)&amp;RIGHT('EASI AFR Detail'!$J$5:$J$699,8)="ins0100)Acco7 (5010)",'EASI AFR Detail'!$O$5:$O$699))</f>
        <v>0</v>
      </c>
      <c r="E75" s="49" cm="1">
        <f t="array" ref="E75">+SUM(IF(LEFT('EASI AFR Detail'!$F$5:$F$699,3)&amp;RIGHT('EASI AFR Detail'!$F$5:$F$699,5)&amp;LEFT('EASI AFR Detail'!$G$5:$G$699,4)&amp;RIGHT('EASI AFR Detail'!$J$5:$J$699,8)="ins0100)Colo7 (5010)",'EASI AFR Detail'!$O$5:$O$699))</f>
        <v>0</v>
      </c>
      <c r="F75" s="49" cm="1">
        <f t="array" ref="F75">+SUM(IF(LEFT('EASI AFR Detail'!$F$5:$F$699,3)&amp;RIGHT('EASI AFR Detail'!$F$5:$F$699,5)&amp;LEFT('EASI AFR Detail'!$G$5:$G$699,4)&amp;RIGHT('EASI AFR Detail'!$J$5:$J$699,8)="ins0100)Conn7 (5010)",'EASI AFR Detail'!$O$5:$O$699))</f>
        <v>0</v>
      </c>
      <c r="G75" s="49" cm="1">
        <f t="array" ref="G75">+SUM(IF(LEFT('EASI AFR Detail'!$F$5:$F$699,3)&amp;RIGHT('EASI AFR Detail'!$F$5:$F$699,5)&amp;LEFT('EASI AFR Detail'!$G$5:$G$699,12)&amp;RIGHT('EASI AFR Detail'!$J$5:$J$699,8)="ins0100)Diagnostic a7 (5010)",'EASI AFR Detail'!$O$5:$O$699))</f>
        <v>0</v>
      </c>
      <c r="H75" s="49" cm="1">
        <f t="array" ref="H75">+SUM(IF(LEFT('EASI AFR Detail'!$F$5:$F$699,3)&amp;RIGHT('EASI AFR Detail'!$F$5:$F$699,5)&amp;LEFT('EASI AFR Detail'!$G$5:$G$699,10)&amp;RIGHT('EASI AFR Detail'!$J$5:$J$699,8)="ins0100)District D7 (5010)",'EASI AFR Detail'!$O$5:$O$699))</f>
        <v>0</v>
      </c>
      <c r="I75" s="49" cm="1">
        <f t="array" ref="I75">+SUM(IF(LEFT('EASI AFR Detail'!$F$5:$F$699,3)&amp;RIGHT('EASI AFR Detail'!$F$5:$F$699,5)&amp;LEFT('EASI AFR Detail'!$G$5:$G$699,10)&amp;RIGHT('EASI AFR Detail'!$J$5:$J$699,8)="ins0100)District S7 (5010)",'EASI AFR Detail'!$O$5:$O$699))</f>
        <v>0</v>
      </c>
      <c r="J75" s="49" cm="1">
        <f t="array" ref="J75">+SUM(IF(LEFT('EASI AFR Detail'!$F$5:$F$699,3)&amp;RIGHT('EASI AFR Detail'!$F$5:$F$699,5)&amp;LEFT('EASI AFR Detail'!$G$5:$G$699,4)&amp;RIGHT('EASI AFR Detail'!$J$5:$J$699,8)="ins0100)Expl7 (5010)",'EASI AFR Detail'!$O$5:$O$699))</f>
        <v>0</v>
      </c>
      <c r="K75" s="49" cm="1">
        <f t="array" ref="K75">+SUM(IF(LEFT('EASI AFR Detail'!$F$5:$F$699,3)&amp;RIGHT('EASI AFR Detail'!$F$5:$F$699,5)&amp;LEFT('EASI AFR Detail'!$G$5:$G$699,4)&amp;RIGHT('EASI AFR Detail'!$J$5:$J$699,8)="ins0100)Faci7 (5010)",'EASI AFR Detail'!$O$5:$O$699))</f>
        <v>0</v>
      </c>
      <c r="L75" s="49" cm="1">
        <f t="array" ref="L75">+SUM(IF(LEFT('EASI AFR Detail'!$F$5:$F$699,3)&amp;RIGHT('EASI AFR Detail'!$F$5:$F$699,5)&amp;LEFT('EASI AFR Detail'!$G$5:$G$699,4)&amp;RIGHT('EASI AFR Detail'!$J$5:$J$699,8)="ins0100)MTSS7 (5010)",'EASI AFR Detail'!$O$5:$O$699))</f>
        <v>0</v>
      </c>
      <c r="M75" s="49" cm="1">
        <f t="array" ref="M75">+SUM(IF(LEFT('EASI AFR Detail'!$F$5:$F$699,3)&amp;RIGHT('EASI AFR Detail'!$F$5:$F$699,5)&amp;LEFT('EASI AFR Detail'!$G$5:$G$699,4)&amp;RIGHT('EASI AFR Detail'!$J$5:$J$699,8)="ins0100)Rigo7 (5010)",'EASI AFR Detail'!$O$5:$O$699))</f>
        <v>0</v>
      </c>
      <c r="N75" s="49" cm="1">
        <f t="array" ref="N75">+SUM(IF(LEFT('EASI AFR Detail'!$F$5:$F$699,3)&amp;RIGHT('EASI AFR Detail'!$F$5:$F$699,5)&amp;LEFT('EASI AFR Detail'!$G$5:$G$699,9)&amp;RIGHT('EASI AFR Detail'!$J$5:$J$699,8)="ins0100)School Tr7 (5010)",'EASI AFR Detail'!$O$5:$O$699))</f>
        <v>0</v>
      </c>
      <c r="O75" s="49" cm="1">
        <f t="array" ref="O75">+SUM(IF(LEFT('EASI AFR Detail'!$F$5:$F$699,3)&amp;RIGHT('EASI AFR Detail'!$F$5:$F$699,5)&amp;LEFT('EASI AFR Detail'!$G$5:$G$699,9)&amp;RIGHT('EASI AFR Detail'!$J$5:$J$699,8)="ins0100)School Tu7 (5010)",'EASI AFR Detail'!$O$5:$O$699))</f>
        <v>0</v>
      </c>
      <c r="P75" s="50">
        <f t="shared" ref="P75:P80" si="15">SUM(D75:O75)</f>
        <v>0</v>
      </c>
    </row>
    <row r="76" spans="1:16" x14ac:dyDescent="0.3">
      <c r="A76" s="188"/>
      <c r="B76" s="51">
        <v>2</v>
      </c>
      <c r="C76" s="52" t="s">
        <v>6546</v>
      </c>
      <c r="D76" s="49" cm="1">
        <f t="array" ref="D76">+SUM(IF(LEFT('EASI AFR Detail'!$F$5:$F$699,3)&amp;RIGHT('EASI AFR Detail'!$F$5:$F$699,5)&amp;LEFT('EASI AFR Detail'!$G$5:$G$699,4)&amp;RIGHT('EASI AFR Detail'!$J$5:$J$699,8)="ins0200)Acco7 (5010)",'EASI AFR Detail'!$O$5:$O$699))</f>
        <v>0</v>
      </c>
      <c r="E76" s="49" cm="1">
        <f t="array" ref="E76">+SUM(IF(LEFT('EASI AFR Detail'!$F$5:$F$699,3)&amp;RIGHT('EASI AFR Detail'!$F$5:$F$699,5)&amp;LEFT('EASI AFR Detail'!$G$5:$G$699,4)&amp;RIGHT('EASI AFR Detail'!$J$5:$J$699,8)="ins0200)Colo7 (5010)",'EASI AFR Detail'!$O$5:$O$699))</f>
        <v>0</v>
      </c>
      <c r="F76" s="49" cm="1">
        <f t="array" ref="F76">+SUM(IF(LEFT('EASI AFR Detail'!$F$5:$F$699,3)&amp;RIGHT('EASI AFR Detail'!$F$5:$F$699,5)&amp;LEFT('EASI AFR Detail'!$G$5:$G$699,4)&amp;RIGHT('EASI AFR Detail'!$J$5:$J$699,8)="ins0200)Conn7 (5010)",'EASI AFR Detail'!$O$5:$O$699))</f>
        <v>0</v>
      </c>
      <c r="G76" s="49" cm="1">
        <f t="array" ref="G76">+SUM(IF(LEFT('EASI AFR Detail'!$F$5:$F$699,3)&amp;RIGHT('EASI AFR Detail'!$F$5:$F$699,5)&amp;LEFT('EASI AFR Detail'!$G$5:$G$699,12)&amp;RIGHT('EASI AFR Detail'!$J$5:$J$699,8)="ins0200)Diagnostic a7 (5010)",'EASI AFR Detail'!$O$5:$O$699))</f>
        <v>0</v>
      </c>
      <c r="H76" s="49" cm="1">
        <f t="array" ref="H76">+SUM(IF(LEFT('EASI AFR Detail'!$F$5:$F$699,3)&amp;RIGHT('EASI AFR Detail'!$F$5:$F$699,5)&amp;LEFT('EASI AFR Detail'!$G$5:$G$699,10)&amp;RIGHT('EASI AFR Detail'!$J$5:$J$699,8)="ins0200)District D7 (5010)",'EASI AFR Detail'!$O$5:$O$699))</f>
        <v>0</v>
      </c>
      <c r="I76" s="49" cm="1">
        <f t="array" ref="I76">+SUM(IF(LEFT('EASI AFR Detail'!$F$5:$F$699,3)&amp;RIGHT('EASI AFR Detail'!$F$5:$F$699,5)&amp;LEFT('EASI AFR Detail'!$G$5:$G$699,10)&amp;RIGHT('EASI AFR Detail'!$J$5:$J$699,8)="ins0200)District S7 (5010)",'EASI AFR Detail'!$O$5:$O$699))</f>
        <v>0</v>
      </c>
      <c r="J76" s="49" cm="1">
        <f t="array" ref="J76">+SUM(IF(LEFT('EASI AFR Detail'!$F$5:$F$699,3)&amp;RIGHT('EASI AFR Detail'!$F$5:$F$699,5)&amp;LEFT('EASI AFR Detail'!$G$5:$G$699,4)&amp;RIGHT('EASI AFR Detail'!$J$5:$J$699,8)="ins0200)Expl7 (5010)",'EASI AFR Detail'!$O$5:$O$699))</f>
        <v>0</v>
      </c>
      <c r="K76" s="49" cm="1">
        <f t="array" ref="K76">+SUM(IF(LEFT('EASI AFR Detail'!$F$5:$F$699,3)&amp;RIGHT('EASI AFR Detail'!$F$5:$F$699,5)&amp;LEFT('EASI AFR Detail'!$G$5:$G$699,4)&amp;RIGHT('EASI AFR Detail'!$J$5:$J$699,8)="ins0200)Faci7 (5010)",'EASI AFR Detail'!$O$5:$O$699))</f>
        <v>0</v>
      </c>
      <c r="L76" s="49" cm="1">
        <f t="array" ref="L76">+SUM(IF(LEFT('EASI AFR Detail'!$F$5:$F$699,3)&amp;RIGHT('EASI AFR Detail'!$F$5:$F$699,5)&amp;LEFT('EASI AFR Detail'!$G$5:$G$699,4)&amp;RIGHT('EASI AFR Detail'!$J$5:$J$699,8)="ins0200)MTSS7 (5010)",'EASI AFR Detail'!$O$5:$O$699))</f>
        <v>0</v>
      </c>
      <c r="M76" s="49" cm="1">
        <f t="array" ref="M76">+SUM(IF(LEFT('EASI AFR Detail'!$F$5:$F$699,3)&amp;RIGHT('EASI AFR Detail'!$F$5:$F$699,5)&amp;LEFT('EASI AFR Detail'!$G$5:$G$699,4)&amp;RIGHT('EASI AFR Detail'!$J$5:$J$699,8)="ins0200)Rigo7 (5010)",'EASI AFR Detail'!$O$5:$O$699))</f>
        <v>0</v>
      </c>
      <c r="N76" s="49" cm="1">
        <f t="array" ref="N76">+SUM(IF(LEFT('EASI AFR Detail'!$F$5:$F$699,3)&amp;RIGHT('EASI AFR Detail'!$F$5:$F$699,5)&amp;LEFT('EASI AFR Detail'!$G$5:$G$699,9)&amp;RIGHT('EASI AFR Detail'!$J$5:$J$699,8)="ins0200)School Tr7 (5010)",'EASI AFR Detail'!$O$5:$O$699))</f>
        <v>0</v>
      </c>
      <c r="O76" s="49" cm="1">
        <f t="array" ref="O76">+SUM(IF(LEFT('EASI AFR Detail'!$F$5:$F$699,3)&amp;RIGHT('EASI AFR Detail'!$F$5:$F$699,5)&amp;LEFT('EASI AFR Detail'!$G$5:$G$699,9)&amp;RIGHT('EASI AFR Detail'!$J$5:$J$699,8)="ins0200)School Tu7 (5010)",'EASI AFR Detail'!$O$5:$O$699))</f>
        <v>0</v>
      </c>
      <c r="P76" s="53">
        <f t="shared" si="15"/>
        <v>0</v>
      </c>
    </row>
    <row r="77" spans="1:16" x14ac:dyDescent="0.3">
      <c r="A77" s="188"/>
      <c r="B77" s="51">
        <v>3</v>
      </c>
      <c r="C77" s="52" t="s">
        <v>6547</v>
      </c>
      <c r="D77" s="49" cm="1">
        <f t="array" ref="D77">+SUM(IF(LEFT('EASI AFR Detail'!$F$5:$F$699,3)&amp;RIGHT('EASI AFR Detail'!$F$5:$F$699,5)&amp;LEFT('EASI AFR Detail'!$G$5:$G$699,4)&amp;RIGHT('EASI AFR Detail'!$J$5:$J$699,8)="ins0300)Acco7 (5010)",'EASI AFR Detail'!$O$5:$O$699))</f>
        <v>0</v>
      </c>
      <c r="E77" s="49" cm="1">
        <f t="array" ref="E77">+SUM(IF(LEFT('EASI AFR Detail'!$F$5:$F$699,3)&amp;RIGHT('EASI AFR Detail'!$F$5:$F$699,5)&amp;LEFT('EASI AFR Detail'!$G$5:$G$699,4)&amp;RIGHT('EASI AFR Detail'!$J$5:$J$699,8)="ins0300)Colo7 (5010)",'EASI AFR Detail'!$O$5:$O$699))</f>
        <v>0</v>
      </c>
      <c r="F77" s="49" cm="1">
        <f t="array" ref="F77">+SUM(IF(LEFT('EASI AFR Detail'!$F$5:$F$699,3)&amp;RIGHT('EASI AFR Detail'!$F$5:$F$699,5)&amp;LEFT('EASI AFR Detail'!$G$5:$G$699,4)&amp;RIGHT('EASI AFR Detail'!$J$5:$J$699,8)="ins0300)Conn7 (5010)",'EASI AFR Detail'!$O$5:$O$699))</f>
        <v>0</v>
      </c>
      <c r="G77" s="49" cm="1">
        <f t="array" ref="G77">+SUM(IF(LEFT('EASI AFR Detail'!$F$5:$F$699,3)&amp;RIGHT('EASI AFR Detail'!$F$5:$F$699,5)&amp;LEFT('EASI AFR Detail'!$G$5:$G$699,12)&amp;RIGHT('EASI AFR Detail'!$J$5:$J$699,8)="ins0300)Diagnostic a7 (5010)",'EASI AFR Detail'!$O$5:$O$699))</f>
        <v>0</v>
      </c>
      <c r="H77" s="49" cm="1">
        <f t="array" ref="H77">+SUM(IF(LEFT('EASI AFR Detail'!$F$5:$F$699,3)&amp;RIGHT('EASI AFR Detail'!$F$5:$F$699,5)&amp;LEFT('EASI AFR Detail'!$G$5:$G$699,10)&amp;RIGHT('EASI AFR Detail'!$J$5:$J$699,8)="ins0300)District D7 (5010)",'EASI AFR Detail'!$O$5:$O$699))</f>
        <v>0</v>
      </c>
      <c r="I77" s="49" cm="1">
        <f t="array" ref="I77">+SUM(IF(LEFT('EASI AFR Detail'!$F$5:$F$699,3)&amp;RIGHT('EASI AFR Detail'!$F$5:$F$699,5)&amp;LEFT('EASI AFR Detail'!$G$5:$G$699,10)&amp;RIGHT('EASI AFR Detail'!$J$5:$J$699,8)="ins0300)District S7 (5010)",'EASI AFR Detail'!$O$5:$O$699))</f>
        <v>0</v>
      </c>
      <c r="J77" s="49" cm="1">
        <f t="array" ref="J77">+SUM(IF(LEFT('EASI AFR Detail'!$F$5:$F$699,3)&amp;RIGHT('EASI AFR Detail'!$F$5:$F$699,5)&amp;LEFT('EASI AFR Detail'!$G$5:$G$699,4)&amp;RIGHT('EASI AFR Detail'!$J$5:$J$699,8)="ins0300)Expl7 (5010)",'EASI AFR Detail'!$O$5:$O$699))</f>
        <v>0</v>
      </c>
      <c r="K77" s="49" cm="1">
        <f t="array" ref="K77">+SUM(IF(LEFT('EASI AFR Detail'!$F$5:$F$699,3)&amp;RIGHT('EASI AFR Detail'!$F$5:$F$699,5)&amp;LEFT('EASI AFR Detail'!$G$5:$G$699,4)&amp;RIGHT('EASI AFR Detail'!$J$5:$J$699,8)="ins0300)Faci7 (5010)",'EASI AFR Detail'!$O$5:$O$699))</f>
        <v>0</v>
      </c>
      <c r="L77" s="49" cm="1">
        <f t="array" ref="L77">+SUM(IF(LEFT('EASI AFR Detail'!$F$5:$F$699,3)&amp;RIGHT('EASI AFR Detail'!$F$5:$F$699,5)&amp;LEFT('EASI AFR Detail'!$G$5:$G$699,4)&amp;RIGHT('EASI AFR Detail'!$J$5:$J$699,8)="ins0300)MTSS7 (5010)",'EASI AFR Detail'!$O$5:$O$699))</f>
        <v>0</v>
      </c>
      <c r="M77" s="49" cm="1">
        <f t="array" ref="M77">+SUM(IF(LEFT('EASI AFR Detail'!$F$5:$F$699,3)&amp;RIGHT('EASI AFR Detail'!$F$5:$F$699,5)&amp;LEFT('EASI AFR Detail'!$G$5:$G$699,4)&amp;RIGHT('EASI AFR Detail'!$J$5:$J$699,8)="ins0300)Rigo7 (5010)",'EASI AFR Detail'!$O$5:$O$699))</f>
        <v>0</v>
      </c>
      <c r="N77" s="49" cm="1">
        <f t="array" ref="N77">+SUM(IF(LEFT('EASI AFR Detail'!$F$5:$F$699,3)&amp;RIGHT('EASI AFR Detail'!$F$5:$F$699,5)&amp;LEFT('EASI AFR Detail'!$G$5:$G$699,9)&amp;RIGHT('EASI AFR Detail'!$J$5:$J$699,8)="ins0300)School Tr7 (5010)",'EASI AFR Detail'!$O$5:$O$699))</f>
        <v>0</v>
      </c>
      <c r="O77" s="49" cm="1">
        <f t="array" ref="O77">+SUM(IF(LEFT('EASI AFR Detail'!$F$5:$F$699,3)&amp;RIGHT('EASI AFR Detail'!$F$5:$F$699,5)&amp;LEFT('EASI AFR Detail'!$G$5:$G$699,9)&amp;RIGHT('EASI AFR Detail'!$J$5:$J$699,8)="ins0300)School Tu7 (5010)",'EASI AFR Detail'!$O$5:$O$699))</f>
        <v>0</v>
      </c>
      <c r="P77" s="53">
        <f t="shared" si="15"/>
        <v>0</v>
      </c>
    </row>
    <row r="78" spans="1:16" x14ac:dyDescent="0.3">
      <c r="A78" s="188"/>
      <c r="B78" s="51">
        <v>4</v>
      </c>
      <c r="C78" s="52" t="s">
        <v>6548</v>
      </c>
      <c r="D78" s="49" cm="1">
        <f t="array" ref="D78">+SUM(IF(LEFT('EASI AFR Detail'!$F$5:$F$699,3)&amp;RIGHT('EASI AFR Detail'!$F$5:$F$699,5)&amp;LEFT('EASI AFR Detail'!$G$5:$G$699,4)&amp;RIGHT('EASI AFR Detail'!$J$5:$J$699,8)="ins0500)Acco7 (5010)",'EASI AFR Detail'!$O$5:$O$699))</f>
        <v>0</v>
      </c>
      <c r="E78" s="49" cm="1">
        <f t="array" ref="E78">+SUM(IF(LEFT('EASI AFR Detail'!$F$5:$F$699,3)&amp;RIGHT('EASI AFR Detail'!$F$5:$F$699,5)&amp;LEFT('EASI AFR Detail'!$G$5:$G$699,4)&amp;RIGHT('EASI AFR Detail'!$J$5:$J$699,8)="ins0500)Colo7 (5010)",'EASI AFR Detail'!$O$5:$O$699))</f>
        <v>0</v>
      </c>
      <c r="F78" s="49" cm="1">
        <f t="array" ref="F78">+SUM(IF(LEFT('EASI AFR Detail'!$F$5:$F$699,3)&amp;RIGHT('EASI AFR Detail'!$F$5:$F$699,5)&amp;LEFT('EASI AFR Detail'!$G$5:$G$699,4)&amp;RIGHT('EASI AFR Detail'!$J$5:$J$699,8)="ins0500)Conn7 (5010)",'EASI AFR Detail'!$O$5:$O$699))</f>
        <v>0</v>
      </c>
      <c r="G78" s="49" cm="1">
        <f t="array" ref="G78">+SUM(IF(LEFT('EASI AFR Detail'!$F$5:$F$699,3)&amp;RIGHT('EASI AFR Detail'!$F$5:$F$699,5)&amp;LEFT('EASI AFR Detail'!$G$5:$G$699,12)&amp;RIGHT('EASI AFR Detail'!$J$5:$J$699,8)="ins0500)Diagnostic a7 (5010)",'EASI AFR Detail'!$O$5:$O$699))</f>
        <v>0</v>
      </c>
      <c r="H78" s="49" cm="1">
        <f t="array" ref="H78">+SUM(IF(LEFT('EASI AFR Detail'!$F$5:$F$699,3)&amp;RIGHT('EASI AFR Detail'!$F$5:$F$699,5)&amp;LEFT('EASI AFR Detail'!$G$5:$G$699,10)&amp;RIGHT('EASI AFR Detail'!$J$5:$J$699,8)="ins0500)District D7 (5010)",'EASI AFR Detail'!$O$5:$O$699))</f>
        <v>0</v>
      </c>
      <c r="I78" s="49" cm="1">
        <f t="array" ref="I78">+SUM(IF(LEFT('EASI AFR Detail'!$F$5:$F$699,3)&amp;RIGHT('EASI AFR Detail'!$F$5:$F$699,5)&amp;LEFT('EASI AFR Detail'!$G$5:$G$699,10)&amp;RIGHT('EASI AFR Detail'!$J$5:$J$699,8)="ins0500)District S7 (5010)",'EASI AFR Detail'!$O$5:$O$699))</f>
        <v>0</v>
      </c>
      <c r="J78" s="49" cm="1">
        <f t="array" ref="J78">+SUM(IF(LEFT('EASI AFR Detail'!$F$5:$F$699,3)&amp;RIGHT('EASI AFR Detail'!$F$5:$F$699,5)&amp;LEFT('EASI AFR Detail'!$G$5:$G$699,4)&amp;RIGHT('EASI AFR Detail'!$J$5:$J$699,8)="ins0500)Expl7 (5010)",'EASI AFR Detail'!$O$5:$O$699))</f>
        <v>0</v>
      </c>
      <c r="K78" s="49" cm="1">
        <f t="array" ref="K78">+SUM(IF(LEFT('EASI AFR Detail'!$F$5:$F$699,3)&amp;RIGHT('EASI AFR Detail'!$F$5:$F$699,5)&amp;LEFT('EASI AFR Detail'!$G$5:$G$699,4)&amp;RIGHT('EASI AFR Detail'!$J$5:$J$699,8)="ins0500)Faci7 (5010)",'EASI AFR Detail'!$O$5:$O$699))</f>
        <v>0</v>
      </c>
      <c r="L78" s="49" cm="1">
        <f t="array" ref="L78">+SUM(IF(LEFT('EASI AFR Detail'!$F$5:$F$699,3)&amp;RIGHT('EASI AFR Detail'!$F$5:$F$699,5)&amp;LEFT('EASI AFR Detail'!$G$5:$G$699,4)&amp;RIGHT('EASI AFR Detail'!$J$5:$J$699,8)="ins0500)MTSS7 (5010)",'EASI AFR Detail'!$O$5:$O$699))</f>
        <v>0</v>
      </c>
      <c r="M78" s="49" cm="1">
        <f t="array" ref="M78">+SUM(IF(LEFT('EASI AFR Detail'!$F$5:$F$699,3)&amp;RIGHT('EASI AFR Detail'!$F$5:$F$699,5)&amp;LEFT('EASI AFR Detail'!$G$5:$G$699,4)&amp;RIGHT('EASI AFR Detail'!$J$5:$J$699,8)="ins0500)Rigo7 (5010)",'EASI AFR Detail'!$O$5:$O$699))</f>
        <v>0</v>
      </c>
      <c r="N78" s="49" cm="1">
        <f t="array" ref="N78">+SUM(IF(LEFT('EASI AFR Detail'!$F$5:$F$699,3)&amp;RIGHT('EASI AFR Detail'!$F$5:$F$699,5)&amp;LEFT('EASI AFR Detail'!$G$5:$G$699,9)&amp;RIGHT('EASI AFR Detail'!$J$5:$J$699,8)="ins0500)School Tr7 (5010)",'EASI AFR Detail'!$O$5:$O$699))</f>
        <v>0</v>
      </c>
      <c r="O78" s="49" cm="1">
        <f t="array" ref="O78">+SUM(IF(LEFT('EASI AFR Detail'!$F$5:$F$699,3)&amp;RIGHT('EASI AFR Detail'!$F$5:$F$699,5)&amp;LEFT('EASI AFR Detail'!$G$5:$G$699,9)&amp;RIGHT('EASI AFR Detail'!$J$5:$J$699,8)="ins0500)School Tu7 (5010)",'EASI AFR Detail'!$O$5:$O$699))</f>
        <v>0</v>
      </c>
      <c r="P78" s="53">
        <f t="shared" si="15"/>
        <v>0</v>
      </c>
    </row>
    <row r="79" spans="1:16" x14ac:dyDescent="0.3">
      <c r="A79" s="188"/>
      <c r="B79" s="51">
        <v>5</v>
      </c>
      <c r="C79" s="52" t="s">
        <v>6549</v>
      </c>
      <c r="D79" s="49" cm="1">
        <f t="array" ref="D79">+SUM(IF(LEFT('EASI AFR Detail'!$F$5:$F$699,3)&amp;RIGHT('EASI AFR Detail'!$F$5:$F$699,5)&amp;LEFT('EASI AFR Detail'!$G$5:$G$699,4)&amp;RIGHT('EASI AFR Detail'!$J$5:$J$699,8)="ins0580)Acco7 (5010)",'EASI AFR Detail'!$O$5:$O$699))</f>
        <v>0</v>
      </c>
      <c r="E79" s="49" cm="1">
        <f t="array" ref="E79">+SUM(IF(LEFT('EASI AFR Detail'!$F$5:$F$699,3)&amp;RIGHT('EASI AFR Detail'!$F$5:$F$699,5)&amp;LEFT('EASI AFR Detail'!$G$5:$G$699,4)&amp;RIGHT('EASI AFR Detail'!$J$5:$J$699,8)="ins0580)Colo7 (5010)",'EASI AFR Detail'!$O$5:$O$699))</f>
        <v>0</v>
      </c>
      <c r="F79" s="49" cm="1">
        <f t="array" ref="F79">+SUM(IF(LEFT('EASI AFR Detail'!$F$5:$F$699,3)&amp;RIGHT('EASI AFR Detail'!$F$5:$F$699,5)&amp;LEFT('EASI AFR Detail'!$G$5:$G$699,4)&amp;RIGHT('EASI AFR Detail'!$J$5:$J$699,8)="ins0580)Conn7 (5010)",'EASI AFR Detail'!$O$5:$O$699))</f>
        <v>0</v>
      </c>
      <c r="G79" s="49" cm="1">
        <f t="array" ref="G79">+SUM(IF(LEFT('EASI AFR Detail'!$F$5:$F$699,3)&amp;RIGHT('EASI AFR Detail'!$F$5:$F$699,5)&amp;LEFT('EASI AFR Detail'!$G$5:$G$699,12)&amp;RIGHT('EASI AFR Detail'!$J$5:$J$699,8)="ins0580)Diagnostic a7 (5010)",'EASI AFR Detail'!$O$5:$O$699))</f>
        <v>0</v>
      </c>
      <c r="H79" s="49" cm="1">
        <f t="array" ref="H79">+SUM(IF(LEFT('EASI AFR Detail'!$F$5:$F$699,3)&amp;RIGHT('EASI AFR Detail'!$F$5:$F$699,5)&amp;LEFT('EASI AFR Detail'!$G$5:$G$699,10)&amp;RIGHT('EASI AFR Detail'!$J$5:$J$699,8)="ins0580)District D7 (5010)",'EASI AFR Detail'!$O$5:$O$699))</f>
        <v>0</v>
      </c>
      <c r="I79" s="49" cm="1">
        <f t="array" ref="I79">+SUM(IF(LEFT('EASI AFR Detail'!$F$5:$F$699,3)&amp;RIGHT('EASI AFR Detail'!$F$5:$F$699,5)&amp;LEFT('EASI AFR Detail'!$G$5:$G$699,10)&amp;RIGHT('EASI AFR Detail'!$J$5:$J$699,8)="ins0580)District S7 (5010)",'EASI AFR Detail'!$O$5:$O$699))</f>
        <v>0</v>
      </c>
      <c r="J79" s="49" cm="1">
        <f t="array" ref="J79">+SUM(IF(LEFT('EASI AFR Detail'!$F$5:$F$699,3)&amp;RIGHT('EASI AFR Detail'!$F$5:$F$699,5)&amp;LEFT('EASI AFR Detail'!$G$5:$G$699,4)&amp;RIGHT('EASI AFR Detail'!$J$5:$J$699,8)="ins0580)Expl7 (5010)",'EASI AFR Detail'!$O$5:$O$699))</f>
        <v>0</v>
      </c>
      <c r="K79" s="49" cm="1">
        <f t="array" ref="K79">+SUM(IF(LEFT('EASI AFR Detail'!$F$5:$F$699,3)&amp;RIGHT('EASI AFR Detail'!$F$5:$F$699,5)&amp;LEFT('EASI AFR Detail'!$G$5:$G$699,4)&amp;RIGHT('EASI AFR Detail'!$J$5:$J$699,8)="ins0580)Faci7 (5010)",'EASI AFR Detail'!$O$5:$O$699))</f>
        <v>0</v>
      </c>
      <c r="L79" s="49" cm="1">
        <f t="array" ref="L79">+SUM(IF(LEFT('EASI AFR Detail'!$F$5:$F$699,3)&amp;RIGHT('EASI AFR Detail'!$F$5:$F$699,5)&amp;LEFT('EASI AFR Detail'!$G$5:$G$699,4)&amp;RIGHT('EASI AFR Detail'!$J$5:$J$699,8)="ins0580)MTSS7 (5010)",'EASI AFR Detail'!$O$5:$O$699))</f>
        <v>0</v>
      </c>
      <c r="M79" s="49" cm="1">
        <f t="array" ref="M79">+SUM(IF(LEFT('EASI AFR Detail'!$F$5:$F$699,3)&amp;RIGHT('EASI AFR Detail'!$F$5:$F$699,5)&amp;LEFT('EASI AFR Detail'!$G$5:$G$699,4)&amp;RIGHT('EASI AFR Detail'!$J$5:$J$699,8)="ins0580)Rigo7 (5010)",'EASI AFR Detail'!$O$5:$O$699))</f>
        <v>0</v>
      </c>
      <c r="N79" s="49" cm="1">
        <f t="array" ref="N79">+SUM(IF(LEFT('EASI AFR Detail'!$F$5:$F$699,3)&amp;RIGHT('EASI AFR Detail'!$F$5:$F$699,5)&amp;LEFT('EASI AFR Detail'!$G$5:$G$699,9)&amp;RIGHT('EASI AFR Detail'!$J$5:$J$699,8)="ins0580)School Tr7 (5010)",'EASI AFR Detail'!$O$5:$O$699))</f>
        <v>0</v>
      </c>
      <c r="O79" s="49" cm="1">
        <f t="array" ref="O79">+SUM(IF(LEFT('EASI AFR Detail'!$F$5:$F$699,3)&amp;RIGHT('EASI AFR Detail'!$F$5:$F$699,5)&amp;LEFT('EASI AFR Detail'!$G$5:$G$699,9)&amp;RIGHT('EASI AFR Detail'!$J$5:$J$699,8)="ins0580)School Tu7 (5010)",'EASI AFR Detail'!$O$5:$O$699))</f>
        <v>0</v>
      </c>
      <c r="P79" s="53">
        <f t="shared" si="15"/>
        <v>0</v>
      </c>
    </row>
    <row r="80" spans="1:16" x14ac:dyDescent="0.3">
      <c r="A80" s="188"/>
      <c r="B80" s="54">
        <v>6</v>
      </c>
      <c r="C80" s="55" t="s">
        <v>6550</v>
      </c>
      <c r="D80" s="49" cm="1">
        <f t="array" ref="D80">+SUM(IF(LEFT('EASI AFR Detail'!$F$5:$F$699,3)&amp;RIGHT('EASI AFR Detail'!$F$5:$F$699,5)&amp;LEFT('EASI AFR Detail'!$G$5:$G$699,4)&amp;RIGHT('EASI AFR Detail'!$J$5:$J$699,8)="ins0600)Acco7 (5010)",'EASI AFR Detail'!$O$5:$O$699))</f>
        <v>0</v>
      </c>
      <c r="E80" s="49" cm="1">
        <f t="array" ref="E80">+SUM(IF(LEFT('EASI AFR Detail'!$F$5:$F$699,3)&amp;RIGHT('EASI AFR Detail'!$F$5:$F$699,5)&amp;LEFT('EASI AFR Detail'!$G$5:$G$699,4)&amp;RIGHT('EASI AFR Detail'!$J$5:$J$699,8)="ins0600)Colo7 (5010)",'EASI AFR Detail'!$O$5:$O$699))</f>
        <v>0</v>
      </c>
      <c r="F80" s="49" cm="1">
        <f t="array" ref="F80">+SUM(IF(LEFT('EASI AFR Detail'!$F$5:$F$699,3)&amp;RIGHT('EASI AFR Detail'!$F$5:$F$699,5)&amp;LEFT('EASI AFR Detail'!$G$5:$G$699,4)&amp;RIGHT('EASI AFR Detail'!$J$5:$J$699,8)="ins0600)Conn7 (5010)",'EASI AFR Detail'!$O$5:$O$699))</f>
        <v>0</v>
      </c>
      <c r="G80" s="49" cm="1">
        <f t="array" ref="G80">+SUM(IF(LEFT('EASI AFR Detail'!$F$5:$F$699,3)&amp;RIGHT('EASI AFR Detail'!$F$5:$F$699,5)&amp;LEFT('EASI AFR Detail'!$G$5:$G$699,12)&amp;RIGHT('EASI AFR Detail'!$J$5:$J$699,8)="ins0600)Diagnostic a7 (5010)",'EASI AFR Detail'!$O$5:$O$699))</f>
        <v>0</v>
      </c>
      <c r="H80" s="49" cm="1">
        <f t="array" ref="H80">+SUM(IF(LEFT('EASI AFR Detail'!$F$5:$F$699,3)&amp;RIGHT('EASI AFR Detail'!$F$5:$F$699,5)&amp;LEFT('EASI AFR Detail'!$G$5:$G$699,10)&amp;RIGHT('EASI AFR Detail'!$J$5:$J$699,8)="ins0600)District D7 (5010)",'EASI AFR Detail'!$O$5:$O$699))</f>
        <v>0</v>
      </c>
      <c r="I80" s="49" cm="1">
        <f t="array" ref="I80">+SUM(IF(LEFT('EASI AFR Detail'!$F$5:$F$699,3)&amp;RIGHT('EASI AFR Detail'!$F$5:$F$699,5)&amp;LEFT('EASI AFR Detail'!$G$5:$G$699,10)&amp;RIGHT('EASI AFR Detail'!$J$5:$J$699,8)="ins0600)District S7 (5010)",'EASI AFR Detail'!$O$5:$O$699))</f>
        <v>0</v>
      </c>
      <c r="J80" s="49" cm="1">
        <f t="array" ref="J80">+SUM(IF(LEFT('EASI AFR Detail'!$F$5:$F$699,3)&amp;RIGHT('EASI AFR Detail'!$F$5:$F$699,5)&amp;LEFT('EASI AFR Detail'!$G$5:$G$699,4)&amp;RIGHT('EASI AFR Detail'!$J$5:$J$699,8)="ins0600)Expl7 (5010)",'EASI AFR Detail'!$O$5:$O$699))</f>
        <v>0</v>
      </c>
      <c r="K80" s="49" cm="1">
        <f t="array" ref="K80">+SUM(IF(LEFT('EASI AFR Detail'!$F$5:$F$699,3)&amp;RIGHT('EASI AFR Detail'!$F$5:$F$699,5)&amp;LEFT('EASI AFR Detail'!$G$5:$G$699,4)&amp;RIGHT('EASI AFR Detail'!$J$5:$J$699,8)="ins0600)Faci7 (5010)",'EASI AFR Detail'!$O$5:$O$699))</f>
        <v>0</v>
      </c>
      <c r="L80" s="49" cm="1">
        <f t="array" ref="L80">+SUM(IF(LEFT('EASI AFR Detail'!$F$5:$F$699,3)&amp;RIGHT('EASI AFR Detail'!$F$5:$F$699,5)&amp;LEFT('EASI AFR Detail'!$G$5:$G$699,4)&amp;RIGHT('EASI AFR Detail'!$J$5:$J$699,8)="ins0600)MTSS7 (5010)",'EASI AFR Detail'!$O$5:$O$699))</f>
        <v>0</v>
      </c>
      <c r="M80" s="49" cm="1">
        <f t="array" ref="M80">+SUM(IF(LEFT('EASI AFR Detail'!$F$5:$F$699,3)&amp;RIGHT('EASI AFR Detail'!$F$5:$F$699,5)&amp;LEFT('EASI AFR Detail'!$G$5:$G$699,4)&amp;RIGHT('EASI AFR Detail'!$J$5:$J$699,8)="ins0600)Rigo7 (5010)",'EASI AFR Detail'!$O$5:$O$699))</f>
        <v>0</v>
      </c>
      <c r="N80" s="49" cm="1">
        <f t="array" ref="N80">+SUM(IF(LEFT('EASI AFR Detail'!$F$5:$F$699,3)&amp;RIGHT('EASI AFR Detail'!$F$5:$F$699,5)&amp;LEFT('EASI AFR Detail'!$G$5:$G$699,9)&amp;RIGHT('EASI AFR Detail'!$J$5:$J$699,8)="ins0600)School Tr7 (5010)",'EASI AFR Detail'!$O$5:$O$699))</f>
        <v>0</v>
      </c>
      <c r="O80" s="49" cm="1">
        <f t="array" ref="O80">+SUM(IF(LEFT('EASI AFR Detail'!$F$5:$F$699,3)&amp;RIGHT('EASI AFR Detail'!$F$5:$F$699,5)&amp;LEFT('EASI AFR Detail'!$G$5:$G$699,9)&amp;RIGHT('EASI AFR Detail'!$J$5:$J$699,8)="ins0600)School Tu7 (5010)",'EASI AFR Detail'!$O$5:$O$699))</f>
        <v>0</v>
      </c>
      <c r="P80" s="53">
        <f t="shared" si="15"/>
        <v>0</v>
      </c>
    </row>
    <row r="81" spans="1:16" ht="15" thickBot="1" x14ac:dyDescent="0.35">
      <c r="A81" s="188"/>
      <c r="B81" s="51">
        <v>7</v>
      </c>
      <c r="C81" s="56" t="s">
        <v>6551</v>
      </c>
      <c r="D81" s="49">
        <f>SUM(D75:D80)</f>
        <v>0</v>
      </c>
      <c r="E81" s="57">
        <f t="shared" ref="E81:P81" si="16">SUM(E75:E80)</f>
        <v>0</v>
      </c>
      <c r="F81" s="57">
        <f t="shared" si="16"/>
        <v>0</v>
      </c>
      <c r="G81" s="57">
        <f t="shared" si="16"/>
        <v>0</v>
      </c>
      <c r="H81" s="57">
        <f t="shared" si="16"/>
        <v>0</v>
      </c>
      <c r="I81" s="57">
        <f t="shared" si="16"/>
        <v>0</v>
      </c>
      <c r="J81" s="57">
        <f t="shared" si="16"/>
        <v>0</v>
      </c>
      <c r="K81" s="57">
        <f t="shared" si="16"/>
        <v>0</v>
      </c>
      <c r="L81" s="57">
        <f t="shared" si="16"/>
        <v>0</v>
      </c>
      <c r="M81" s="57">
        <f t="shared" si="16"/>
        <v>0</v>
      </c>
      <c r="N81" s="57">
        <f t="shared" si="16"/>
        <v>0</v>
      </c>
      <c r="O81" s="57">
        <f t="shared" si="16"/>
        <v>0</v>
      </c>
      <c r="P81" s="53">
        <f t="shared" si="16"/>
        <v>0</v>
      </c>
    </row>
    <row r="82" spans="1:16" ht="15" thickBot="1" x14ac:dyDescent="0.35">
      <c r="A82" s="188"/>
      <c r="C82" s="58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60"/>
    </row>
    <row r="83" spans="1:16" ht="15" thickBot="1" x14ac:dyDescent="0.35">
      <c r="A83" s="188"/>
      <c r="B83" s="194" t="s">
        <v>6552</v>
      </c>
      <c r="C83" s="196"/>
      <c r="D83" s="45" t="s">
        <v>6544</v>
      </c>
      <c r="E83" s="45" t="s">
        <v>6544</v>
      </c>
      <c r="F83" s="45" t="s">
        <v>6544</v>
      </c>
      <c r="G83" s="45" t="s">
        <v>6544</v>
      </c>
      <c r="H83" s="45" t="s">
        <v>6544</v>
      </c>
      <c r="I83" s="45" t="s">
        <v>6544</v>
      </c>
      <c r="J83" s="45" t="s">
        <v>6544</v>
      </c>
      <c r="K83" s="45" t="s">
        <v>6544</v>
      </c>
      <c r="L83" s="45" t="s">
        <v>6544</v>
      </c>
      <c r="M83" s="45" t="s">
        <v>6544</v>
      </c>
      <c r="N83" s="45" t="s">
        <v>6544</v>
      </c>
      <c r="O83" s="45" t="s">
        <v>6544</v>
      </c>
      <c r="P83" s="45" t="s">
        <v>6544</v>
      </c>
    </row>
    <row r="84" spans="1:16" x14ac:dyDescent="0.3">
      <c r="A84" s="188"/>
      <c r="B84" s="61">
        <v>8</v>
      </c>
      <c r="C84" s="62" t="s">
        <v>6545</v>
      </c>
      <c r="D84" s="49" cm="1">
        <f t="array" ref="D84">+SUM(IF(LEFT('EASI AFR Detail'!$F$5:$F$699,3)&amp;RIGHT('EASI AFR Detail'!$F$5:$F$699,5)&amp;LEFT('EASI AFR Detail'!$G$5:$G$699,4)&amp;RIGHT('EASI AFR Detail'!$J$5:$J$699,8)="sup0100)Acco7 (5010)",'EASI AFR Detail'!$O$5:$O$699))</f>
        <v>0</v>
      </c>
      <c r="E84" s="49" cm="1">
        <f t="array" ref="E84">+SUM(IF(LEFT('EASI AFR Detail'!$F$5:$F$699,3)&amp;RIGHT('EASI AFR Detail'!$F$5:$F$699,5)&amp;LEFT('EASI AFR Detail'!$G$5:$G$699,4)&amp;RIGHT('EASI AFR Detail'!$J$5:$J$699,8)="sup0100)Colo7 (5010)",'EASI AFR Detail'!$O$5:$O$699))</f>
        <v>0</v>
      </c>
      <c r="F84" s="49" cm="1">
        <f t="array" ref="F84">+SUM(IF(LEFT('EASI AFR Detail'!$F$5:$F$699,3)&amp;RIGHT('EASI AFR Detail'!$F$5:$F$699,5)&amp;LEFT('EASI AFR Detail'!$G$5:$G$699,4)&amp;RIGHT('EASI AFR Detail'!$J$5:$J$699,8)="sup0100)Conn7 (5010)",'EASI AFR Detail'!$O$5:$O$699))</f>
        <v>0</v>
      </c>
      <c r="G84" s="49" cm="1">
        <f t="array" ref="G84">+SUM(IF(LEFT('EASI AFR Detail'!$F$5:$F$699,3)&amp;RIGHT('EASI AFR Detail'!$F$5:$F$699,5)&amp;LEFT('EASI AFR Detail'!$G$5:$G$699,12)&amp;RIGHT('EASI AFR Detail'!$J$5:$J$699,8)="sup0100)Diagnostic a7 (5010)",'EASI AFR Detail'!$O$5:$O$699))</f>
        <v>0</v>
      </c>
      <c r="H84" s="49" cm="1">
        <f t="array" ref="H84">+SUM(IF(LEFT('EASI AFR Detail'!$F$5:$F$699,3)&amp;RIGHT('EASI AFR Detail'!$F$5:$F$699,5)&amp;LEFT('EASI AFR Detail'!$G$5:$G$699,10)&amp;RIGHT('EASI AFR Detail'!$J$5:$J$699,8)="sup0100)District D7 (5010)",'EASI AFR Detail'!$O$5:$O$699))</f>
        <v>0</v>
      </c>
      <c r="I84" s="49" cm="1">
        <f t="array" ref="I84">+SUM(IF(LEFT('EASI AFR Detail'!$F$5:$F$699,3)&amp;RIGHT('EASI AFR Detail'!$F$5:$F$699,5)&amp;LEFT('EASI AFR Detail'!$G$5:$G$699,10)&amp;RIGHT('EASI AFR Detail'!$J$5:$J$699,8)="sup0100)District S7 (5010)",'EASI AFR Detail'!$O$5:$O$699))</f>
        <v>0</v>
      </c>
      <c r="J84" s="49" cm="1">
        <f t="array" ref="J84">+SUM(IF(LEFT('EASI AFR Detail'!$F$5:$F$699,3)&amp;RIGHT('EASI AFR Detail'!$F$5:$F$699,5)&amp;LEFT('EASI AFR Detail'!$G$5:$G$699,4)&amp;RIGHT('EASI AFR Detail'!$J$5:$J$699,8)="sup0100)Expl7 (5010)",'EASI AFR Detail'!$O$5:$O$699))</f>
        <v>0</v>
      </c>
      <c r="K84" s="49" cm="1">
        <f t="array" ref="K84">+SUM(IF(LEFT('EASI AFR Detail'!$F$5:$F$699,3)&amp;RIGHT('EASI AFR Detail'!$F$5:$F$699,5)&amp;LEFT('EASI AFR Detail'!$G$5:$G$699,4)&amp;RIGHT('EASI AFR Detail'!$J$5:$J$699,8)="sup0100)Faci7 (5010)",'EASI AFR Detail'!$O$5:$O$699))</f>
        <v>0</v>
      </c>
      <c r="L84" s="49" cm="1">
        <f t="array" ref="L84">+SUM(IF(LEFT('EASI AFR Detail'!$F$5:$F$699,3)&amp;RIGHT('EASI AFR Detail'!$F$5:$F$699,5)&amp;LEFT('EASI AFR Detail'!$G$5:$G$699,4)&amp;RIGHT('EASI AFR Detail'!$J$5:$J$699,8)="sup0100)MTSS7 (5010)",'EASI AFR Detail'!$O$5:$O$699))</f>
        <v>0</v>
      </c>
      <c r="M84" s="49" cm="1">
        <f t="array" ref="M84">+SUM(IF(LEFT('EASI AFR Detail'!$F$5:$F$699,3)&amp;RIGHT('EASI AFR Detail'!$F$5:$F$699,5)&amp;LEFT('EASI AFR Detail'!$G$5:$G$699,4)&amp;RIGHT('EASI AFR Detail'!$J$5:$J$699,8)="sup0100)Rigo7 (5010)",'EASI AFR Detail'!$O$5:$O$699))</f>
        <v>0</v>
      </c>
      <c r="N84" s="49" cm="1">
        <f t="array" ref="N84">+SUM(IF(LEFT('EASI AFR Detail'!$F$5:$F$699,3)&amp;RIGHT('EASI AFR Detail'!$F$5:$F$699,5)&amp;LEFT('EASI AFR Detail'!$G$5:$G$699,9)&amp;RIGHT('EASI AFR Detail'!$J$5:$J$699,8)="sup0100)School Tr7 (5010)",'EASI AFR Detail'!$O$5:$O$699))</f>
        <v>0</v>
      </c>
      <c r="O84" s="49" cm="1">
        <f t="array" ref="O84">+SUM(IF(LEFT('EASI AFR Detail'!$F$5:$F$699,3)&amp;RIGHT('EASI AFR Detail'!$F$5:$F$699,5)&amp;LEFT('EASI AFR Detail'!$G$5:$G$699,9)&amp;RIGHT('EASI AFR Detail'!$J$5:$J$699,8)="sup0100)School Tu7 (5010)",'EASI AFR Detail'!$O$5:$O$699))</f>
        <v>0</v>
      </c>
      <c r="P84" s="50">
        <f t="shared" ref="P84:P89" si="17">SUM(D84:O84)</f>
        <v>0</v>
      </c>
    </row>
    <row r="85" spans="1:16" x14ac:dyDescent="0.3">
      <c r="A85" s="188"/>
      <c r="B85" s="63">
        <v>9</v>
      </c>
      <c r="C85" s="64" t="s">
        <v>6546</v>
      </c>
      <c r="D85" s="49" cm="1">
        <f t="array" ref="D85">+SUM(IF(LEFT('EASI AFR Detail'!$F$5:$F$699,3)&amp;RIGHT('EASI AFR Detail'!$F$5:$F$699,5)&amp;LEFT('EASI AFR Detail'!$G$5:$G$699,4)&amp;RIGHT('EASI AFR Detail'!$J$5:$J$699,8)="sup0200)Acco7 (5010)",'EASI AFR Detail'!$O$5:$O$699))</f>
        <v>0</v>
      </c>
      <c r="E85" s="49" cm="1">
        <f t="array" ref="E85">+SUM(IF(LEFT('EASI AFR Detail'!$F$5:$F$699,3)&amp;RIGHT('EASI AFR Detail'!$F$5:$F$699,5)&amp;LEFT('EASI AFR Detail'!$G$5:$G$699,4)&amp;RIGHT('EASI AFR Detail'!$J$5:$J$699,8)="sup0200)Colo7 (5010)",'EASI AFR Detail'!$O$5:$O$699))</f>
        <v>0</v>
      </c>
      <c r="F85" s="49" cm="1">
        <f t="array" ref="F85">+SUM(IF(LEFT('EASI AFR Detail'!$F$5:$F$699,3)&amp;RIGHT('EASI AFR Detail'!$F$5:$F$699,5)&amp;LEFT('EASI AFR Detail'!$G$5:$G$699,4)&amp;RIGHT('EASI AFR Detail'!$J$5:$J$699,8)="sup0200)Conn7 (5010)",'EASI AFR Detail'!$O$5:$O$699))</f>
        <v>0</v>
      </c>
      <c r="G85" s="49" cm="1">
        <f t="array" ref="G85">+SUM(IF(LEFT('EASI AFR Detail'!$F$5:$F$699,3)&amp;RIGHT('EASI AFR Detail'!$F$5:$F$699,5)&amp;LEFT('EASI AFR Detail'!$G$5:$G$699,12)&amp;RIGHT('EASI AFR Detail'!$J$5:$J$699,8)="sup0200)Diagnostic a7 (5010)",'EASI AFR Detail'!$O$5:$O$699))</f>
        <v>0</v>
      </c>
      <c r="H85" s="49" cm="1">
        <f t="array" ref="H85">+SUM(IF(LEFT('EASI AFR Detail'!$F$5:$F$699,3)&amp;RIGHT('EASI AFR Detail'!$F$5:$F$699,5)&amp;LEFT('EASI AFR Detail'!$G$5:$G$699,10)&amp;RIGHT('EASI AFR Detail'!$J$5:$J$699,8)="sup0200)District D7 (5010)",'EASI AFR Detail'!$O$5:$O$699))</f>
        <v>0</v>
      </c>
      <c r="I85" s="49" cm="1">
        <f t="array" ref="I85">+SUM(IF(LEFT('EASI AFR Detail'!$F$5:$F$699,3)&amp;RIGHT('EASI AFR Detail'!$F$5:$F$699,5)&amp;LEFT('EASI AFR Detail'!$G$5:$G$699,10)&amp;RIGHT('EASI AFR Detail'!$J$5:$J$699,8)="sup0200)District S7 (5010)",'EASI AFR Detail'!$O$5:$O$699))</f>
        <v>0</v>
      </c>
      <c r="J85" s="49" cm="1">
        <f t="array" ref="J85">+SUM(IF(LEFT('EASI AFR Detail'!$F$5:$F$699,3)&amp;RIGHT('EASI AFR Detail'!$F$5:$F$699,5)&amp;LEFT('EASI AFR Detail'!$G$5:$G$699,4)&amp;RIGHT('EASI AFR Detail'!$J$5:$J$699,8)="sup0200)Expl7 (5010)",'EASI AFR Detail'!$O$5:$O$699))</f>
        <v>0</v>
      </c>
      <c r="K85" s="49" cm="1">
        <f t="array" ref="K85">+SUM(IF(LEFT('EASI AFR Detail'!$F$5:$F$699,3)&amp;RIGHT('EASI AFR Detail'!$F$5:$F$699,5)&amp;LEFT('EASI AFR Detail'!$G$5:$G$699,4)&amp;RIGHT('EASI AFR Detail'!$J$5:$J$699,8)="sup0200)Faci7 (5010)",'EASI AFR Detail'!$O$5:$O$699))</f>
        <v>0</v>
      </c>
      <c r="L85" s="49" cm="1">
        <f t="array" ref="L85">+SUM(IF(LEFT('EASI AFR Detail'!$F$5:$F$699,3)&amp;RIGHT('EASI AFR Detail'!$F$5:$F$699,5)&amp;LEFT('EASI AFR Detail'!$G$5:$G$699,4)&amp;RIGHT('EASI AFR Detail'!$J$5:$J$699,8)="sup0200)MTSS7 (5010)",'EASI AFR Detail'!$O$5:$O$699))</f>
        <v>0</v>
      </c>
      <c r="M85" s="49" cm="1">
        <f t="array" ref="M85">+SUM(IF(LEFT('EASI AFR Detail'!$F$5:$F$699,3)&amp;RIGHT('EASI AFR Detail'!$F$5:$F$699,5)&amp;LEFT('EASI AFR Detail'!$G$5:$G$699,4)&amp;RIGHT('EASI AFR Detail'!$J$5:$J$699,8)="sup0200)Rigo7 (5010)",'EASI AFR Detail'!$O$5:$O$699))</f>
        <v>0</v>
      </c>
      <c r="N85" s="49" cm="1">
        <f t="array" ref="N85">+SUM(IF(LEFT('EASI AFR Detail'!$F$5:$F$699,3)&amp;RIGHT('EASI AFR Detail'!$F$5:$F$699,5)&amp;LEFT('EASI AFR Detail'!$G$5:$G$699,9)&amp;RIGHT('EASI AFR Detail'!$J$5:$J$699,8)="sup0200)School Tr7 (5010)",'EASI AFR Detail'!$O$5:$O$699))</f>
        <v>0</v>
      </c>
      <c r="O85" s="49" cm="1">
        <f t="array" ref="O85">+SUM(IF(LEFT('EASI AFR Detail'!$F$5:$F$699,3)&amp;RIGHT('EASI AFR Detail'!$F$5:$F$699,5)&amp;LEFT('EASI AFR Detail'!$G$5:$G$699,9)&amp;RIGHT('EASI AFR Detail'!$J$5:$J$699,8)="sup0200)School Tu7 (5010)",'EASI AFR Detail'!$O$5:$O$699))</f>
        <v>0</v>
      </c>
      <c r="P85" s="53">
        <f t="shared" si="17"/>
        <v>0</v>
      </c>
    </row>
    <row r="86" spans="1:16" x14ac:dyDescent="0.3">
      <c r="A86" s="188"/>
      <c r="B86" s="63">
        <v>10</v>
      </c>
      <c r="C86" s="64" t="s">
        <v>6547</v>
      </c>
      <c r="D86" s="49" cm="1">
        <f t="array" ref="D86">+SUM(IF(LEFT('EASI AFR Detail'!$F$5:$F$699,3)&amp;RIGHT('EASI AFR Detail'!$F$5:$F$699,5)&amp;LEFT('EASI AFR Detail'!$G$5:$G$699,4)&amp;RIGHT('EASI AFR Detail'!$J$5:$J$699,8)="sup0300)Acco7 (5010)",'EASI AFR Detail'!$O$5:$O$699))</f>
        <v>0</v>
      </c>
      <c r="E86" s="49" cm="1">
        <f t="array" ref="E86">+SUM(IF(LEFT('EASI AFR Detail'!$F$5:$F$699,3)&amp;RIGHT('EASI AFR Detail'!$F$5:$F$699,5)&amp;LEFT('EASI AFR Detail'!$G$5:$G$699,4)&amp;RIGHT('EASI AFR Detail'!$J$5:$J$699,8)="sup0300)Colo7 (5010)",'EASI AFR Detail'!$O$5:$O$699))</f>
        <v>0</v>
      </c>
      <c r="F86" s="49" cm="1">
        <f t="array" ref="F86">+SUM(IF(LEFT('EASI AFR Detail'!$F$5:$F$699,3)&amp;RIGHT('EASI AFR Detail'!$F$5:$F$699,5)&amp;LEFT('EASI AFR Detail'!$G$5:$G$699,4)&amp;RIGHT('EASI AFR Detail'!$J$5:$J$699,8)="sup0300)Conn7 (5010)",'EASI AFR Detail'!$O$5:$O$699))</f>
        <v>0</v>
      </c>
      <c r="G86" s="49" cm="1">
        <f t="array" ref="G86">+SUM(IF(LEFT('EASI AFR Detail'!$F$5:$F$699,3)&amp;RIGHT('EASI AFR Detail'!$F$5:$F$699,5)&amp;LEFT('EASI AFR Detail'!$G$5:$G$699,12)&amp;RIGHT('EASI AFR Detail'!$J$5:$J$699,8)="sup0300)Diagnostic a7 (5010)",'EASI AFR Detail'!$O$5:$O$699))</f>
        <v>0</v>
      </c>
      <c r="H86" s="49" cm="1">
        <f t="array" ref="H86">+SUM(IF(LEFT('EASI AFR Detail'!$F$5:$F$699,3)&amp;RIGHT('EASI AFR Detail'!$F$5:$F$699,5)&amp;LEFT('EASI AFR Detail'!$G$5:$G$699,10)&amp;RIGHT('EASI AFR Detail'!$J$5:$J$699,8)="sup0300)District D7 (5010)",'EASI AFR Detail'!$O$5:$O$699))</f>
        <v>0</v>
      </c>
      <c r="I86" s="49" cm="1">
        <f t="array" ref="I86">+SUM(IF(LEFT('EASI AFR Detail'!$F$5:$F$699,3)&amp;RIGHT('EASI AFR Detail'!$F$5:$F$699,5)&amp;LEFT('EASI AFR Detail'!$G$5:$G$699,10)&amp;RIGHT('EASI AFR Detail'!$J$5:$J$699,8)="sup0300)District S7 (5010)",'EASI AFR Detail'!$O$5:$O$699))</f>
        <v>0</v>
      </c>
      <c r="J86" s="49" cm="1">
        <f t="array" ref="J86">+SUM(IF(LEFT('EASI AFR Detail'!$F$5:$F$699,3)&amp;RIGHT('EASI AFR Detail'!$F$5:$F$699,5)&amp;LEFT('EASI AFR Detail'!$G$5:$G$699,4)&amp;RIGHT('EASI AFR Detail'!$J$5:$J$699,8)="sup0300)Expl7 (5010)",'EASI AFR Detail'!$O$5:$O$699))</f>
        <v>0</v>
      </c>
      <c r="K86" s="49" cm="1">
        <f t="array" ref="K86">+SUM(IF(LEFT('EASI AFR Detail'!$F$5:$F$699,3)&amp;RIGHT('EASI AFR Detail'!$F$5:$F$699,5)&amp;LEFT('EASI AFR Detail'!$G$5:$G$699,4)&amp;RIGHT('EASI AFR Detail'!$J$5:$J$699,8)="sup0300)Faci7 (5010)",'EASI AFR Detail'!$O$5:$O$699))</f>
        <v>0</v>
      </c>
      <c r="L86" s="49" cm="1">
        <f t="array" ref="L86">+SUM(IF(LEFT('EASI AFR Detail'!$F$5:$F$699,3)&amp;RIGHT('EASI AFR Detail'!$F$5:$F$699,5)&amp;LEFT('EASI AFR Detail'!$G$5:$G$699,4)&amp;RIGHT('EASI AFR Detail'!$J$5:$J$699,8)="sup0300)MTSS7 (5010)",'EASI AFR Detail'!$O$5:$O$699))</f>
        <v>0</v>
      </c>
      <c r="M86" s="49" cm="1">
        <f t="array" ref="M86">+SUM(IF(LEFT('EASI AFR Detail'!$F$5:$F$699,3)&amp;RIGHT('EASI AFR Detail'!$F$5:$F$699,5)&amp;LEFT('EASI AFR Detail'!$G$5:$G$699,4)&amp;RIGHT('EASI AFR Detail'!$J$5:$J$699,8)="sup0300)Rigo7 (5010)",'EASI AFR Detail'!$O$5:$O$699))</f>
        <v>0</v>
      </c>
      <c r="N86" s="49" cm="1">
        <f t="array" ref="N86">+SUM(IF(LEFT('EASI AFR Detail'!$F$5:$F$699,3)&amp;RIGHT('EASI AFR Detail'!$F$5:$F$699,5)&amp;LEFT('EASI AFR Detail'!$G$5:$G$699,9)&amp;RIGHT('EASI AFR Detail'!$J$5:$J$699,8)="sup0300)School Tr7 (5010)",'EASI AFR Detail'!$O$5:$O$699))</f>
        <v>0</v>
      </c>
      <c r="O86" s="49" cm="1">
        <f t="array" ref="O86">+SUM(IF(LEFT('EASI AFR Detail'!$F$5:$F$699,3)&amp;RIGHT('EASI AFR Detail'!$F$5:$F$699,5)&amp;LEFT('EASI AFR Detail'!$G$5:$G$699,9)&amp;RIGHT('EASI AFR Detail'!$J$5:$J$699,8)="sup0300)School Tu7 (5010)",'EASI AFR Detail'!$O$5:$O$699))</f>
        <v>0</v>
      </c>
      <c r="P86" s="53">
        <f t="shared" si="17"/>
        <v>0</v>
      </c>
    </row>
    <row r="87" spans="1:16" x14ac:dyDescent="0.3">
      <c r="A87" s="188"/>
      <c r="B87" s="63">
        <v>11</v>
      </c>
      <c r="C87" s="64" t="s">
        <v>6548</v>
      </c>
      <c r="D87" s="49" cm="1">
        <f t="array" ref="D87">+SUM(IF(LEFT('EASI AFR Detail'!$F$5:$F$699,3)&amp;RIGHT('EASI AFR Detail'!$F$5:$F$699,5)&amp;LEFT('EASI AFR Detail'!$G$5:$G$699,4)&amp;RIGHT('EASI AFR Detail'!$J$5:$J$699,8)="sup0500)Acco7 (5010)",'EASI AFR Detail'!$O$5:$O$699))</f>
        <v>0</v>
      </c>
      <c r="E87" s="49" cm="1">
        <f t="array" ref="E87">+SUM(IF(LEFT('EASI AFR Detail'!$F$5:$F$699,3)&amp;RIGHT('EASI AFR Detail'!$F$5:$F$699,5)&amp;LEFT('EASI AFR Detail'!$G$5:$G$699,4)&amp;RIGHT('EASI AFR Detail'!$J$5:$J$699,8)="sup0500)Colo7 (5010)",'EASI AFR Detail'!$O$5:$O$699))</f>
        <v>0</v>
      </c>
      <c r="F87" s="49" cm="1">
        <f t="array" ref="F87">+SUM(IF(LEFT('EASI AFR Detail'!$F$5:$F$699,3)&amp;RIGHT('EASI AFR Detail'!$F$5:$F$699,5)&amp;LEFT('EASI AFR Detail'!$G$5:$G$699,4)&amp;RIGHT('EASI AFR Detail'!$J$5:$J$699,8)="sup0500)Conn7 (5010)",'EASI AFR Detail'!$O$5:$O$699))</f>
        <v>0</v>
      </c>
      <c r="G87" s="49" cm="1">
        <f t="array" ref="G87">+SUM(IF(LEFT('EASI AFR Detail'!$F$5:$F$699,3)&amp;RIGHT('EASI AFR Detail'!$F$5:$F$699,5)&amp;LEFT('EASI AFR Detail'!$G$5:$G$699,12)&amp;RIGHT('EASI AFR Detail'!$J$5:$J$699,8)="sup0500)Diagnostic a7 (5010)",'EASI AFR Detail'!$O$5:$O$699))</f>
        <v>0</v>
      </c>
      <c r="H87" s="49" cm="1">
        <f t="array" ref="H87">+SUM(IF(LEFT('EASI AFR Detail'!$F$5:$F$699,3)&amp;RIGHT('EASI AFR Detail'!$F$5:$F$699,5)&amp;LEFT('EASI AFR Detail'!$G$5:$G$699,10)&amp;RIGHT('EASI AFR Detail'!$J$5:$J$699,8)="sup0500)District D7 (5010)",'EASI AFR Detail'!$O$5:$O$699))</f>
        <v>0</v>
      </c>
      <c r="I87" s="49" cm="1">
        <f t="array" ref="I87">+SUM(IF(LEFT('EASI AFR Detail'!$F$5:$F$699,3)&amp;RIGHT('EASI AFR Detail'!$F$5:$F$699,5)&amp;LEFT('EASI AFR Detail'!$G$5:$G$699,10)&amp;RIGHT('EASI AFR Detail'!$J$5:$J$699,8)="sup0500)District S7 (5010)",'EASI AFR Detail'!$O$5:$O$699))</f>
        <v>0</v>
      </c>
      <c r="J87" s="49" cm="1">
        <f t="array" ref="J87">+SUM(IF(LEFT('EASI AFR Detail'!$F$5:$F$699,3)&amp;RIGHT('EASI AFR Detail'!$F$5:$F$699,5)&amp;LEFT('EASI AFR Detail'!$G$5:$G$699,4)&amp;RIGHT('EASI AFR Detail'!$J$5:$J$699,8)="sup0500)Expl7 (5010)",'EASI AFR Detail'!$O$5:$O$699))</f>
        <v>0</v>
      </c>
      <c r="K87" s="49" cm="1">
        <f t="array" ref="K87">+SUM(IF(LEFT('EASI AFR Detail'!$F$5:$F$699,3)&amp;RIGHT('EASI AFR Detail'!$F$5:$F$699,5)&amp;LEFT('EASI AFR Detail'!$G$5:$G$699,4)&amp;RIGHT('EASI AFR Detail'!$J$5:$J$699,8)="sup0500)Faci7 (5010)",'EASI AFR Detail'!$O$5:$O$699))</f>
        <v>0</v>
      </c>
      <c r="L87" s="49" cm="1">
        <f t="array" ref="L87">+SUM(IF(LEFT('EASI AFR Detail'!$F$5:$F$699,3)&amp;RIGHT('EASI AFR Detail'!$F$5:$F$699,5)&amp;LEFT('EASI AFR Detail'!$G$5:$G$699,4)&amp;RIGHT('EASI AFR Detail'!$J$5:$J$699,8)="sup0500)MTSS7 (5010)",'EASI AFR Detail'!$O$5:$O$699))</f>
        <v>0</v>
      </c>
      <c r="M87" s="49" cm="1">
        <f t="array" ref="M87">+SUM(IF(LEFT('EASI AFR Detail'!$F$5:$F$699,3)&amp;RIGHT('EASI AFR Detail'!$F$5:$F$699,5)&amp;LEFT('EASI AFR Detail'!$G$5:$G$699,4)&amp;RIGHT('EASI AFR Detail'!$J$5:$J$699,8)="sup0500)Rigo7 (5010)",'EASI AFR Detail'!$O$5:$O$699))</f>
        <v>0</v>
      </c>
      <c r="N87" s="49" cm="1">
        <f t="array" ref="N87">+SUM(IF(LEFT('EASI AFR Detail'!$F$5:$F$699,3)&amp;RIGHT('EASI AFR Detail'!$F$5:$F$699,5)&amp;LEFT('EASI AFR Detail'!$G$5:$G$699,9)&amp;RIGHT('EASI AFR Detail'!$J$5:$J$699,8)="sup0500)School Tr7 (5010)",'EASI AFR Detail'!$O$5:$O$699))</f>
        <v>0</v>
      </c>
      <c r="O87" s="49" cm="1">
        <f t="array" ref="O87">+SUM(IF(LEFT('EASI AFR Detail'!$F$5:$F$699,3)&amp;RIGHT('EASI AFR Detail'!$F$5:$F$699,5)&amp;LEFT('EASI AFR Detail'!$G$5:$G$699,9)&amp;RIGHT('EASI AFR Detail'!$J$5:$J$699,8)="sup0500)School Tu7 (5010)",'EASI AFR Detail'!$O$5:$O$699))</f>
        <v>0</v>
      </c>
      <c r="P87" s="53">
        <f t="shared" si="17"/>
        <v>0</v>
      </c>
    </row>
    <row r="88" spans="1:16" x14ac:dyDescent="0.3">
      <c r="A88" s="188"/>
      <c r="B88" s="63">
        <v>12</v>
      </c>
      <c r="C88" s="64" t="s">
        <v>6549</v>
      </c>
      <c r="D88" s="49" cm="1">
        <f t="array" ref="D88">+SUM(IF(LEFT('EASI AFR Detail'!$F$5:$F$699,3)&amp;RIGHT('EASI AFR Detail'!$F$5:$F$699,5)&amp;LEFT('EASI AFR Detail'!$G$5:$G$699,4)&amp;RIGHT('EASI AFR Detail'!$J$5:$J$699,8)="sup0580)Acco7 (5010)",'EASI AFR Detail'!$O$5:$O$699))</f>
        <v>0</v>
      </c>
      <c r="E88" s="49" cm="1">
        <f t="array" ref="E88">+SUM(IF(LEFT('EASI AFR Detail'!$F$5:$F$699,3)&amp;RIGHT('EASI AFR Detail'!$F$5:$F$699,5)&amp;LEFT('EASI AFR Detail'!$G$5:$G$699,4)&amp;RIGHT('EASI AFR Detail'!$J$5:$J$699,8)="sup0580)Colo7 (5010)",'EASI AFR Detail'!$O$5:$O$699))</f>
        <v>0</v>
      </c>
      <c r="F88" s="49" cm="1">
        <f t="array" ref="F88">+SUM(IF(LEFT('EASI AFR Detail'!$F$5:$F$699,3)&amp;RIGHT('EASI AFR Detail'!$F$5:$F$699,5)&amp;LEFT('EASI AFR Detail'!$G$5:$G$699,4)&amp;RIGHT('EASI AFR Detail'!$J$5:$J$699,8)="sup0580)Conn7 (5010)",'EASI AFR Detail'!$O$5:$O$699))</f>
        <v>0</v>
      </c>
      <c r="G88" s="49" cm="1">
        <f t="array" ref="G88">+SUM(IF(LEFT('EASI AFR Detail'!$F$5:$F$699,3)&amp;RIGHT('EASI AFR Detail'!$F$5:$F$699,5)&amp;LEFT('EASI AFR Detail'!$G$5:$G$699,12)&amp;RIGHT('EASI AFR Detail'!$J$5:$J$699,8)="sup0580)Diagnostic a7 (5010)",'EASI AFR Detail'!$O$5:$O$699))</f>
        <v>0</v>
      </c>
      <c r="H88" s="49" cm="1">
        <f t="array" ref="H88">+SUM(IF(LEFT('EASI AFR Detail'!$F$5:$F$699,3)&amp;RIGHT('EASI AFR Detail'!$F$5:$F$699,5)&amp;LEFT('EASI AFR Detail'!$G$5:$G$699,10)&amp;RIGHT('EASI AFR Detail'!$J$5:$J$699,8)="sup0580)District D7 (5010)",'EASI AFR Detail'!$O$5:$O$699))</f>
        <v>0</v>
      </c>
      <c r="I88" s="49" cm="1">
        <f t="array" ref="I88">+SUM(IF(LEFT('EASI AFR Detail'!$F$5:$F$699,3)&amp;RIGHT('EASI AFR Detail'!$F$5:$F$699,5)&amp;LEFT('EASI AFR Detail'!$G$5:$G$699,10)&amp;RIGHT('EASI AFR Detail'!$J$5:$J$699,8)="sup0580)District S7 (5010)",'EASI AFR Detail'!$O$5:$O$699))</f>
        <v>0</v>
      </c>
      <c r="J88" s="49" cm="1">
        <f t="array" ref="J88">+SUM(IF(LEFT('EASI AFR Detail'!$F$5:$F$699,3)&amp;RIGHT('EASI AFR Detail'!$F$5:$F$699,5)&amp;LEFT('EASI AFR Detail'!$G$5:$G$699,4)&amp;RIGHT('EASI AFR Detail'!$J$5:$J$699,8)="sup0580)Expl7 (5010)",'EASI AFR Detail'!$O$5:$O$699))</f>
        <v>0</v>
      </c>
      <c r="K88" s="49" cm="1">
        <f t="array" ref="K88">+SUM(IF(LEFT('EASI AFR Detail'!$F$5:$F$699,3)&amp;RIGHT('EASI AFR Detail'!$F$5:$F$699,5)&amp;LEFT('EASI AFR Detail'!$G$5:$G$699,4)&amp;RIGHT('EASI AFR Detail'!$J$5:$J$699,8)="sup0580)Faci7 (5010)",'EASI AFR Detail'!$O$5:$O$699))</f>
        <v>0</v>
      </c>
      <c r="L88" s="49" cm="1">
        <f t="array" ref="L88">+SUM(IF(LEFT('EASI AFR Detail'!$F$5:$F$699,3)&amp;RIGHT('EASI AFR Detail'!$F$5:$F$699,5)&amp;LEFT('EASI AFR Detail'!$G$5:$G$699,4)&amp;RIGHT('EASI AFR Detail'!$J$5:$J$699,8)="sup0580)MTSS7 (5010)",'EASI AFR Detail'!$O$5:$O$699))</f>
        <v>0</v>
      </c>
      <c r="M88" s="49" cm="1">
        <f t="array" ref="M88">+SUM(IF(LEFT('EASI AFR Detail'!$F$5:$F$699,3)&amp;RIGHT('EASI AFR Detail'!$F$5:$F$699,5)&amp;LEFT('EASI AFR Detail'!$G$5:$G$699,4)&amp;RIGHT('EASI AFR Detail'!$J$5:$J$699,8)="sup0580)Rigo7 (5010)",'EASI AFR Detail'!$O$5:$O$699))</f>
        <v>0</v>
      </c>
      <c r="N88" s="49" cm="1">
        <f t="array" ref="N88">+SUM(IF(LEFT('EASI AFR Detail'!$F$5:$F$699,3)&amp;RIGHT('EASI AFR Detail'!$F$5:$F$699,5)&amp;LEFT('EASI AFR Detail'!$G$5:$G$699,9)&amp;RIGHT('EASI AFR Detail'!$J$5:$J$699,8)="sup0580)School Tr7 (5010)",'EASI AFR Detail'!$O$5:$O$699))</f>
        <v>0</v>
      </c>
      <c r="O88" s="49" cm="1">
        <f t="array" ref="O88">+SUM(IF(LEFT('EASI AFR Detail'!$F$5:$F$699,3)&amp;RIGHT('EASI AFR Detail'!$F$5:$F$699,5)&amp;LEFT('EASI AFR Detail'!$G$5:$G$699,9)&amp;RIGHT('EASI AFR Detail'!$J$5:$J$699,8)="sup0580)School Tu7 (5010)",'EASI AFR Detail'!$O$5:$O$699))</f>
        <v>0</v>
      </c>
      <c r="P88" s="53">
        <f t="shared" si="17"/>
        <v>0</v>
      </c>
    </row>
    <row r="89" spans="1:16" x14ac:dyDescent="0.3">
      <c r="A89" s="188"/>
      <c r="B89" s="63">
        <v>13</v>
      </c>
      <c r="C89" s="64" t="s">
        <v>6550</v>
      </c>
      <c r="D89" s="49" cm="1">
        <f t="array" ref="D89">+SUM(IF(LEFT('EASI AFR Detail'!$F$5:$F$699,3)&amp;RIGHT('EASI AFR Detail'!$F$5:$F$699,5)&amp;LEFT('EASI AFR Detail'!$G$5:$G$699,4)&amp;RIGHT('EASI AFR Detail'!$J$5:$J$699,8)="sup0600)Acco7 (5010)",'EASI AFR Detail'!$O$5:$O$699))</f>
        <v>0</v>
      </c>
      <c r="E89" s="49" cm="1">
        <f t="array" ref="E89">+SUM(IF(LEFT('EASI AFR Detail'!$F$5:$F$699,3)&amp;RIGHT('EASI AFR Detail'!$F$5:$F$699,5)&amp;LEFT('EASI AFR Detail'!$G$5:$G$699,4)&amp;RIGHT('EASI AFR Detail'!$J$5:$J$699,8)="sup0600)Colo7 (5010)",'EASI AFR Detail'!$O$5:$O$699))</f>
        <v>0</v>
      </c>
      <c r="F89" s="49" cm="1">
        <f t="array" ref="F89">+SUM(IF(LEFT('EASI AFR Detail'!$F$5:$F$699,3)&amp;RIGHT('EASI AFR Detail'!$F$5:$F$699,5)&amp;LEFT('EASI AFR Detail'!$G$5:$G$699,4)&amp;RIGHT('EASI AFR Detail'!$J$5:$J$699,8)="sup0600)Conn7 (5010)",'EASI AFR Detail'!$O$5:$O$699))</f>
        <v>0</v>
      </c>
      <c r="G89" s="49" cm="1">
        <f t="array" ref="G89">+SUM(IF(LEFT('EASI AFR Detail'!$F$5:$F$699,3)&amp;RIGHT('EASI AFR Detail'!$F$5:$F$699,5)&amp;LEFT('EASI AFR Detail'!$G$5:$G$699,12)&amp;RIGHT('EASI AFR Detail'!$J$5:$J$699,8)="sup0600)Diagnostic a7 (5010)",'EASI AFR Detail'!$O$5:$O$699))</f>
        <v>0</v>
      </c>
      <c r="H89" s="49" cm="1">
        <f t="array" ref="H89">+SUM(IF(LEFT('EASI AFR Detail'!$F$5:$F$699,3)&amp;RIGHT('EASI AFR Detail'!$F$5:$F$699,5)&amp;LEFT('EASI AFR Detail'!$G$5:$G$699,10)&amp;RIGHT('EASI AFR Detail'!$J$5:$J$699,8)="sup0600)District D7 (5010)",'EASI AFR Detail'!$O$5:$O$699))</f>
        <v>0</v>
      </c>
      <c r="I89" s="49" cm="1">
        <f t="array" ref="I89">+SUM(IF(LEFT('EASI AFR Detail'!$F$5:$F$699,3)&amp;RIGHT('EASI AFR Detail'!$F$5:$F$699,5)&amp;LEFT('EASI AFR Detail'!$G$5:$G$699,10)&amp;RIGHT('EASI AFR Detail'!$J$5:$J$699,8)="sup0600)District S7 (5010)",'EASI AFR Detail'!$O$5:$O$699))</f>
        <v>0</v>
      </c>
      <c r="J89" s="49" cm="1">
        <f t="array" ref="J89">+SUM(IF(LEFT('EASI AFR Detail'!$F$5:$F$699,3)&amp;RIGHT('EASI AFR Detail'!$F$5:$F$699,5)&amp;LEFT('EASI AFR Detail'!$G$5:$G$699,4)&amp;RIGHT('EASI AFR Detail'!$J$5:$J$699,8)="sup0600)Expl7 (5010)",'EASI AFR Detail'!$O$5:$O$699))</f>
        <v>0</v>
      </c>
      <c r="K89" s="49" cm="1">
        <f t="array" ref="K89">+SUM(IF(LEFT('EASI AFR Detail'!$F$5:$F$699,3)&amp;RIGHT('EASI AFR Detail'!$F$5:$F$699,5)&amp;LEFT('EASI AFR Detail'!$G$5:$G$699,4)&amp;RIGHT('EASI AFR Detail'!$J$5:$J$699,8)="sup0600)Faci7 (5010)",'EASI AFR Detail'!$O$5:$O$699))</f>
        <v>0</v>
      </c>
      <c r="L89" s="49" cm="1">
        <f t="array" ref="L89">+SUM(IF(LEFT('EASI AFR Detail'!$F$5:$F$699,3)&amp;RIGHT('EASI AFR Detail'!$F$5:$F$699,5)&amp;LEFT('EASI AFR Detail'!$G$5:$G$699,4)&amp;RIGHT('EASI AFR Detail'!$J$5:$J$699,8)="sup0600)MTSS7 (5010)",'EASI AFR Detail'!$O$5:$O$699))</f>
        <v>0</v>
      </c>
      <c r="M89" s="49" cm="1">
        <f t="array" ref="M89">+SUM(IF(LEFT('EASI AFR Detail'!$F$5:$F$699,3)&amp;RIGHT('EASI AFR Detail'!$F$5:$F$699,5)&amp;LEFT('EASI AFR Detail'!$G$5:$G$699,4)&amp;RIGHT('EASI AFR Detail'!$J$5:$J$699,8)="sup0600)Rigo7 (5010)",'EASI AFR Detail'!$O$5:$O$699))</f>
        <v>0</v>
      </c>
      <c r="N89" s="49" cm="1">
        <f t="array" ref="N89">+SUM(IF(LEFT('EASI AFR Detail'!$F$5:$F$699,3)&amp;RIGHT('EASI AFR Detail'!$F$5:$F$699,5)&amp;LEFT('EASI AFR Detail'!$G$5:$G$699,9)&amp;RIGHT('EASI AFR Detail'!$J$5:$J$699,8)="sup0600)School Tr7 (5010)",'EASI AFR Detail'!$O$5:$O$699))</f>
        <v>0</v>
      </c>
      <c r="O89" s="49" cm="1">
        <f t="array" ref="O89">+SUM(IF(LEFT('EASI AFR Detail'!$F$5:$F$699,3)&amp;RIGHT('EASI AFR Detail'!$F$5:$F$699,5)&amp;LEFT('EASI AFR Detail'!$G$5:$G$699,9)&amp;RIGHT('EASI AFR Detail'!$J$5:$J$699,8)="sup0600)School Tu7 (5010)",'EASI AFR Detail'!$O$5:$O$699))</f>
        <v>0</v>
      </c>
      <c r="P89" s="53">
        <f t="shared" si="17"/>
        <v>0</v>
      </c>
    </row>
    <row r="90" spans="1:16" x14ac:dyDescent="0.3">
      <c r="A90" s="188"/>
      <c r="B90" s="63">
        <v>14</v>
      </c>
      <c r="C90" s="65" t="s">
        <v>6553</v>
      </c>
      <c r="D90" s="49">
        <f>SUM(D84:D89)</f>
        <v>0</v>
      </c>
      <c r="E90" s="57">
        <f t="shared" ref="E90:P90" si="18">SUM(E84:E89)</f>
        <v>0</v>
      </c>
      <c r="F90" s="57">
        <f t="shared" si="18"/>
        <v>0</v>
      </c>
      <c r="G90" s="57">
        <f t="shared" si="18"/>
        <v>0</v>
      </c>
      <c r="H90" s="57">
        <f t="shared" si="18"/>
        <v>0</v>
      </c>
      <c r="I90" s="57">
        <f t="shared" si="18"/>
        <v>0</v>
      </c>
      <c r="J90" s="57">
        <f t="shared" si="18"/>
        <v>0</v>
      </c>
      <c r="K90" s="57">
        <f t="shared" si="18"/>
        <v>0</v>
      </c>
      <c r="L90" s="57">
        <f t="shared" si="18"/>
        <v>0</v>
      </c>
      <c r="M90" s="57">
        <f t="shared" si="18"/>
        <v>0</v>
      </c>
      <c r="N90" s="57">
        <f t="shared" si="18"/>
        <v>0</v>
      </c>
      <c r="O90" s="57">
        <f t="shared" si="18"/>
        <v>0</v>
      </c>
      <c r="P90" s="53">
        <f t="shared" si="18"/>
        <v>0</v>
      </c>
    </row>
    <row r="91" spans="1:16" x14ac:dyDescent="0.3">
      <c r="A91" s="188"/>
      <c r="B91" s="66"/>
      <c r="C91" s="67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9"/>
    </row>
    <row r="92" spans="1:16" x14ac:dyDescent="0.3">
      <c r="A92" s="188"/>
      <c r="B92" s="63">
        <v>15</v>
      </c>
      <c r="C92" s="64" t="s">
        <v>6554</v>
      </c>
      <c r="D92" s="39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1">
        <f>SUM(D92:O92)</f>
        <v>0</v>
      </c>
    </row>
    <row r="93" spans="1:16" x14ac:dyDescent="0.3">
      <c r="A93" s="188"/>
      <c r="B93" s="66"/>
      <c r="C93" s="70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9"/>
    </row>
    <row r="94" spans="1:16" ht="15" thickBot="1" x14ac:dyDescent="0.35">
      <c r="A94" s="189"/>
      <c r="B94" s="71">
        <v>16</v>
      </c>
      <c r="C94" s="72" t="s">
        <v>6517</v>
      </c>
      <c r="D94" s="73">
        <f>D81+D90+D92</f>
        <v>0</v>
      </c>
      <c r="E94" s="73">
        <f t="shared" ref="E94:O94" si="19">E81+E90+E92</f>
        <v>0</v>
      </c>
      <c r="F94" s="73">
        <f t="shared" si="19"/>
        <v>0</v>
      </c>
      <c r="G94" s="73">
        <f t="shared" si="19"/>
        <v>0</v>
      </c>
      <c r="H94" s="73">
        <f t="shared" si="19"/>
        <v>0</v>
      </c>
      <c r="I94" s="73">
        <f t="shared" si="19"/>
        <v>0</v>
      </c>
      <c r="J94" s="73">
        <f t="shared" si="19"/>
        <v>0</v>
      </c>
      <c r="K94" s="73">
        <f t="shared" si="19"/>
        <v>0</v>
      </c>
      <c r="L94" s="73">
        <f t="shared" si="19"/>
        <v>0</v>
      </c>
      <c r="M94" s="73">
        <f t="shared" si="19"/>
        <v>0</v>
      </c>
      <c r="N94" s="73">
        <f t="shared" si="19"/>
        <v>0</v>
      </c>
      <c r="O94" s="73">
        <f t="shared" si="19"/>
        <v>0</v>
      </c>
      <c r="P94" s="75">
        <f>P81+P90+P92</f>
        <v>0</v>
      </c>
    </row>
    <row r="95" spans="1:16" ht="15" thickBot="1" x14ac:dyDescent="0.35">
      <c r="C95" s="77"/>
    </row>
    <row r="96" spans="1:16" ht="15" thickBot="1" x14ac:dyDescent="0.35">
      <c r="A96" s="187" t="s">
        <v>6563</v>
      </c>
      <c r="B96" s="190" t="s">
        <v>6543</v>
      </c>
      <c r="C96" s="190"/>
      <c r="D96" s="45" t="s">
        <v>6544</v>
      </c>
      <c r="E96" s="45" t="s">
        <v>6544</v>
      </c>
      <c r="F96" s="45" t="s">
        <v>6544</v>
      </c>
      <c r="G96" s="45" t="s">
        <v>6544</v>
      </c>
      <c r="H96" s="45" t="s">
        <v>6544</v>
      </c>
      <c r="I96" s="45" t="s">
        <v>6544</v>
      </c>
      <c r="J96" s="45" t="s">
        <v>6544</v>
      </c>
      <c r="K96" s="45" t="s">
        <v>6544</v>
      </c>
      <c r="L96" s="45" t="s">
        <v>6544</v>
      </c>
      <c r="M96" s="45" t="s">
        <v>6544</v>
      </c>
      <c r="N96" s="45" t="s">
        <v>6544</v>
      </c>
      <c r="O96" s="45" t="s">
        <v>6544</v>
      </c>
      <c r="P96" s="45" t="s">
        <v>6544</v>
      </c>
    </row>
    <row r="97" spans="1:16" x14ac:dyDescent="0.3">
      <c r="A97" s="188"/>
      <c r="B97" s="47">
        <v>1</v>
      </c>
      <c r="C97" s="48" t="s">
        <v>6545</v>
      </c>
      <c r="D97" s="49" cm="1">
        <f t="array" ref="D97">+SUM(IF(LEFT('EASI AFR Detail'!$F$5:$F$699,3)&amp;RIGHT('EASI AFR Detail'!$F$5:$F$699,5)&amp;LEFT('EASI AFR Detail'!$G$5:$G$699,4)&amp;RIGHT('EASI AFR Detail'!$J$5:$J$699,3)="ins0100)AccoER3",'EASI AFR Detail'!$O$5:$O$699))</f>
        <v>0</v>
      </c>
      <c r="E97" s="49" cm="1">
        <f t="array" ref="E97">+SUM(IF(LEFT('EASI AFR Detail'!$F$5:$F$699,3)&amp;RIGHT('EASI AFR Detail'!$F$5:$F$699,5)&amp;LEFT('EASI AFR Detail'!$G$5:$G$699,4)&amp;RIGHT('EASI AFR Detail'!$J$5:$J$699,3)="INS0100)ColoER3",'EASI AFR Detail'!$O$5:$O$699))</f>
        <v>0</v>
      </c>
      <c r="F97" s="49" cm="1">
        <f t="array" ref="F97">+SUM(IF(LEFT('EASI AFR Detail'!$F$5:$F$699,3)&amp;RIGHT('EASI AFR Detail'!$F$5:$F$699,5)&amp;LEFT('EASI AFR Detail'!$G$5:$G$699,4)&amp;RIGHT('EASI AFR Detail'!$J$5:$J$699,3)="ins0100)CONNER3",'EASI AFR Detail'!$O$5:$O$699))</f>
        <v>0</v>
      </c>
      <c r="G97" s="49" cm="1">
        <f t="array" ref="G97">+SUM(IF(LEFT('EASI AFR Detail'!$F$5:$F$699,3)&amp;RIGHT('EASI AFR Detail'!$F$5:$F$699,5)&amp;LEFT('EASI AFR Detail'!$G$5:$G$699,12)&amp;RIGHT('EASI AFR Detail'!$J$5:$J$699,3)="ins0100)Diagnostic aER3",'EASI AFR Detail'!$O$5:$O$699))</f>
        <v>0</v>
      </c>
      <c r="H97" s="49" cm="1">
        <f t="array" ref="H97">+SUM(IF(LEFT('EASI AFR Detail'!$F$5:$F$699,3)&amp;RIGHT('EASI AFR Detail'!$F$5:$F$699,5)&amp;LEFT('EASI AFR Detail'!$G$5:$G$699,10)&amp;RIGHT('EASI AFR Detail'!$J$5:$J$699,3)="ins0100)District DER3",'EASI AFR Detail'!$O$5:$O$699))</f>
        <v>0</v>
      </c>
      <c r="I97" s="49" cm="1">
        <f t="array" ref="I97">+SUM(IF(LEFT('EASI AFR Detail'!$F$5:$F$699,3)&amp;RIGHT('EASI AFR Detail'!$F$5:$F$699,5)&amp;LEFT('EASI AFR Detail'!$G$5:$G$699,10)&amp;RIGHT('EASI AFR Detail'!$J$5:$J$699,3)="ins0100)District SER3",'EASI AFR Detail'!$O$5:$O$699))</f>
        <v>0</v>
      </c>
      <c r="J97" s="49" cm="1">
        <f t="array" ref="J97">+SUM(IF(LEFT('EASI AFR Detail'!$F$5:$F$699,3)&amp;RIGHT('EASI AFR Detail'!$F$5:$F$699,5)&amp;LEFT('EASI AFR Detail'!$G$5:$G$699,4)&amp;RIGHT('EASI AFR Detail'!$J$5:$J$699,3)="ins0100)ExplER3",'EASI AFR Detail'!$O$5:$O$699))</f>
        <v>0</v>
      </c>
      <c r="K97" s="49" cm="1">
        <f t="array" ref="K97">+SUM(IF(LEFT('EASI AFR Detail'!$F$5:$F$699,3)&amp;RIGHT('EASI AFR Detail'!$F$5:$F$699,5)&amp;LEFT('EASI AFR Detail'!$G$5:$G$699,4)&amp;RIGHT('EASI AFR Detail'!$J$5:$J$699,3)="ins0100)FaciER3",'EASI AFR Detail'!$O$5:$O$699))</f>
        <v>0</v>
      </c>
      <c r="L97" s="49" cm="1">
        <f t="array" ref="L97">+SUM(IF(LEFT('EASI AFR Detail'!$F$5:$F$699,3)&amp;RIGHT('EASI AFR Detail'!$F$5:$F$699,5)&amp;LEFT('EASI AFR Detail'!$G$5:$G$699,4)&amp;RIGHT('EASI AFR Detail'!$J$5:$J$699,3)="ins0100)MTSSER3",'EASI AFR Detail'!$O$5:$O$699))</f>
        <v>0</v>
      </c>
      <c r="M97" s="49" cm="1">
        <f t="array" ref="M97">+SUM(IF(LEFT('EASI AFR Detail'!$F$5:$F$699,3)&amp;RIGHT('EASI AFR Detail'!$F$5:$F$699,5)&amp;LEFT('EASI AFR Detail'!$G$5:$G$699,4)&amp;RIGHT('EASI AFR Detail'!$J$5:$J$699,3)="ins0100)RigoER3",'EASI AFR Detail'!$O$5:$O$699))</f>
        <v>0</v>
      </c>
      <c r="N97" s="49" cm="1">
        <f t="array" ref="N97">+SUM(IF(LEFT('EASI AFR Detail'!$F$5:$F$699,3)&amp;RIGHT('EASI AFR Detail'!$F$5:$F$699,5)&amp;LEFT('EASI AFR Detail'!$G$5:$G$699,9)&amp;RIGHT('EASI AFR Detail'!$J$5:$J$699,3)="ins0100)School TrER3",'EASI AFR Detail'!$O$5:$O$699))</f>
        <v>0</v>
      </c>
      <c r="O97" s="49" cm="1">
        <f t="array" ref="O97">+SUM(IF(LEFT('EASI AFR Detail'!$F$5:$F$699,3)&amp;RIGHT('EASI AFR Detail'!$F$5:$F$699,5)&amp;LEFT('EASI AFR Detail'!$G$5:$G$699,9)&amp;RIGHT('EASI AFR Detail'!$J$5:$J$699,3)="ins0100)School TuER3",'EASI AFR Detail'!$O$5:$O$699))</f>
        <v>0</v>
      </c>
      <c r="P97" s="50">
        <f t="shared" ref="P97:P102" si="20">SUM(D97:O97)</f>
        <v>0</v>
      </c>
    </row>
    <row r="98" spans="1:16" x14ac:dyDescent="0.3">
      <c r="A98" s="188"/>
      <c r="B98" s="51">
        <v>2</v>
      </c>
      <c r="C98" s="52" t="s">
        <v>6546</v>
      </c>
      <c r="D98" s="49" cm="1">
        <f t="array" ref="D98">+SUM(IF(LEFT('EASI AFR Detail'!$F$5:$F$699,3)&amp;RIGHT('EASI AFR Detail'!$F$5:$F$699,5)&amp;LEFT('EASI AFR Detail'!$G$5:$G$699,4)&amp;RIGHT('EASI AFR Detail'!$J$5:$J$699,3)="ins0200)AccoER3",'EASI AFR Detail'!$O$5:$O$699))</f>
        <v>0</v>
      </c>
      <c r="E98" s="49" cm="1">
        <f t="array" ref="E98">+SUM(IF(LEFT('EASI AFR Detail'!$F$5:$F$699,3)&amp;RIGHT('EASI AFR Detail'!$F$5:$F$699,5)&amp;LEFT('EASI AFR Detail'!$G$5:$G$699,4)&amp;RIGHT('EASI AFR Detail'!$J$5:$J$699,3)="INS0200)ColoER3",'EASI AFR Detail'!$O$5:$O$699))</f>
        <v>0</v>
      </c>
      <c r="F98" s="49" cm="1">
        <f t="array" ref="F98">+SUM(IF(LEFT('EASI AFR Detail'!$F$5:$F$699,3)&amp;RIGHT('EASI AFR Detail'!$F$5:$F$699,5)&amp;LEFT('EASI AFR Detail'!$G$5:$G$699,4)&amp;RIGHT('EASI AFR Detail'!$J$5:$J$699,3)="ins0200)CONNER3",'EASI AFR Detail'!$O$5:$O$699))</f>
        <v>0</v>
      </c>
      <c r="G98" s="49" cm="1">
        <f t="array" ref="G98">+SUM(IF(LEFT('EASI AFR Detail'!$F$5:$F$699,3)&amp;RIGHT('EASI AFR Detail'!$F$5:$F$699,5)&amp;LEFT('EASI AFR Detail'!$G$5:$G$699,12)&amp;RIGHT('EASI AFR Detail'!$J$5:$J$699,3)="ins0200)Diagnostic aER3",'EASI AFR Detail'!$O$5:$O$699))</f>
        <v>0</v>
      </c>
      <c r="H98" s="49" cm="1">
        <f t="array" ref="H98">+SUM(IF(LEFT('EASI AFR Detail'!$F$5:$F$699,3)&amp;RIGHT('EASI AFR Detail'!$F$5:$F$699,5)&amp;LEFT('EASI AFR Detail'!$G$5:$G$699,10)&amp;RIGHT('EASI AFR Detail'!$J$5:$J$699,3)="ins0200)District DER3",'EASI AFR Detail'!$O$5:$O$699))</f>
        <v>0</v>
      </c>
      <c r="I98" s="49" cm="1">
        <f t="array" ref="I98">+SUM(IF(LEFT('EASI AFR Detail'!$F$5:$F$699,3)&amp;RIGHT('EASI AFR Detail'!$F$5:$F$699,5)&amp;LEFT('EASI AFR Detail'!$G$5:$G$699,10)&amp;RIGHT('EASI AFR Detail'!$J$5:$J$699,3)="ins0200)District SER3",'EASI AFR Detail'!$O$5:$O$699))</f>
        <v>0</v>
      </c>
      <c r="J98" s="49" cm="1">
        <f t="array" ref="J98">+SUM(IF(LEFT('EASI AFR Detail'!$F$5:$F$699,3)&amp;RIGHT('EASI AFR Detail'!$F$5:$F$699,5)&amp;LEFT('EASI AFR Detail'!$G$5:$G$699,4)&amp;RIGHT('EASI AFR Detail'!$J$5:$J$699,3)="ins0200)ExplER3",'EASI AFR Detail'!$O$5:$O$699))</f>
        <v>0</v>
      </c>
      <c r="K98" s="49" cm="1">
        <f t="array" ref="K98">+SUM(IF(LEFT('EASI AFR Detail'!$F$5:$F$699,3)&amp;RIGHT('EASI AFR Detail'!$F$5:$F$699,5)&amp;LEFT('EASI AFR Detail'!$G$5:$G$699,4)&amp;RIGHT('EASI AFR Detail'!$J$5:$J$699,3)="ins0200)FaciER3",'EASI AFR Detail'!$O$5:$O$699))</f>
        <v>0</v>
      </c>
      <c r="L98" s="49" cm="1">
        <f t="array" ref="L98">+SUM(IF(LEFT('EASI AFR Detail'!$F$5:$F$699,3)&amp;RIGHT('EASI AFR Detail'!$F$5:$F$699,5)&amp;LEFT('EASI AFR Detail'!$G$5:$G$699,4)&amp;RIGHT('EASI AFR Detail'!$J$5:$J$699,3)="ins0200)MTSSER3",'EASI AFR Detail'!$O$5:$O$699))</f>
        <v>0</v>
      </c>
      <c r="M98" s="49" cm="1">
        <f t="array" ref="M98">+SUM(IF(LEFT('EASI AFR Detail'!$F$5:$F$699,3)&amp;RIGHT('EASI AFR Detail'!$F$5:$F$699,5)&amp;LEFT('EASI AFR Detail'!$G$5:$G$699,4)&amp;RIGHT('EASI AFR Detail'!$J$5:$J$699,3)="ins0200)RigoER3",'EASI AFR Detail'!$O$5:$O$699))</f>
        <v>0</v>
      </c>
      <c r="N98" s="49" cm="1">
        <f t="array" ref="N98">+SUM(IF(LEFT('EASI AFR Detail'!$F$5:$F$699,3)&amp;RIGHT('EASI AFR Detail'!$F$5:$F$699,5)&amp;LEFT('EASI AFR Detail'!$G$5:$G$699,9)&amp;RIGHT('EASI AFR Detail'!$J$5:$J$699,3)="ins0200)School TrER3",'EASI AFR Detail'!$O$5:$O$699))</f>
        <v>0</v>
      </c>
      <c r="O98" s="49" cm="1">
        <f t="array" ref="O98">+SUM(IF(LEFT('EASI AFR Detail'!$F$5:$F$699,3)&amp;RIGHT('EASI AFR Detail'!$F$5:$F$699,5)&amp;LEFT('EASI AFR Detail'!$G$5:$G$699,9)&amp;RIGHT('EASI AFR Detail'!$J$5:$J$699,3)="ins0200)School TuER3",'EASI AFR Detail'!$O$5:$O$699))</f>
        <v>0</v>
      </c>
      <c r="P98" s="53">
        <f t="shared" si="20"/>
        <v>0</v>
      </c>
    </row>
    <row r="99" spans="1:16" x14ac:dyDescent="0.3">
      <c r="A99" s="188"/>
      <c r="B99" s="51">
        <v>3</v>
      </c>
      <c r="C99" s="52" t="s">
        <v>6547</v>
      </c>
      <c r="D99" s="49" cm="1">
        <f t="array" ref="D99">+SUM(IF(LEFT('EASI AFR Detail'!$F$5:$F$699,3)&amp;RIGHT('EASI AFR Detail'!$F$5:$F$699,5)&amp;LEFT('EASI AFR Detail'!$G$5:$G$699,4)&amp;RIGHT('EASI AFR Detail'!$J$5:$J$699,3)="ins0300)AccoER3",'EASI AFR Detail'!$O$5:$O$699))</f>
        <v>0</v>
      </c>
      <c r="E99" s="49" cm="1">
        <f t="array" ref="E99">+SUM(IF(LEFT('EASI AFR Detail'!$F$5:$F$699,3)&amp;RIGHT('EASI AFR Detail'!$F$5:$F$699,5)&amp;LEFT('EASI AFR Detail'!$G$5:$G$699,4)&amp;RIGHT('EASI AFR Detail'!$J$5:$J$699,3)="INS0300)ColoER3",'EASI AFR Detail'!$O$5:$O$699))</f>
        <v>0</v>
      </c>
      <c r="F99" s="49" cm="1">
        <f t="array" ref="F99">+SUM(IF(LEFT('EASI AFR Detail'!$F$5:$F$699,3)&amp;RIGHT('EASI AFR Detail'!$F$5:$F$699,5)&amp;LEFT('EASI AFR Detail'!$G$5:$G$699,4)&amp;RIGHT('EASI AFR Detail'!$J$5:$J$699,3)="ins0300)CONNER3",'EASI AFR Detail'!$O$5:$O$699))</f>
        <v>0</v>
      </c>
      <c r="G99" s="49" cm="1">
        <f t="array" ref="G99">+SUM(IF(LEFT('EASI AFR Detail'!$F$5:$F$699,3)&amp;RIGHT('EASI AFR Detail'!$F$5:$F$699,5)&amp;LEFT('EASI AFR Detail'!$G$5:$G$699,12)&amp;RIGHT('EASI AFR Detail'!$J$5:$J$699,3)="ins0300)Diagnostic aER3",'EASI AFR Detail'!$O$5:$O$699))</f>
        <v>0</v>
      </c>
      <c r="H99" s="49" cm="1">
        <f t="array" ref="H99">+SUM(IF(LEFT('EASI AFR Detail'!$F$5:$F$699,3)&amp;RIGHT('EASI AFR Detail'!$F$5:$F$699,5)&amp;LEFT('EASI AFR Detail'!$G$5:$G$699,10)&amp;RIGHT('EASI AFR Detail'!$J$5:$J$699,3)="ins0300)District DER3",'EASI AFR Detail'!$O$5:$O$699))</f>
        <v>0</v>
      </c>
      <c r="I99" s="49" cm="1">
        <f t="array" ref="I99">+SUM(IF(LEFT('EASI AFR Detail'!$F$5:$F$699,3)&amp;RIGHT('EASI AFR Detail'!$F$5:$F$699,5)&amp;LEFT('EASI AFR Detail'!$G$5:$G$699,10)&amp;RIGHT('EASI AFR Detail'!$J$5:$J$699,3)="ins0300)District SER3",'EASI AFR Detail'!$O$5:$O$699))</f>
        <v>0</v>
      </c>
      <c r="J99" s="49" cm="1">
        <f t="array" ref="J99">+SUM(IF(LEFT('EASI AFR Detail'!$F$5:$F$699,3)&amp;RIGHT('EASI AFR Detail'!$F$5:$F$699,5)&amp;LEFT('EASI AFR Detail'!$G$5:$G$699,4)&amp;RIGHT('EASI AFR Detail'!$J$5:$J$699,3)="ins0300)ExplER3",'EASI AFR Detail'!$O$5:$O$699))</f>
        <v>0</v>
      </c>
      <c r="K99" s="49" cm="1">
        <f t="array" ref="K99">+SUM(IF(LEFT('EASI AFR Detail'!$F$5:$F$699,3)&amp;RIGHT('EASI AFR Detail'!$F$5:$F$699,5)&amp;LEFT('EASI AFR Detail'!$G$5:$G$699,4)&amp;RIGHT('EASI AFR Detail'!$J$5:$J$699,3)="ins0300)FaciER3",'EASI AFR Detail'!$O$5:$O$699))</f>
        <v>0</v>
      </c>
      <c r="L99" s="49" cm="1">
        <f t="array" ref="L99">+SUM(IF(LEFT('EASI AFR Detail'!$F$5:$F$699,3)&amp;RIGHT('EASI AFR Detail'!$F$5:$F$699,5)&amp;LEFT('EASI AFR Detail'!$G$5:$G$699,4)&amp;RIGHT('EASI AFR Detail'!$J$5:$J$699,3)="ins0300)MTSSER3",'EASI AFR Detail'!$O$5:$O$699))</f>
        <v>0</v>
      </c>
      <c r="M99" s="49" cm="1">
        <f t="array" ref="M99">+SUM(IF(LEFT('EASI AFR Detail'!$F$5:$F$699,3)&amp;RIGHT('EASI AFR Detail'!$F$5:$F$699,5)&amp;LEFT('EASI AFR Detail'!$G$5:$G$699,4)&amp;RIGHT('EASI AFR Detail'!$J$5:$J$699,3)="ins0300)RigoER3",'EASI AFR Detail'!$O$5:$O$699))</f>
        <v>0</v>
      </c>
      <c r="N99" s="49" cm="1">
        <f t="array" ref="N99">+SUM(IF(LEFT('EASI AFR Detail'!$F$5:$F$699,3)&amp;RIGHT('EASI AFR Detail'!$F$5:$F$699,5)&amp;LEFT('EASI AFR Detail'!$G$5:$G$699,9)&amp;RIGHT('EASI AFR Detail'!$J$5:$J$699,3)="ins0300)School TrER3",'EASI AFR Detail'!$O$5:$O$699))</f>
        <v>0</v>
      </c>
      <c r="O99" s="49" cm="1">
        <f t="array" ref="O99">+SUM(IF(LEFT('EASI AFR Detail'!$F$5:$F$699,3)&amp;RIGHT('EASI AFR Detail'!$F$5:$F$699,5)&amp;LEFT('EASI AFR Detail'!$G$5:$G$699,9)&amp;RIGHT('EASI AFR Detail'!$J$5:$J$699,3)="ins0300)School TuER3",'EASI AFR Detail'!$O$5:$O$699))</f>
        <v>0</v>
      </c>
      <c r="P99" s="53">
        <f t="shared" si="20"/>
        <v>0</v>
      </c>
    </row>
    <row r="100" spans="1:16" x14ac:dyDescent="0.3">
      <c r="A100" s="188"/>
      <c r="B100" s="51">
        <v>4</v>
      </c>
      <c r="C100" s="52" t="s">
        <v>6548</v>
      </c>
      <c r="D100" s="49" cm="1">
        <f t="array" ref="D100">+SUM(IF(LEFT('EASI AFR Detail'!$F$5:$F$699,3)&amp;RIGHT('EASI AFR Detail'!$F$5:$F$699,5)&amp;LEFT('EASI AFR Detail'!$G$5:$G$699,4)&amp;RIGHT('EASI AFR Detail'!$J$5:$J$699,3)="ins0500)AccoER3",'EASI AFR Detail'!$O$5:$O$699))</f>
        <v>0</v>
      </c>
      <c r="E100" s="49" cm="1">
        <f t="array" ref="E100">+SUM(IF(LEFT('EASI AFR Detail'!$F$5:$F$699,3)&amp;RIGHT('EASI AFR Detail'!$F$5:$F$699,5)&amp;LEFT('EASI AFR Detail'!$G$5:$G$699,4)&amp;RIGHT('EASI AFR Detail'!$J$5:$J$699,3)="INS0500)ColoER3",'EASI AFR Detail'!$O$5:$O$699))</f>
        <v>0</v>
      </c>
      <c r="F100" s="49" cm="1">
        <f t="array" ref="F100">+SUM(IF(LEFT('EASI AFR Detail'!$F$5:$F$699,3)&amp;RIGHT('EASI AFR Detail'!$F$5:$F$699,5)&amp;LEFT('EASI AFR Detail'!$G$5:$G$699,4)&amp;RIGHT('EASI AFR Detail'!$J$5:$J$699,3)="ins0500)CONNER3",'EASI AFR Detail'!$O$5:$O$699))</f>
        <v>0</v>
      </c>
      <c r="G100" s="49" cm="1">
        <f t="array" ref="G100">+SUM(IF(LEFT('EASI AFR Detail'!$F$5:$F$699,3)&amp;RIGHT('EASI AFR Detail'!$F$5:$F$699,5)&amp;LEFT('EASI AFR Detail'!$G$5:$G$699,12)&amp;RIGHT('EASI AFR Detail'!$J$5:$J$699,3)="ins0500)Diagnostic aER3",'EASI AFR Detail'!$O$5:$O$699))</f>
        <v>0</v>
      </c>
      <c r="H100" s="49" cm="1">
        <f t="array" ref="H100">+SUM(IF(LEFT('EASI AFR Detail'!$F$5:$F$699,3)&amp;RIGHT('EASI AFR Detail'!$F$5:$F$699,5)&amp;LEFT('EASI AFR Detail'!$G$5:$G$699,10)&amp;RIGHT('EASI AFR Detail'!$J$5:$J$699,3)="ins0500)District DER3",'EASI AFR Detail'!$O$5:$O$699))</f>
        <v>0</v>
      </c>
      <c r="I100" s="49" cm="1">
        <f t="array" ref="I100">+SUM(IF(LEFT('EASI AFR Detail'!$F$5:$F$699,3)&amp;RIGHT('EASI AFR Detail'!$F$5:$F$699,5)&amp;LEFT('EASI AFR Detail'!$G$5:$G$699,10)&amp;RIGHT('EASI AFR Detail'!$J$5:$J$699,3)="ins0500)District SER3",'EASI AFR Detail'!$O$5:$O$699))</f>
        <v>0</v>
      </c>
      <c r="J100" s="49" cm="1">
        <f t="array" ref="J100">+SUM(IF(LEFT('EASI AFR Detail'!$F$5:$F$699,3)&amp;RIGHT('EASI AFR Detail'!$F$5:$F$699,5)&amp;LEFT('EASI AFR Detail'!$G$5:$G$699,4)&amp;RIGHT('EASI AFR Detail'!$J$5:$J$699,3)="ins0500)ExplER3",'EASI AFR Detail'!$O$5:$O$699))</f>
        <v>0</v>
      </c>
      <c r="K100" s="49" cm="1">
        <f t="array" ref="K100">+SUM(IF(LEFT('EASI AFR Detail'!$F$5:$F$699,3)&amp;RIGHT('EASI AFR Detail'!$F$5:$F$699,5)&amp;LEFT('EASI AFR Detail'!$G$5:$G$699,4)&amp;RIGHT('EASI AFR Detail'!$J$5:$J$699,3)="ins0500)FaciER3",'EASI AFR Detail'!$O$5:$O$699))</f>
        <v>0</v>
      </c>
      <c r="L100" s="49" cm="1">
        <f t="array" ref="L100">+SUM(IF(LEFT('EASI AFR Detail'!$F$5:$F$699,3)&amp;RIGHT('EASI AFR Detail'!$F$5:$F$699,5)&amp;LEFT('EASI AFR Detail'!$G$5:$G$699,4)&amp;RIGHT('EASI AFR Detail'!$J$5:$J$699,3)="ins0500)MTSSER3",'EASI AFR Detail'!$O$5:$O$699))</f>
        <v>0</v>
      </c>
      <c r="M100" s="49" cm="1">
        <f t="array" ref="M100">+SUM(IF(LEFT('EASI AFR Detail'!$F$5:$F$699,3)&amp;RIGHT('EASI AFR Detail'!$F$5:$F$699,5)&amp;LEFT('EASI AFR Detail'!$G$5:$G$699,4)&amp;RIGHT('EASI AFR Detail'!$J$5:$J$699,3)="ins0500)RigoER3",'EASI AFR Detail'!$O$5:$O$699))</f>
        <v>0</v>
      </c>
      <c r="N100" s="49" cm="1">
        <f t="array" ref="N100">+SUM(IF(LEFT('EASI AFR Detail'!$F$5:$F$699,3)&amp;RIGHT('EASI AFR Detail'!$F$5:$F$699,5)&amp;LEFT('EASI AFR Detail'!$G$5:$G$699,9)&amp;RIGHT('EASI AFR Detail'!$J$5:$J$699,3)="ins0500)School TrER3",'EASI AFR Detail'!$O$5:$O$699))</f>
        <v>0</v>
      </c>
      <c r="O100" s="49" cm="1">
        <f t="array" ref="O100">+SUM(IF(LEFT('EASI AFR Detail'!$F$5:$F$699,3)&amp;RIGHT('EASI AFR Detail'!$F$5:$F$699,5)&amp;LEFT('EASI AFR Detail'!$G$5:$G$699,9)&amp;RIGHT('EASI AFR Detail'!$J$5:$J$699,3)="ins0500)School TuER3",'EASI AFR Detail'!$O$5:$O$699))</f>
        <v>0</v>
      </c>
      <c r="P100" s="53">
        <f t="shared" si="20"/>
        <v>0</v>
      </c>
    </row>
    <row r="101" spans="1:16" x14ac:dyDescent="0.3">
      <c r="A101" s="188"/>
      <c r="B101" s="51">
        <v>5</v>
      </c>
      <c r="C101" s="52" t="s">
        <v>6549</v>
      </c>
      <c r="D101" s="49" cm="1">
        <f t="array" ref="D101">+SUM(IF(LEFT('EASI AFR Detail'!$F$5:$F$699,3)&amp;RIGHT('EASI AFR Detail'!$F$5:$F$699,5)&amp;LEFT('EASI AFR Detail'!$G$5:$G$699,4)&amp;RIGHT('EASI AFR Detail'!$J$5:$J$699,3)="ins0580)AccoER3",'EASI AFR Detail'!$O$5:$O$699))</f>
        <v>0</v>
      </c>
      <c r="E101" s="49" cm="1">
        <f t="array" ref="E101">+SUM(IF(LEFT('EASI AFR Detail'!$F$5:$F$699,3)&amp;RIGHT('EASI AFR Detail'!$F$5:$F$699,5)&amp;LEFT('EASI AFR Detail'!$G$5:$G$699,4)&amp;RIGHT('EASI AFR Detail'!$J$5:$J$699,3)="INS0580)ColoER3",'EASI AFR Detail'!$O$5:$O$699))</f>
        <v>0</v>
      </c>
      <c r="F101" s="49" cm="1">
        <f t="array" ref="F101">+SUM(IF(LEFT('EASI AFR Detail'!$F$5:$F$699,3)&amp;RIGHT('EASI AFR Detail'!$F$5:$F$699,5)&amp;LEFT('EASI AFR Detail'!$G$5:$G$699,4)&amp;RIGHT('EASI AFR Detail'!$J$5:$J$699,3)="ins0580)CONNER3",'EASI AFR Detail'!$O$5:$O$699))</f>
        <v>0</v>
      </c>
      <c r="G101" s="49" cm="1">
        <f t="array" ref="G101">+SUM(IF(LEFT('EASI AFR Detail'!$F$5:$F$699,3)&amp;RIGHT('EASI AFR Detail'!$F$5:$F$699,5)&amp;LEFT('EASI AFR Detail'!$G$5:$G$699,12)&amp;RIGHT('EASI AFR Detail'!$J$5:$J$699,3)="ins0580)Diagnostic aER3",'EASI AFR Detail'!$O$5:$O$699))</f>
        <v>0</v>
      </c>
      <c r="H101" s="49" cm="1">
        <f t="array" ref="H101">+SUM(IF(LEFT('EASI AFR Detail'!$F$5:$F$699,3)&amp;RIGHT('EASI AFR Detail'!$F$5:$F$699,5)&amp;LEFT('EASI AFR Detail'!$G$5:$G$699,10)&amp;RIGHT('EASI AFR Detail'!$J$5:$J$699,3)="ins0580)District DER3",'EASI AFR Detail'!$O$5:$O$699))</f>
        <v>0</v>
      </c>
      <c r="I101" s="49" cm="1">
        <f t="array" ref="I101">+SUM(IF(LEFT('EASI AFR Detail'!$F$5:$F$699,3)&amp;RIGHT('EASI AFR Detail'!$F$5:$F$699,5)&amp;LEFT('EASI AFR Detail'!$G$5:$G$699,10)&amp;RIGHT('EASI AFR Detail'!$J$5:$J$699,3)="ins0580)District SER3",'EASI AFR Detail'!$O$5:$O$699))</f>
        <v>0</v>
      </c>
      <c r="J101" s="49" cm="1">
        <f t="array" ref="J101">+SUM(IF(LEFT('EASI AFR Detail'!$F$5:$F$699,3)&amp;RIGHT('EASI AFR Detail'!$F$5:$F$699,5)&amp;LEFT('EASI AFR Detail'!$G$5:$G$699,4)&amp;RIGHT('EASI AFR Detail'!$J$5:$J$699,3)="ins0580)ExplER3",'EASI AFR Detail'!$O$5:$O$699))</f>
        <v>0</v>
      </c>
      <c r="K101" s="49" cm="1">
        <f t="array" ref="K101">+SUM(IF(LEFT('EASI AFR Detail'!$F$5:$F$699,3)&amp;RIGHT('EASI AFR Detail'!$F$5:$F$699,5)&amp;LEFT('EASI AFR Detail'!$G$5:$G$699,4)&amp;RIGHT('EASI AFR Detail'!$J$5:$J$699,3)="ins0580)FaciER3",'EASI AFR Detail'!$O$5:$O$699))</f>
        <v>0</v>
      </c>
      <c r="L101" s="49" cm="1">
        <f t="array" ref="L101">+SUM(IF(LEFT('EASI AFR Detail'!$F$5:$F$699,3)&amp;RIGHT('EASI AFR Detail'!$F$5:$F$699,5)&amp;LEFT('EASI AFR Detail'!$G$5:$G$699,4)&amp;RIGHT('EASI AFR Detail'!$J$5:$J$699,3)="ins0580)MTSSER3",'EASI AFR Detail'!$O$5:$O$699))</f>
        <v>0</v>
      </c>
      <c r="M101" s="49" cm="1">
        <f t="array" ref="M101">+SUM(IF(LEFT('EASI AFR Detail'!$F$5:$F$699,3)&amp;RIGHT('EASI AFR Detail'!$F$5:$F$699,5)&amp;LEFT('EASI AFR Detail'!$G$5:$G$699,4)&amp;RIGHT('EASI AFR Detail'!$J$5:$J$699,3)="ins0580)RigoER3",'EASI AFR Detail'!$O$5:$O$699))</f>
        <v>0</v>
      </c>
      <c r="N101" s="49" cm="1">
        <f t="array" ref="N101">+SUM(IF(LEFT('EASI AFR Detail'!$F$5:$F$699,3)&amp;RIGHT('EASI AFR Detail'!$F$5:$F$699,5)&amp;LEFT('EASI AFR Detail'!$G$5:$G$699,9)&amp;RIGHT('EASI AFR Detail'!$J$5:$J$699,3)="ins0580)School TrER3",'EASI AFR Detail'!$O$5:$O$699))</f>
        <v>0</v>
      </c>
      <c r="O101" s="49" cm="1">
        <f t="array" ref="O101">+SUM(IF(LEFT('EASI AFR Detail'!$F$5:$F$699,3)&amp;RIGHT('EASI AFR Detail'!$F$5:$F$699,5)&amp;LEFT('EASI AFR Detail'!$G$5:$G$699,9)&amp;RIGHT('EASI AFR Detail'!$J$5:$J$699,3)="ins0580)School TuER3",'EASI AFR Detail'!$O$5:$O$699))</f>
        <v>0</v>
      </c>
      <c r="P101" s="53">
        <f t="shared" si="20"/>
        <v>0</v>
      </c>
    </row>
    <row r="102" spans="1:16" x14ac:dyDescent="0.3">
      <c r="A102" s="188"/>
      <c r="B102" s="54">
        <v>6</v>
      </c>
      <c r="C102" s="55" t="s">
        <v>6550</v>
      </c>
      <c r="D102" s="49" cm="1">
        <f t="array" ref="D102">+SUM(IF(LEFT('EASI AFR Detail'!$F$5:$F$699,3)&amp;RIGHT('EASI AFR Detail'!$F$5:$F$699,5)&amp;LEFT('EASI AFR Detail'!$G$5:$G$699,4)&amp;RIGHT('EASI AFR Detail'!$J$5:$J$699,3)="ins0600)AccoER3",'EASI AFR Detail'!$O$5:$O$699))</f>
        <v>0</v>
      </c>
      <c r="E102" s="49" cm="1">
        <f t="array" ref="E102">+SUM(IF(LEFT('EASI AFR Detail'!$F$5:$F$699,3)&amp;RIGHT('EASI AFR Detail'!$F$5:$F$699,5)&amp;LEFT('EASI AFR Detail'!$G$5:$G$699,4)&amp;RIGHT('EASI AFR Detail'!$J$5:$J$699,3)="INS0600)ColoER3",'EASI AFR Detail'!$O$5:$O$699))</f>
        <v>0</v>
      </c>
      <c r="F102" s="49" cm="1">
        <f t="array" ref="F102">+SUM(IF(LEFT('EASI AFR Detail'!$F$5:$F$699,3)&amp;RIGHT('EASI AFR Detail'!$F$5:$F$699,5)&amp;LEFT('EASI AFR Detail'!$G$5:$G$699,4)&amp;RIGHT('EASI AFR Detail'!$J$5:$J$699,3)="ins0600)CONNER3",'EASI AFR Detail'!$O$5:$O$699))</f>
        <v>0</v>
      </c>
      <c r="G102" s="49" cm="1">
        <f t="array" ref="G102">+SUM(IF(LEFT('EASI AFR Detail'!$F$5:$F$699,3)&amp;RIGHT('EASI AFR Detail'!$F$5:$F$699,5)&amp;LEFT('EASI AFR Detail'!$G$5:$G$699,12)&amp;RIGHT('EASI AFR Detail'!$J$5:$J$699,3)="ins0600)Diagnostic aER3",'EASI AFR Detail'!$O$5:$O$699))</f>
        <v>0</v>
      </c>
      <c r="H102" s="49" cm="1">
        <f t="array" ref="H102">+SUM(IF(LEFT('EASI AFR Detail'!$F$5:$F$699,3)&amp;RIGHT('EASI AFR Detail'!$F$5:$F$699,5)&amp;LEFT('EASI AFR Detail'!$G$5:$G$699,10)&amp;RIGHT('EASI AFR Detail'!$J$5:$J$699,3)="ins0600)District DER3",'EASI AFR Detail'!$O$5:$O$699))</f>
        <v>0</v>
      </c>
      <c r="I102" s="49" cm="1">
        <f t="array" ref="I102">+SUM(IF(LEFT('EASI AFR Detail'!$F$5:$F$699,3)&amp;RIGHT('EASI AFR Detail'!$F$5:$F$699,5)&amp;LEFT('EASI AFR Detail'!$G$5:$G$699,10)&amp;RIGHT('EASI AFR Detail'!$J$5:$J$699,3)="ins0600)District SER3",'EASI AFR Detail'!$O$5:$O$699))</f>
        <v>0</v>
      </c>
      <c r="J102" s="49" cm="1">
        <f t="array" ref="J102">+SUM(IF(LEFT('EASI AFR Detail'!$F$5:$F$699,3)&amp;RIGHT('EASI AFR Detail'!$F$5:$F$699,5)&amp;LEFT('EASI AFR Detail'!$G$5:$G$699,4)&amp;RIGHT('EASI AFR Detail'!$J$5:$J$699,3)="ins0600)ExplER3",'EASI AFR Detail'!$O$5:$O$699))</f>
        <v>0</v>
      </c>
      <c r="K102" s="49" cm="1">
        <f t="array" ref="K102">+SUM(IF(LEFT('EASI AFR Detail'!$F$5:$F$699,3)&amp;RIGHT('EASI AFR Detail'!$F$5:$F$699,5)&amp;LEFT('EASI AFR Detail'!$G$5:$G$699,4)&amp;RIGHT('EASI AFR Detail'!$J$5:$J$699,3)="ins0600)FaciER3",'EASI AFR Detail'!$O$5:$O$699))</f>
        <v>0</v>
      </c>
      <c r="L102" s="49" cm="1">
        <f t="array" ref="L102">+SUM(IF(LEFT('EASI AFR Detail'!$F$5:$F$699,3)&amp;RIGHT('EASI AFR Detail'!$F$5:$F$699,5)&amp;LEFT('EASI AFR Detail'!$G$5:$G$699,4)&amp;RIGHT('EASI AFR Detail'!$J$5:$J$699,3)="ins0600)MTSSER3",'EASI AFR Detail'!$O$5:$O$699))</f>
        <v>0</v>
      </c>
      <c r="M102" s="49" cm="1">
        <f t="array" ref="M102">+SUM(IF(LEFT('EASI AFR Detail'!$F$5:$F$699,3)&amp;RIGHT('EASI AFR Detail'!$F$5:$F$699,5)&amp;LEFT('EASI AFR Detail'!$G$5:$G$699,4)&amp;RIGHT('EASI AFR Detail'!$J$5:$J$699,3)="ins0600)RigoER3",'EASI AFR Detail'!$O$5:$O$699))</f>
        <v>0</v>
      </c>
      <c r="N102" s="49" cm="1">
        <f t="array" ref="N102">+SUM(IF(LEFT('EASI AFR Detail'!$F$5:$F$699,3)&amp;RIGHT('EASI AFR Detail'!$F$5:$F$699,5)&amp;LEFT('EASI AFR Detail'!$G$5:$G$699,9)&amp;RIGHT('EASI AFR Detail'!$J$5:$J$699,3)="ins0600)School TrER3",'EASI AFR Detail'!$O$5:$O$699))</f>
        <v>0</v>
      </c>
      <c r="O102" s="49" cm="1">
        <f t="array" ref="O102">+SUM(IF(LEFT('EASI AFR Detail'!$F$5:$F$699,3)&amp;RIGHT('EASI AFR Detail'!$F$5:$F$699,5)&amp;LEFT('EASI AFR Detail'!$G$5:$G$699,9)&amp;RIGHT('EASI AFR Detail'!$J$5:$J$699,3)="ins0600)School TuER3",'EASI AFR Detail'!$O$5:$O$699))</f>
        <v>0</v>
      </c>
      <c r="P102" s="53">
        <f t="shared" si="20"/>
        <v>0</v>
      </c>
    </row>
    <row r="103" spans="1:16" ht="15" thickBot="1" x14ac:dyDescent="0.35">
      <c r="A103" s="188"/>
      <c r="B103" s="51">
        <v>7</v>
      </c>
      <c r="C103" s="56" t="s">
        <v>6551</v>
      </c>
      <c r="D103" s="49">
        <f>SUM(D97:D102)</f>
        <v>0</v>
      </c>
      <c r="E103" s="57">
        <f t="shared" ref="E103:P103" si="21">SUM(E97:E102)</f>
        <v>0</v>
      </c>
      <c r="F103" s="57">
        <f t="shared" si="21"/>
        <v>0</v>
      </c>
      <c r="G103" s="57">
        <f t="shared" si="21"/>
        <v>0</v>
      </c>
      <c r="H103" s="57">
        <f t="shared" si="21"/>
        <v>0</v>
      </c>
      <c r="I103" s="57">
        <f t="shared" si="21"/>
        <v>0</v>
      </c>
      <c r="J103" s="57">
        <f t="shared" si="21"/>
        <v>0</v>
      </c>
      <c r="K103" s="57">
        <f t="shared" si="21"/>
        <v>0</v>
      </c>
      <c r="L103" s="57">
        <f t="shared" si="21"/>
        <v>0</v>
      </c>
      <c r="M103" s="57">
        <f t="shared" si="21"/>
        <v>0</v>
      </c>
      <c r="N103" s="57">
        <f t="shared" si="21"/>
        <v>0</v>
      </c>
      <c r="O103" s="57">
        <f t="shared" si="21"/>
        <v>0</v>
      </c>
      <c r="P103" s="53">
        <f t="shared" si="21"/>
        <v>0</v>
      </c>
    </row>
    <row r="104" spans="1:16" ht="15" thickBot="1" x14ac:dyDescent="0.35">
      <c r="A104" s="188"/>
      <c r="C104" s="58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60"/>
    </row>
    <row r="105" spans="1:16" ht="15" thickBot="1" x14ac:dyDescent="0.35">
      <c r="A105" s="188"/>
      <c r="B105" s="190" t="s">
        <v>6552</v>
      </c>
      <c r="C105" s="190"/>
      <c r="D105" s="45" t="s">
        <v>6544</v>
      </c>
      <c r="E105" s="45" t="s">
        <v>6544</v>
      </c>
      <c r="F105" s="45" t="s">
        <v>6544</v>
      </c>
      <c r="G105" s="45" t="s">
        <v>6544</v>
      </c>
      <c r="H105" s="45" t="s">
        <v>6544</v>
      </c>
      <c r="I105" s="45" t="s">
        <v>6544</v>
      </c>
      <c r="J105" s="45" t="s">
        <v>6544</v>
      </c>
      <c r="K105" s="45" t="s">
        <v>6544</v>
      </c>
      <c r="L105" s="45" t="s">
        <v>6544</v>
      </c>
      <c r="M105" s="45" t="s">
        <v>6544</v>
      </c>
      <c r="N105" s="45" t="s">
        <v>6544</v>
      </c>
      <c r="O105" s="45" t="s">
        <v>6544</v>
      </c>
      <c r="P105" s="45" t="s">
        <v>6544</v>
      </c>
    </row>
    <row r="106" spans="1:16" x14ac:dyDescent="0.3">
      <c r="A106" s="188"/>
      <c r="B106" s="61">
        <v>8</v>
      </c>
      <c r="C106" s="62" t="s">
        <v>6545</v>
      </c>
      <c r="D106" s="49" cm="1">
        <f t="array" ref="D106">+SUM(IF(LEFT('EASI AFR Detail'!$F$5:$F$699,3)&amp;RIGHT('EASI AFR Detail'!$F$5:$F$699,5)&amp;LEFT('EASI AFR Detail'!$G$5:$G$699,4)&amp;RIGHT('EASI AFR Detail'!$J$5:$J$699,3)="sup0100)AccoER3",'EASI AFR Detail'!$O$5:$O$699))</f>
        <v>0</v>
      </c>
      <c r="E106" s="49" cm="1">
        <f t="array" ref="E106">+SUM(IF(LEFT('EASI AFR Detail'!$F$5:$F$699,3)&amp;RIGHT('EASI AFR Detail'!$F$5:$F$699,5)&amp;LEFT('EASI AFR Detail'!$G$5:$G$699,4)&amp;RIGHT('EASI AFR Detail'!$J$5:$J$699,3)="sup0100)ColoER3",'EASI AFR Detail'!$O$5:$O$699))</f>
        <v>0</v>
      </c>
      <c r="F106" s="49" cm="1">
        <f t="array" ref="F106">+SUM(IF(LEFT('EASI AFR Detail'!$F$5:$F$699,3)&amp;RIGHT('EASI AFR Detail'!$F$5:$F$699,5)&amp;LEFT('EASI AFR Detail'!$G$5:$G$699,4)&amp;RIGHT('EASI AFR Detail'!$J$5:$J$699,3)="sup0100)CONNER3",'EASI AFR Detail'!$O$5:$O$699))</f>
        <v>0</v>
      </c>
      <c r="G106" s="49" cm="1">
        <f t="array" ref="G106">+SUM(IF(LEFT('EASI AFR Detail'!$F$5:$F$699,3)&amp;RIGHT('EASI AFR Detail'!$F$5:$F$699,5)&amp;LEFT('EASI AFR Detail'!$G$5:$G$699,12)&amp;RIGHT('EASI AFR Detail'!$J$5:$J$699,3)="sup0100)Diagnostic aER3",'EASI AFR Detail'!$O$5:$O$699))</f>
        <v>0</v>
      </c>
      <c r="H106" s="49" cm="1">
        <f t="array" ref="H106">+SUM(IF(LEFT('EASI AFR Detail'!$F$5:$F$699,3)&amp;RIGHT('EASI AFR Detail'!$F$5:$F$699,5)&amp;LEFT('EASI AFR Detail'!$G$5:$G$699,10)&amp;RIGHT('EASI AFR Detail'!$J$5:$J$699,3)="sup0100)District DER3",'EASI AFR Detail'!$O$5:$O$699))</f>
        <v>0</v>
      </c>
      <c r="I106" s="49" cm="1">
        <f t="array" ref="I106">+SUM(IF(LEFT('EASI AFR Detail'!$F$5:$F$699,3)&amp;RIGHT('EASI AFR Detail'!$F$5:$F$699,5)&amp;LEFT('EASI AFR Detail'!$G$5:$G$699,10)&amp;RIGHT('EASI AFR Detail'!$J$5:$J$699,3)="sup0100)District SER3",'EASI AFR Detail'!$O$5:$O$699))</f>
        <v>0</v>
      </c>
      <c r="J106" s="49" cm="1">
        <f t="array" ref="J106">+SUM(IF(LEFT('EASI AFR Detail'!$F$5:$F$699,3)&amp;RIGHT('EASI AFR Detail'!$F$5:$F$699,5)&amp;LEFT('EASI AFR Detail'!$G$5:$G$699,4)&amp;RIGHT('EASI AFR Detail'!$J$5:$J$699,3)="sup0100)ExplER3",'EASI AFR Detail'!$O$5:$O$699))</f>
        <v>0</v>
      </c>
      <c r="K106" s="49" cm="1">
        <f t="array" ref="K106">+SUM(IF(LEFT('EASI AFR Detail'!$F$5:$F$699,3)&amp;RIGHT('EASI AFR Detail'!$F$5:$F$699,5)&amp;LEFT('EASI AFR Detail'!$G$5:$G$699,4)&amp;RIGHT('EASI AFR Detail'!$J$5:$J$699,3)="sup0100)FaciER3",'EASI AFR Detail'!$O$5:$O$699))</f>
        <v>0</v>
      </c>
      <c r="L106" s="49" cm="1">
        <f t="array" ref="L106">+SUM(IF(LEFT('EASI AFR Detail'!$F$5:$F$699,3)&amp;RIGHT('EASI AFR Detail'!$F$5:$F$699,5)&amp;LEFT('EASI AFR Detail'!$G$5:$G$699,4)&amp;RIGHT('EASI AFR Detail'!$J$5:$J$699,3)="sup0100)MTSSER3",'EASI AFR Detail'!$O$5:$O$699))</f>
        <v>0</v>
      </c>
      <c r="M106" s="49" cm="1">
        <f t="array" ref="M106">+SUM(IF(LEFT('EASI AFR Detail'!$F$5:$F$699,3)&amp;RIGHT('EASI AFR Detail'!$F$5:$F$699,5)&amp;LEFT('EASI AFR Detail'!$G$5:$G$699,4)&amp;RIGHT('EASI AFR Detail'!$J$5:$J$699,3)="sup0100)RigoER3",'EASI AFR Detail'!$O$5:$O$699))</f>
        <v>0</v>
      </c>
      <c r="N106" s="49" cm="1">
        <f t="array" ref="N106">+SUM(IF(LEFT('EASI AFR Detail'!$F$5:$F$699,3)&amp;RIGHT('EASI AFR Detail'!$F$5:$F$699,5)&amp;LEFT('EASI AFR Detail'!$G$5:$G$699,9)&amp;RIGHT('EASI AFR Detail'!$J$5:$J$699,3)="sup0100)School TrER3",'EASI AFR Detail'!$O$5:$O$699))</f>
        <v>0</v>
      </c>
      <c r="O106" s="49" cm="1">
        <f t="array" ref="O106">+SUM(IF(LEFT('EASI AFR Detail'!$F$5:$F$699,3)&amp;RIGHT('EASI AFR Detail'!$F$5:$F$699,5)&amp;LEFT('EASI AFR Detail'!$G$5:$G$699,9)&amp;RIGHT('EASI AFR Detail'!$J$5:$J$699,3)="sup0100)School TuER3",'EASI AFR Detail'!$O$5:$O$699))</f>
        <v>0</v>
      </c>
      <c r="P106" s="50">
        <f t="shared" ref="P106:P111" si="22">SUM(D106:O106)</f>
        <v>0</v>
      </c>
    </row>
    <row r="107" spans="1:16" x14ac:dyDescent="0.3">
      <c r="A107" s="188"/>
      <c r="B107" s="63">
        <v>9</v>
      </c>
      <c r="C107" s="64" t="s">
        <v>6546</v>
      </c>
      <c r="D107" s="49" cm="1">
        <f t="array" ref="D107">+SUM(IF(LEFT('EASI AFR Detail'!$F$5:$F$699,3)&amp;RIGHT('EASI AFR Detail'!$F$5:$F$699,5)&amp;LEFT('EASI AFR Detail'!$G$5:$G$699,4)&amp;RIGHT('EASI AFR Detail'!$J$5:$J$699,3)="sup0200)AccoER3",'EASI AFR Detail'!$O$5:$O$699))</f>
        <v>0</v>
      </c>
      <c r="E107" s="49" cm="1">
        <f t="array" ref="E107">+SUM(IF(LEFT('EASI AFR Detail'!$F$5:$F$699,3)&amp;RIGHT('EASI AFR Detail'!$F$5:$F$699,5)&amp;LEFT('EASI AFR Detail'!$G$5:$G$699,4)&amp;RIGHT('EASI AFR Detail'!$J$5:$J$699,3)="sup0200)ColoER3",'EASI AFR Detail'!$O$5:$O$699))</f>
        <v>0</v>
      </c>
      <c r="F107" s="49" cm="1">
        <f t="array" ref="F107">+SUM(IF(LEFT('EASI AFR Detail'!$F$5:$F$699,3)&amp;RIGHT('EASI AFR Detail'!$F$5:$F$699,5)&amp;LEFT('EASI AFR Detail'!$G$5:$G$699,4)&amp;RIGHT('EASI AFR Detail'!$J$5:$J$699,3)="sup0200)CONNER3",'EASI AFR Detail'!$O$5:$O$699))</f>
        <v>0</v>
      </c>
      <c r="G107" s="49" cm="1">
        <f t="array" ref="G107">+SUM(IF(LEFT('EASI AFR Detail'!$F$5:$F$699,3)&amp;RIGHT('EASI AFR Detail'!$F$5:$F$699,5)&amp;LEFT('EASI AFR Detail'!$G$5:$G$699,12)&amp;RIGHT('EASI AFR Detail'!$J$5:$J$699,3)="sup0200)Diagnostic aER3",'EASI AFR Detail'!$O$5:$O$699))</f>
        <v>0</v>
      </c>
      <c r="H107" s="49" cm="1">
        <f t="array" ref="H107">+SUM(IF(LEFT('EASI AFR Detail'!$F$5:$F$699,3)&amp;RIGHT('EASI AFR Detail'!$F$5:$F$699,5)&amp;LEFT('EASI AFR Detail'!$G$5:$G$699,10)&amp;RIGHT('EASI AFR Detail'!$J$5:$J$699,3)="sup0200)District DER3",'EASI AFR Detail'!$O$5:$O$699))</f>
        <v>0</v>
      </c>
      <c r="I107" s="49" cm="1">
        <f t="array" ref="I107">+SUM(IF(LEFT('EASI AFR Detail'!$F$5:$F$699,3)&amp;RIGHT('EASI AFR Detail'!$F$5:$F$699,5)&amp;LEFT('EASI AFR Detail'!$G$5:$G$699,10)&amp;RIGHT('EASI AFR Detail'!$J$5:$J$699,3)="sup0200)District SER3",'EASI AFR Detail'!$O$5:$O$699))</f>
        <v>0</v>
      </c>
      <c r="J107" s="49" cm="1">
        <f t="array" ref="J107">+SUM(IF(LEFT('EASI AFR Detail'!$F$5:$F$699,3)&amp;RIGHT('EASI AFR Detail'!$F$5:$F$699,5)&amp;LEFT('EASI AFR Detail'!$G$5:$G$699,4)&amp;RIGHT('EASI AFR Detail'!$J$5:$J$699,3)="sup0200)ExplER3",'EASI AFR Detail'!$O$5:$O$699))</f>
        <v>0</v>
      </c>
      <c r="K107" s="49" cm="1">
        <f t="array" ref="K107">+SUM(IF(LEFT('EASI AFR Detail'!$F$5:$F$699,3)&amp;RIGHT('EASI AFR Detail'!$F$5:$F$699,5)&amp;LEFT('EASI AFR Detail'!$G$5:$G$699,4)&amp;RIGHT('EASI AFR Detail'!$J$5:$J$699,3)="sup0200)FaciER3",'EASI AFR Detail'!$O$5:$O$699))</f>
        <v>0</v>
      </c>
      <c r="L107" s="49" cm="1">
        <f t="array" ref="L107">+SUM(IF(LEFT('EASI AFR Detail'!$F$5:$F$699,3)&amp;RIGHT('EASI AFR Detail'!$F$5:$F$699,5)&amp;LEFT('EASI AFR Detail'!$G$5:$G$699,4)&amp;RIGHT('EASI AFR Detail'!$J$5:$J$699,3)="sup0200)MTSSER3",'EASI AFR Detail'!$O$5:$O$699))</f>
        <v>0</v>
      </c>
      <c r="M107" s="49" cm="1">
        <f t="array" ref="M107">+SUM(IF(LEFT('EASI AFR Detail'!$F$5:$F$699,3)&amp;RIGHT('EASI AFR Detail'!$F$5:$F$699,5)&amp;LEFT('EASI AFR Detail'!$G$5:$G$699,4)&amp;RIGHT('EASI AFR Detail'!$J$5:$J$699,3)="sup0200)RigoER3",'EASI AFR Detail'!$O$5:$O$699))</f>
        <v>0</v>
      </c>
      <c r="N107" s="49" cm="1">
        <f t="array" ref="N107">+SUM(IF(LEFT('EASI AFR Detail'!$F$5:$F$699,3)&amp;RIGHT('EASI AFR Detail'!$F$5:$F$699,5)&amp;LEFT('EASI AFR Detail'!$G$5:$G$699,9)&amp;RIGHT('EASI AFR Detail'!$J$5:$J$699,3)="sup0200)School TrER3",'EASI AFR Detail'!$O$5:$O$699))</f>
        <v>0</v>
      </c>
      <c r="O107" s="49" cm="1">
        <f t="array" ref="O107">+SUM(IF(LEFT('EASI AFR Detail'!$F$5:$F$699,3)&amp;RIGHT('EASI AFR Detail'!$F$5:$F$699,5)&amp;LEFT('EASI AFR Detail'!$G$5:$G$699,9)&amp;RIGHT('EASI AFR Detail'!$J$5:$J$699,3)="sup0200)School TuER3",'EASI AFR Detail'!$O$5:$O$699))</f>
        <v>0</v>
      </c>
      <c r="P107" s="53">
        <f t="shared" si="22"/>
        <v>0</v>
      </c>
    </row>
    <row r="108" spans="1:16" x14ac:dyDescent="0.3">
      <c r="A108" s="188"/>
      <c r="B108" s="63">
        <v>10</v>
      </c>
      <c r="C108" s="64" t="s">
        <v>6547</v>
      </c>
      <c r="D108" s="49" cm="1">
        <f t="array" ref="D108">+SUM(IF(LEFT('EASI AFR Detail'!$F$5:$F$699,3)&amp;RIGHT('EASI AFR Detail'!$F$5:$F$699,5)&amp;LEFT('EASI AFR Detail'!$G$5:$G$699,4)&amp;RIGHT('EASI AFR Detail'!$J$5:$J$699,3)="sup0300)AccoER3",'EASI AFR Detail'!$O$5:$O$699))</f>
        <v>0</v>
      </c>
      <c r="E108" s="49" cm="1">
        <f t="array" ref="E108">+SUM(IF(LEFT('EASI AFR Detail'!$F$5:$F$699,3)&amp;RIGHT('EASI AFR Detail'!$F$5:$F$699,5)&amp;LEFT('EASI AFR Detail'!$G$5:$G$699,4)&amp;RIGHT('EASI AFR Detail'!$J$5:$J$699,3)="sup0300)ColoER3",'EASI AFR Detail'!$O$5:$O$699))</f>
        <v>0</v>
      </c>
      <c r="F108" s="49" cm="1">
        <f t="array" ref="F108">+SUM(IF(LEFT('EASI AFR Detail'!$F$5:$F$699,3)&amp;RIGHT('EASI AFR Detail'!$F$5:$F$699,5)&amp;LEFT('EASI AFR Detail'!$G$5:$G$699,4)&amp;RIGHT('EASI AFR Detail'!$J$5:$J$699,3)="sup0300)CONNER3",'EASI AFR Detail'!$O$5:$O$699))</f>
        <v>0</v>
      </c>
      <c r="G108" s="49" cm="1">
        <f t="array" ref="G108">+SUM(IF(LEFT('EASI AFR Detail'!$F$5:$F$699,3)&amp;RIGHT('EASI AFR Detail'!$F$5:$F$699,5)&amp;LEFT('EASI AFR Detail'!$G$5:$G$699,12)&amp;RIGHT('EASI AFR Detail'!$J$5:$J$699,3)="sup0300)Diagnostic aER3",'EASI AFR Detail'!$O$5:$O$699))</f>
        <v>0</v>
      </c>
      <c r="H108" s="49" cm="1">
        <f t="array" ref="H108">+SUM(IF(LEFT('EASI AFR Detail'!$F$5:$F$699,3)&amp;RIGHT('EASI AFR Detail'!$F$5:$F$699,5)&amp;LEFT('EASI AFR Detail'!$G$5:$G$699,10)&amp;RIGHT('EASI AFR Detail'!$J$5:$J$699,3)="sup0300)District DER3",'EASI AFR Detail'!$O$5:$O$699))</f>
        <v>0</v>
      </c>
      <c r="I108" s="49" cm="1">
        <f t="array" ref="I108">+SUM(IF(LEFT('EASI AFR Detail'!$F$5:$F$699,3)&amp;RIGHT('EASI AFR Detail'!$F$5:$F$699,5)&amp;LEFT('EASI AFR Detail'!$G$5:$G$699,10)&amp;RIGHT('EASI AFR Detail'!$J$5:$J$699,3)="sup0300)District SER3",'EASI AFR Detail'!$O$5:$O$699))</f>
        <v>0</v>
      </c>
      <c r="J108" s="49" cm="1">
        <f t="array" ref="J108">+SUM(IF(LEFT('EASI AFR Detail'!$F$5:$F$699,3)&amp;RIGHT('EASI AFR Detail'!$F$5:$F$699,5)&amp;LEFT('EASI AFR Detail'!$G$5:$G$699,4)&amp;RIGHT('EASI AFR Detail'!$J$5:$J$699,3)="sup0300)ExplER3",'EASI AFR Detail'!$O$5:$O$699))</f>
        <v>0</v>
      </c>
      <c r="K108" s="49" cm="1">
        <f t="array" ref="K108">+SUM(IF(LEFT('EASI AFR Detail'!$F$5:$F$699,3)&amp;RIGHT('EASI AFR Detail'!$F$5:$F$699,5)&amp;LEFT('EASI AFR Detail'!$G$5:$G$699,4)&amp;RIGHT('EASI AFR Detail'!$J$5:$J$699,3)="sup0300)FaciER3",'EASI AFR Detail'!$O$5:$O$699))</f>
        <v>0</v>
      </c>
      <c r="L108" s="49" cm="1">
        <f t="array" ref="L108">+SUM(IF(LEFT('EASI AFR Detail'!$F$5:$F$699,3)&amp;RIGHT('EASI AFR Detail'!$F$5:$F$699,5)&amp;LEFT('EASI AFR Detail'!$G$5:$G$699,4)&amp;RIGHT('EASI AFR Detail'!$J$5:$J$699,3)="sup0300)MTSSER3",'EASI AFR Detail'!$O$5:$O$699))</f>
        <v>0</v>
      </c>
      <c r="M108" s="49" cm="1">
        <f t="array" ref="M108">+SUM(IF(LEFT('EASI AFR Detail'!$F$5:$F$699,3)&amp;RIGHT('EASI AFR Detail'!$F$5:$F$699,5)&amp;LEFT('EASI AFR Detail'!$G$5:$G$699,4)&amp;RIGHT('EASI AFR Detail'!$J$5:$J$699,3)="sup0300)RigoER3",'EASI AFR Detail'!$O$5:$O$699))</f>
        <v>0</v>
      </c>
      <c r="N108" s="49" cm="1">
        <f t="array" ref="N108">+SUM(IF(LEFT('EASI AFR Detail'!$F$5:$F$699,3)&amp;RIGHT('EASI AFR Detail'!$F$5:$F$699,5)&amp;LEFT('EASI AFR Detail'!$G$5:$G$699,9)&amp;RIGHT('EASI AFR Detail'!$J$5:$J$699,3)="sup0300)School TrER3",'EASI AFR Detail'!$O$5:$O$699))</f>
        <v>0</v>
      </c>
      <c r="O108" s="49" cm="1">
        <f t="array" ref="O108">+SUM(IF(LEFT('EASI AFR Detail'!$F$5:$F$699,3)&amp;RIGHT('EASI AFR Detail'!$F$5:$F$699,5)&amp;LEFT('EASI AFR Detail'!$G$5:$G$699,9)&amp;RIGHT('EASI AFR Detail'!$J$5:$J$699,3)="sup0300)School TuER3",'EASI AFR Detail'!$O$5:$O$699))</f>
        <v>0</v>
      </c>
      <c r="P108" s="53">
        <f t="shared" si="22"/>
        <v>0</v>
      </c>
    </row>
    <row r="109" spans="1:16" x14ac:dyDescent="0.3">
      <c r="A109" s="188"/>
      <c r="B109" s="63">
        <v>11</v>
      </c>
      <c r="C109" s="64" t="s">
        <v>6548</v>
      </c>
      <c r="D109" s="49" cm="1">
        <f t="array" ref="D109">+SUM(IF(LEFT('EASI AFR Detail'!$F$5:$F$699,3)&amp;RIGHT('EASI AFR Detail'!$F$5:$F$699,5)&amp;LEFT('EASI AFR Detail'!$G$5:$G$699,4)&amp;RIGHT('EASI AFR Detail'!$J$5:$J$699,3)="sup0500)AccoER3",'EASI AFR Detail'!$O$5:$O$699))</f>
        <v>0</v>
      </c>
      <c r="E109" s="49" cm="1">
        <f t="array" ref="E109">+SUM(IF(LEFT('EASI AFR Detail'!$F$5:$F$699,3)&amp;RIGHT('EASI AFR Detail'!$F$5:$F$699,5)&amp;LEFT('EASI AFR Detail'!$G$5:$G$699,4)&amp;RIGHT('EASI AFR Detail'!$J$5:$J$699,3)="sup0500)ColoER3",'EASI AFR Detail'!$O$5:$O$699))</f>
        <v>0</v>
      </c>
      <c r="F109" s="49" cm="1">
        <f t="array" ref="F109">+SUM(IF(LEFT('EASI AFR Detail'!$F$5:$F$699,3)&amp;RIGHT('EASI AFR Detail'!$F$5:$F$699,5)&amp;LEFT('EASI AFR Detail'!$G$5:$G$699,4)&amp;RIGHT('EASI AFR Detail'!$J$5:$J$699,3)="sup0500)CONNER3",'EASI AFR Detail'!$O$5:$O$699))</f>
        <v>0</v>
      </c>
      <c r="G109" s="49" cm="1">
        <f t="array" ref="G109">+SUM(IF(LEFT('EASI AFR Detail'!$F$5:$F$699,3)&amp;RIGHT('EASI AFR Detail'!$F$5:$F$699,5)&amp;LEFT('EASI AFR Detail'!$G$5:$G$699,12)&amp;RIGHT('EASI AFR Detail'!$J$5:$J$699,3)="sup0500)Diagnostic aER3",'EASI AFR Detail'!$O$5:$O$699))</f>
        <v>0</v>
      </c>
      <c r="H109" s="49" cm="1">
        <f t="array" ref="H109">+SUM(IF(LEFT('EASI AFR Detail'!$F$5:$F$699,3)&amp;RIGHT('EASI AFR Detail'!$F$5:$F$699,5)&amp;LEFT('EASI AFR Detail'!$G$5:$G$699,10)&amp;RIGHT('EASI AFR Detail'!$J$5:$J$699,3)="sup0500)District DER3",'EASI AFR Detail'!$O$5:$O$699))</f>
        <v>0</v>
      </c>
      <c r="I109" s="49" cm="1">
        <f t="array" ref="I109">+SUM(IF(LEFT('EASI AFR Detail'!$F$5:$F$699,3)&amp;RIGHT('EASI AFR Detail'!$F$5:$F$699,5)&amp;LEFT('EASI AFR Detail'!$G$5:$G$699,10)&amp;RIGHT('EASI AFR Detail'!$J$5:$J$699,3)="sup0500)District SER3",'EASI AFR Detail'!$O$5:$O$699))</f>
        <v>0</v>
      </c>
      <c r="J109" s="49" cm="1">
        <f t="array" ref="J109">+SUM(IF(LEFT('EASI AFR Detail'!$F$5:$F$699,3)&amp;RIGHT('EASI AFR Detail'!$F$5:$F$699,5)&amp;LEFT('EASI AFR Detail'!$G$5:$G$699,4)&amp;RIGHT('EASI AFR Detail'!$J$5:$J$699,3)="sup0500)ExplER3",'EASI AFR Detail'!$O$5:$O$699))</f>
        <v>0</v>
      </c>
      <c r="K109" s="49" cm="1">
        <f t="array" ref="K109">+SUM(IF(LEFT('EASI AFR Detail'!$F$5:$F$699,3)&amp;RIGHT('EASI AFR Detail'!$F$5:$F$699,5)&amp;LEFT('EASI AFR Detail'!$G$5:$G$699,4)&amp;RIGHT('EASI AFR Detail'!$J$5:$J$699,3)="sup0500)FaciER3",'EASI AFR Detail'!$O$5:$O$699))</f>
        <v>0</v>
      </c>
      <c r="L109" s="49" cm="1">
        <f t="array" ref="L109">+SUM(IF(LEFT('EASI AFR Detail'!$F$5:$F$699,3)&amp;RIGHT('EASI AFR Detail'!$F$5:$F$699,5)&amp;LEFT('EASI AFR Detail'!$G$5:$G$699,4)&amp;RIGHT('EASI AFR Detail'!$J$5:$J$699,3)="sup0500)MTSSER3",'EASI AFR Detail'!$O$5:$O$699))</f>
        <v>0</v>
      </c>
      <c r="M109" s="49" cm="1">
        <f t="array" ref="M109">+SUM(IF(LEFT('EASI AFR Detail'!$F$5:$F$699,3)&amp;RIGHT('EASI AFR Detail'!$F$5:$F$699,5)&amp;LEFT('EASI AFR Detail'!$G$5:$G$699,4)&amp;RIGHT('EASI AFR Detail'!$J$5:$J$699,3)="sup0500)RigoER3",'EASI AFR Detail'!$O$5:$O$699))</f>
        <v>0</v>
      </c>
      <c r="N109" s="49" cm="1">
        <f t="array" ref="N109">+SUM(IF(LEFT('EASI AFR Detail'!$F$5:$F$699,3)&amp;RIGHT('EASI AFR Detail'!$F$5:$F$699,5)&amp;LEFT('EASI AFR Detail'!$G$5:$G$699,9)&amp;RIGHT('EASI AFR Detail'!$J$5:$J$699,3)="sup0500)School TrER3",'EASI AFR Detail'!$O$5:$O$699))</f>
        <v>0</v>
      </c>
      <c r="O109" s="49" cm="1">
        <f t="array" ref="O109">+SUM(IF(LEFT('EASI AFR Detail'!$F$5:$F$699,3)&amp;RIGHT('EASI AFR Detail'!$F$5:$F$699,5)&amp;LEFT('EASI AFR Detail'!$G$5:$G$699,9)&amp;RIGHT('EASI AFR Detail'!$J$5:$J$699,3)="sup0500)School TuER3",'EASI AFR Detail'!$O$5:$O$699))</f>
        <v>0</v>
      </c>
      <c r="P109" s="53">
        <f t="shared" si="22"/>
        <v>0</v>
      </c>
    </row>
    <row r="110" spans="1:16" x14ac:dyDescent="0.3">
      <c r="A110" s="188"/>
      <c r="B110" s="63">
        <v>12</v>
      </c>
      <c r="C110" s="64" t="s">
        <v>6549</v>
      </c>
      <c r="D110" s="49" cm="1">
        <f t="array" ref="D110">+SUM(IF(LEFT('EASI AFR Detail'!$F$5:$F$699,3)&amp;RIGHT('EASI AFR Detail'!$F$5:$F$699,5)&amp;LEFT('EASI AFR Detail'!$G$5:$G$699,4)&amp;RIGHT('EASI AFR Detail'!$J$5:$J$699,3)="sup0580)AccoER3",'EASI AFR Detail'!$O$5:$O$699))</f>
        <v>0</v>
      </c>
      <c r="E110" s="49" cm="1">
        <f t="array" ref="E110">+SUM(IF(LEFT('EASI AFR Detail'!$F$5:$F$699,3)&amp;RIGHT('EASI AFR Detail'!$F$5:$F$699,5)&amp;LEFT('EASI AFR Detail'!$G$5:$G$699,4)&amp;RIGHT('EASI AFR Detail'!$J$5:$J$699,3)="sup0580)ColoER3",'EASI AFR Detail'!$O$5:$O$699))</f>
        <v>0</v>
      </c>
      <c r="F110" s="49" cm="1">
        <f t="array" ref="F110">+SUM(IF(LEFT('EASI AFR Detail'!$F$5:$F$699,3)&amp;RIGHT('EASI AFR Detail'!$F$5:$F$699,5)&amp;LEFT('EASI AFR Detail'!$G$5:$G$699,4)&amp;RIGHT('EASI AFR Detail'!$J$5:$J$699,3)="sup0580)CONNER3",'EASI AFR Detail'!$O$5:$O$699))</f>
        <v>0</v>
      </c>
      <c r="G110" s="49" cm="1">
        <f t="array" ref="G110">+SUM(IF(LEFT('EASI AFR Detail'!$F$5:$F$699,3)&amp;RIGHT('EASI AFR Detail'!$F$5:$F$699,5)&amp;LEFT('EASI AFR Detail'!$G$5:$G$699,12)&amp;RIGHT('EASI AFR Detail'!$J$5:$J$699,3)="sup0580)Diagnostic aER3",'EASI AFR Detail'!$O$5:$O$699))</f>
        <v>0</v>
      </c>
      <c r="H110" s="49" cm="1">
        <f t="array" ref="H110">+SUM(IF(LEFT('EASI AFR Detail'!$F$5:$F$699,3)&amp;RIGHT('EASI AFR Detail'!$F$5:$F$699,5)&amp;LEFT('EASI AFR Detail'!$G$5:$G$699,10)&amp;RIGHT('EASI AFR Detail'!$J$5:$J$699,3)="sup0580)District DER3",'EASI AFR Detail'!$O$5:$O$699))</f>
        <v>0</v>
      </c>
      <c r="I110" s="49" cm="1">
        <f t="array" ref="I110">+SUM(IF(LEFT('EASI AFR Detail'!$F$5:$F$699,3)&amp;RIGHT('EASI AFR Detail'!$F$5:$F$699,5)&amp;LEFT('EASI AFR Detail'!$G$5:$G$699,10)&amp;RIGHT('EASI AFR Detail'!$J$5:$J$699,3)="sup0580)District SER3",'EASI AFR Detail'!$O$5:$O$699))</f>
        <v>0</v>
      </c>
      <c r="J110" s="49" cm="1">
        <f t="array" ref="J110">+SUM(IF(LEFT('EASI AFR Detail'!$F$5:$F$699,3)&amp;RIGHT('EASI AFR Detail'!$F$5:$F$699,5)&amp;LEFT('EASI AFR Detail'!$G$5:$G$699,4)&amp;RIGHT('EASI AFR Detail'!$J$5:$J$699,3)="sup0580)ExplER3",'EASI AFR Detail'!$O$5:$O$699))</f>
        <v>0</v>
      </c>
      <c r="K110" s="49" cm="1">
        <f t="array" ref="K110">+SUM(IF(LEFT('EASI AFR Detail'!$F$5:$F$699,3)&amp;RIGHT('EASI AFR Detail'!$F$5:$F$699,5)&amp;LEFT('EASI AFR Detail'!$G$5:$G$699,4)&amp;RIGHT('EASI AFR Detail'!$J$5:$J$699,3)="sup0580)FaciER3",'EASI AFR Detail'!$O$5:$O$699))</f>
        <v>0</v>
      </c>
      <c r="L110" s="49" cm="1">
        <f t="array" ref="L110">+SUM(IF(LEFT('EASI AFR Detail'!$F$5:$F$699,3)&amp;RIGHT('EASI AFR Detail'!$F$5:$F$699,5)&amp;LEFT('EASI AFR Detail'!$G$5:$G$699,4)&amp;RIGHT('EASI AFR Detail'!$J$5:$J$699,3)="sup0580)MTSSER3",'EASI AFR Detail'!$O$5:$O$699))</f>
        <v>0</v>
      </c>
      <c r="M110" s="49" cm="1">
        <f t="array" ref="M110">+SUM(IF(LEFT('EASI AFR Detail'!$F$5:$F$699,3)&amp;RIGHT('EASI AFR Detail'!$F$5:$F$699,5)&amp;LEFT('EASI AFR Detail'!$G$5:$G$699,4)&amp;RIGHT('EASI AFR Detail'!$J$5:$J$699,3)="sup0580)RigoER3",'EASI AFR Detail'!$O$5:$O$699))</f>
        <v>0</v>
      </c>
      <c r="N110" s="49" cm="1">
        <f t="array" ref="N110">+SUM(IF(LEFT('EASI AFR Detail'!$F$5:$F$699,3)&amp;RIGHT('EASI AFR Detail'!$F$5:$F$699,5)&amp;LEFT('EASI AFR Detail'!$G$5:$G$699,9)&amp;RIGHT('EASI AFR Detail'!$J$5:$J$699,3)="sup0580)School TrER3",'EASI AFR Detail'!$O$5:$O$699))</f>
        <v>0</v>
      </c>
      <c r="O110" s="49" cm="1">
        <f t="array" ref="O110">+SUM(IF(LEFT('EASI AFR Detail'!$F$5:$F$699,3)&amp;RIGHT('EASI AFR Detail'!$F$5:$F$699,5)&amp;LEFT('EASI AFR Detail'!$G$5:$G$699,9)&amp;RIGHT('EASI AFR Detail'!$J$5:$J$699,3)="sup0580)School TuER3",'EASI AFR Detail'!$O$5:$O$699))</f>
        <v>0</v>
      </c>
      <c r="P110" s="53">
        <f t="shared" si="22"/>
        <v>0</v>
      </c>
    </row>
    <row r="111" spans="1:16" x14ac:dyDescent="0.3">
      <c r="A111" s="188"/>
      <c r="B111" s="63">
        <v>13</v>
      </c>
      <c r="C111" s="64" t="s">
        <v>6550</v>
      </c>
      <c r="D111" s="49" cm="1">
        <f t="array" ref="D111">+SUM(IF(LEFT('EASI AFR Detail'!$F$5:$F$699,3)&amp;RIGHT('EASI AFR Detail'!$F$5:$F$699,5)&amp;LEFT('EASI AFR Detail'!$G$5:$G$699,4)&amp;RIGHT('EASI AFR Detail'!$J$5:$J$699,3)="sup0600)AccoER3",'EASI AFR Detail'!$O$5:$O$699))</f>
        <v>0</v>
      </c>
      <c r="E111" s="49" cm="1">
        <f t="array" ref="E111">+SUM(IF(LEFT('EASI AFR Detail'!$F$5:$F$699,3)&amp;RIGHT('EASI AFR Detail'!$F$5:$F$699,5)&amp;LEFT('EASI AFR Detail'!$G$5:$G$699,4)&amp;RIGHT('EASI AFR Detail'!$J$5:$J$699,3)="sup0600)ColoER3",'EASI AFR Detail'!$O$5:$O$699))</f>
        <v>0</v>
      </c>
      <c r="F111" s="49" cm="1">
        <f t="array" ref="F111">+SUM(IF(LEFT('EASI AFR Detail'!$F$5:$F$699,3)&amp;RIGHT('EASI AFR Detail'!$F$5:$F$699,5)&amp;LEFT('EASI AFR Detail'!$G$5:$G$699,4)&amp;RIGHT('EASI AFR Detail'!$J$5:$J$699,3)="sup0600)CONNER3",'EASI AFR Detail'!$O$5:$O$699))</f>
        <v>0</v>
      </c>
      <c r="G111" s="49" cm="1">
        <f t="array" ref="G111">+SUM(IF(LEFT('EASI AFR Detail'!$F$5:$F$699,3)&amp;RIGHT('EASI AFR Detail'!$F$5:$F$699,5)&amp;LEFT('EASI AFR Detail'!$G$5:$G$699,12)&amp;RIGHT('EASI AFR Detail'!$J$5:$J$699,3)="sup0600)Diagnostic aER3",'EASI AFR Detail'!$O$5:$O$699))</f>
        <v>0</v>
      </c>
      <c r="H111" s="49" cm="1">
        <f t="array" ref="H111">+SUM(IF(LEFT('EASI AFR Detail'!$F$5:$F$699,3)&amp;RIGHT('EASI AFR Detail'!$F$5:$F$699,5)&amp;LEFT('EASI AFR Detail'!$G$5:$G$699,10)&amp;RIGHT('EASI AFR Detail'!$J$5:$J$699,3)="sup0600)District DER3",'EASI AFR Detail'!$O$5:$O$699))</f>
        <v>0</v>
      </c>
      <c r="I111" s="49" cm="1">
        <f t="array" ref="I111">+SUM(IF(LEFT('EASI AFR Detail'!$F$5:$F$699,3)&amp;RIGHT('EASI AFR Detail'!$F$5:$F$699,5)&amp;LEFT('EASI AFR Detail'!$G$5:$G$699,10)&amp;RIGHT('EASI AFR Detail'!$J$5:$J$699,3)="sup0600)District SER3",'EASI AFR Detail'!$O$5:$O$699))</f>
        <v>0</v>
      </c>
      <c r="J111" s="49" cm="1">
        <f t="array" ref="J111">+SUM(IF(LEFT('EASI AFR Detail'!$F$5:$F$699,3)&amp;RIGHT('EASI AFR Detail'!$F$5:$F$699,5)&amp;LEFT('EASI AFR Detail'!$G$5:$G$699,4)&amp;RIGHT('EASI AFR Detail'!$J$5:$J$699,3)="sup0600)ExplER3",'EASI AFR Detail'!$O$5:$O$699))</f>
        <v>0</v>
      </c>
      <c r="K111" s="49" cm="1">
        <f t="array" ref="K111">+SUM(IF(LEFT('EASI AFR Detail'!$F$5:$F$699,3)&amp;RIGHT('EASI AFR Detail'!$F$5:$F$699,5)&amp;LEFT('EASI AFR Detail'!$G$5:$G$699,4)&amp;RIGHT('EASI AFR Detail'!$J$5:$J$699,3)="sup0600)FaciER3",'EASI AFR Detail'!$O$5:$O$699))</f>
        <v>0</v>
      </c>
      <c r="L111" s="49" cm="1">
        <f t="array" ref="L111">+SUM(IF(LEFT('EASI AFR Detail'!$F$5:$F$699,3)&amp;RIGHT('EASI AFR Detail'!$F$5:$F$699,5)&amp;LEFT('EASI AFR Detail'!$G$5:$G$699,4)&amp;RIGHT('EASI AFR Detail'!$J$5:$J$699,3)="sup0600)MTSSER3",'EASI AFR Detail'!$O$5:$O$699))</f>
        <v>0</v>
      </c>
      <c r="M111" s="49" cm="1">
        <f t="array" ref="M111">+SUM(IF(LEFT('EASI AFR Detail'!$F$5:$F$699,3)&amp;RIGHT('EASI AFR Detail'!$F$5:$F$699,5)&amp;LEFT('EASI AFR Detail'!$G$5:$G$699,4)&amp;RIGHT('EASI AFR Detail'!$J$5:$J$699,3)="sup0600)RigoER3",'EASI AFR Detail'!$O$5:$O$699))</f>
        <v>0</v>
      </c>
      <c r="N111" s="49" cm="1">
        <f t="array" ref="N111">+SUM(IF(LEFT('EASI AFR Detail'!$F$5:$F$699,3)&amp;RIGHT('EASI AFR Detail'!$F$5:$F$699,5)&amp;LEFT('EASI AFR Detail'!$G$5:$G$699,9)&amp;RIGHT('EASI AFR Detail'!$J$5:$J$699,3)="sup0600)School TrER3",'EASI AFR Detail'!$O$5:$O$699))</f>
        <v>0</v>
      </c>
      <c r="O111" s="49" cm="1">
        <f t="array" ref="O111">+SUM(IF(LEFT('EASI AFR Detail'!$F$5:$F$699,3)&amp;RIGHT('EASI AFR Detail'!$F$5:$F$699,5)&amp;LEFT('EASI AFR Detail'!$G$5:$G$699,9)&amp;RIGHT('EASI AFR Detail'!$J$5:$J$699,3)="sup0600)School TuER3",'EASI AFR Detail'!$O$5:$O$699))</f>
        <v>0</v>
      </c>
      <c r="P111" s="53">
        <f t="shared" si="22"/>
        <v>0</v>
      </c>
    </row>
    <row r="112" spans="1:16" x14ac:dyDescent="0.3">
      <c r="A112" s="188"/>
      <c r="B112" s="63">
        <v>14</v>
      </c>
      <c r="C112" s="65" t="s">
        <v>6553</v>
      </c>
      <c r="D112" s="49">
        <f>SUM(D106:D111)</f>
        <v>0</v>
      </c>
      <c r="E112" s="57">
        <f>SUM(E106:E111)</f>
        <v>0</v>
      </c>
      <c r="F112" s="57">
        <f t="shared" ref="F112:P112" si="23">SUM(F106:F111)</f>
        <v>0</v>
      </c>
      <c r="G112" s="57">
        <f t="shared" si="23"/>
        <v>0</v>
      </c>
      <c r="H112" s="57">
        <f t="shared" si="23"/>
        <v>0</v>
      </c>
      <c r="I112" s="57">
        <f>SUM(I106:I111)</f>
        <v>0</v>
      </c>
      <c r="J112" s="57">
        <f t="shared" si="23"/>
        <v>0</v>
      </c>
      <c r="K112" s="57">
        <f t="shared" si="23"/>
        <v>0</v>
      </c>
      <c r="L112" s="57">
        <f t="shared" si="23"/>
        <v>0</v>
      </c>
      <c r="M112" s="57">
        <f t="shared" si="23"/>
        <v>0</v>
      </c>
      <c r="N112" s="57">
        <f t="shared" si="23"/>
        <v>0</v>
      </c>
      <c r="O112" s="57">
        <f t="shared" si="23"/>
        <v>0</v>
      </c>
      <c r="P112" s="53">
        <f t="shared" si="23"/>
        <v>0</v>
      </c>
    </row>
    <row r="113" spans="1:17" x14ac:dyDescent="0.3">
      <c r="A113" s="188"/>
      <c r="B113" s="66"/>
      <c r="C113" s="67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9"/>
    </row>
    <row r="114" spans="1:17" x14ac:dyDescent="0.3">
      <c r="A114" s="188"/>
      <c r="B114" s="63">
        <v>15</v>
      </c>
      <c r="C114" s="64" t="s">
        <v>6554</v>
      </c>
      <c r="D114" s="39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1">
        <f>SUM(D114:O114)</f>
        <v>0</v>
      </c>
    </row>
    <row r="115" spans="1:17" x14ac:dyDescent="0.3">
      <c r="A115" s="188"/>
      <c r="B115" s="66"/>
      <c r="C115" s="70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9"/>
    </row>
    <row r="116" spans="1:17" ht="15" thickBot="1" x14ac:dyDescent="0.35">
      <c r="A116" s="189"/>
      <c r="B116" s="71">
        <v>16</v>
      </c>
      <c r="C116" s="72" t="s">
        <v>6517</v>
      </c>
      <c r="D116" s="73">
        <f>D103+D112+D114</f>
        <v>0</v>
      </c>
      <c r="E116" s="73">
        <f t="shared" ref="E116:O116" si="24">E103+E112+E114</f>
        <v>0</v>
      </c>
      <c r="F116" s="73">
        <f t="shared" si="24"/>
        <v>0</v>
      </c>
      <c r="G116" s="73">
        <f t="shared" si="24"/>
        <v>0</v>
      </c>
      <c r="H116" s="73">
        <f t="shared" si="24"/>
        <v>0</v>
      </c>
      <c r="I116" s="73">
        <f t="shared" si="24"/>
        <v>0</v>
      </c>
      <c r="J116" s="73">
        <f t="shared" si="24"/>
        <v>0</v>
      </c>
      <c r="K116" s="73">
        <f t="shared" si="24"/>
        <v>0</v>
      </c>
      <c r="L116" s="73">
        <f t="shared" si="24"/>
        <v>0</v>
      </c>
      <c r="M116" s="73">
        <f t="shared" si="24"/>
        <v>0</v>
      </c>
      <c r="N116" s="73">
        <f t="shared" si="24"/>
        <v>0</v>
      </c>
      <c r="O116" s="73">
        <f t="shared" si="24"/>
        <v>0</v>
      </c>
      <c r="P116" s="75">
        <f>P103+P112+P114</f>
        <v>0</v>
      </c>
    </row>
    <row r="117" spans="1:17" x14ac:dyDescent="0.3">
      <c r="C117" s="77"/>
    </row>
    <row r="118" spans="1:17" x14ac:dyDescent="0.3">
      <c r="C118" s="77"/>
    </row>
    <row r="119" spans="1:17" x14ac:dyDescent="0.3">
      <c r="C119" s="77"/>
    </row>
    <row r="120" spans="1:17" x14ac:dyDescent="0.3">
      <c r="C120" s="77"/>
    </row>
    <row r="121" spans="1:17" x14ac:dyDescent="0.3">
      <c r="C121" s="77"/>
    </row>
    <row r="122" spans="1:17" x14ac:dyDescent="0.3">
      <c r="C122" s="77"/>
    </row>
    <row r="123" spans="1:17" x14ac:dyDescent="0.3">
      <c r="C123" s="77"/>
    </row>
    <row r="124" spans="1:17" ht="15" thickBot="1" x14ac:dyDescent="0.35">
      <c r="C124" s="77"/>
    </row>
    <row r="125" spans="1:17" ht="15" thickBot="1" x14ac:dyDescent="0.35">
      <c r="B125" s="44">
        <v>17</v>
      </c>
      <c r="C125" s="78" t="s">
        <v>6555</v>
      </c>
      <c r="D125" s="79">
        <f>D48+D26+D71+D94</f>
        <v>0</v>
      </c>
      <c r="E125" s="79">
        <f t="shared" ref="E125:O125" si="25">E48+E26+E71+E94</f>
        <v>0</v>
      </c>
      <c r="F125" s="79">
        <f t="shared" si="25"/>
        <v>0</v>
      </c>
      <c r="G125" s="79">
        <f t="shared" si="25"/>
        <v>0</v>
      </c>
      <c r="H125" s="79">
        <f t="shared" si="25"/>
        <v>0</v>
      </c>
      <c r="I125" s="79">
        <f t="shared" si="25"/>
        <v>0</v>
      </c>
      <c r="J125" s="79">
        <f t="shared" si="25"/>
        <v>0</v>
      </c>
      <c r="K125" s="79">
        <f t="shared" si="25"/>
        <v>0</v>
      </c>
      <c r="L125" s="79">
        <f t="shared" si="25"/>
        <v>0</v>
      </c>
      <c r="M125" s="79">
        <f t="shared" si="25"/>
        <v>0</v>
      </c>
      <c r="N125" s="79">
        <f t="shared" si="25"/>
        <v>0</v>
      </c>
      <c r="O125" s="79">
        <f t="shared" si="25"/>
        <v>0</v>
      </c>
      <c r="P125" s="79">
        <f>P48+P26+P71+P94</f>
        <v>0</v>
      </c>
      <c r="Q125" s="80">
        <f>P125+'Annual Financial Report - State'!P103-'EASI AFR Detail'!O3</f>
        <v>0</v>
      </c>
    </row>
    <row r="126" spans="1:17" x14ac:dyDescent="0.3">
      <c r="P126" s="81"/>
    </row>
    <row r="127" spans="1:17" ht="15" thickBot="1" x14ac:dyDescent="0.35">
      <c r="C127" s="201"/>
      <c r="D127" s="201"/>
      <c r="E127" s="201"/>
      <c r="F127" s="201"/>
      <c r="P127" s="82"/>
    </row>
    <row r="128" spans="1:17" x14ac:dyDescent="0.3">
      <c r="C128" s="202" t="s">
        <v>6556</v>
      </c>
      <c r="D128" s="202"/>
      <c r="E128" s="202"/>
      <c r="F128" s="202"/>
      <c r="P128" s="82"/>
    </row>
    <row r="197" spans="12:14" x14ac:dyDescent="0.3">
      <c r="L197" s="83"/>
      <c r="M197" s="83"/>
      <c r="N197" s="83"/>
    </row>
  </sheetData>
  <sheetProtection algorithmName="SHA-512" hashValue="VQzreImzUj1Im4oPjquaq3mX5d/bbvNeFhiJmOe/GqlVftyHU54IRMithJZruwlN9b9PDs/ih7JtMzjUHbcCag==" saltValue="sQto+cWxeCx4hwC0PsMAAw==" spinCount="100000" sheet="1" objects="1" scenarios="1"/>
  <mergeCells count="22">
    <mergeCell ref="C127:F127"/>
    <mergeCell ref="C128:F128"/>
    <mergeCell ref="A74:A94"/>
    <mergeCell ref="B74:C74"/>
    <mergeCell ref="B83:C83"/>
    <mergeCell ref="A96:A116"/>
    <mergeCell ref="B96:C96"/>
    <mergeCell ref="B105:C105"/>
    <mergeCell ref="A28:A48"/>
    <mergeCell ref="B28:C28"/>
    <mergeCell ref="B37:C37"/>
    <mergeCell ref="A51:A71"/>
    <mergeCell ref="B51:C51"/>
    <mergeCell ref="B60:C60"/>
    <mergeCell ref="A6:A26"/>
    <mergeCell ref="B6:C6"/>
    <mergeCell ref="B15:C15"/>
    <mergeCell ref="A1:P1"/>
    <mergeCell ref="A2:P2"/>
    <mergeCell ref="A3:P3"/>
    <mergeCell ref="A4:P4"/>
    <mergeCell ref="B5:C5"/>
  </mergeCells>
  <dataValidations count="1">
    <dataValidation allowBlank="1" showInputMessage="1" showErrorMessage="1" prompt="Enter actual indirect cost expenditures in this cell." sqref="D92:P92 D114:P114 D69:P69 D24:P24 D46:P46" xr:uid="{DACEAF13-ED22-4ED6-BB98-010167BDEDF5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0A5ED-10D2-47DA-AA76-F2543CCA1F80}">
  <dimension ref="A1:Q175"/>
  <sheetViews>
    <sheetView topLeftCell="A77" zoomScale="80" zoomScaleNormal="80" workbookViewId="0">
      <selection activeCell="E77" sqref="E77"/>
    </sheetView>
  </sheetViews>
  <sheetFormatPr defaultColWidth="8.88671875" defaultRowHeight="14.4" x14ac:dyDescent="0.3"/>
  <cols>
    <col min="1" max="1" width="16.88671875" style="42" customWidth="1"/>
    <col min="2" max="2" width="2.88671875" style="42" bestFit="1" customWidth="1"/>
    <col min="3" max="3" width="47.88671875" style="42" customWidth="1"/>
    <col min="4" max="4" width="85.109375" style="42" customWidth="1"/>
    <col min="5" max="5" width="85" style="42" customWidth="1"/>
    <col min="6" max="6" width="85.44140625" style="42" customWidth="1"/>
    <col min="7" max="7" width="85.109375" style="42" customWidth="1"/>
    <col min="8" max="8" width="85" style="42" customWidth="1"/>
    <col min="9" max="11" width="85.109375" style="42" customWidth="1"/>
    <col min="12" max="14" width="85.44140625" style="42" customWidth="1"/>
    <col min="15" max="15" width="85.109375" style="42" customWidth="1"/>
    <col min="16" max="16" width="24.109375" style="42" customWidth="1"/>
    <col min="17" max="17" width="12" style="43" customWidth="1"/>
    <col min="18" max="16384" width="8.88671875" style="43"/>
  </cols>
  <sheetData>
    <row r="1" spans="1:16" ht="15" thickBot="1" x14ac:dyDescent="0.35">
      <c r="A1" s="191" t="str">
        <f>'[1]AFR Expenditure Detail'!A1:H1</f>
        <v xml:space="preserve">ESSA Application for School Improvement (EASI) 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3"/>
    </row>
    <row r="2" spans="1:16" ht="15" thickBot="1" x14ac:dyDescent="0.35">
      <c r="A2" s="194" t="s">
        <v>6541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6"/>
    </row>
    <row r="3" spans="1:16" ht="15" thickBot="1" x14ac:dyDescent="0.35">
      <c r="A3" s="197">
        <f>'Cover Page'!C5</f>
        <v>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6"/>
    </row>
    <row r="4" spans="1:16" ht="15" thickBot="1" x14ac:dyDescent="0.35">
      <c r="A4" s="198">
        <f>'Cover Page'!C10</f>
        <v>0</v>
      </c>
      <c r="B4" s="199"/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00"/>
    </row>
    <row r="5" spans="1:16" ht="15" thickBot="1" x14ac:dyDescent="0.35">
      <c r="A5" s="44"/>
      <c r="B5" s="196" t="s">
        <v>6542</v>
      </c>
      <c r="C5" s="190"/>
      <c r="D5" s="46" t="s">
        <v>6236</v>
      </c>
      <c r="E5" s="46" t="s">
        <v>6567</v>
      </c>
      <c r="F5" s="46" t="s">
        <v>6234</v>
      </c>
      <c r="G5" s="46" t="s">
        <v>6568</v>
      </c>
      <c r="H5" s="46" t="s">
        <v>6233</v>
      </c>
      <c r="I5" s="46" t="s">
        <v>6573</v>
      </c>
      <c r="J5" s="46" t="s">
        <v>6468</v>
      </c>
      <c r="K5" s="46" t="s">
        <v>6569</v>
      </c>
      <c r="L5" s="46" t="s">
        <v>6235</v>
      </c>
      <c r="M5" s="46" t="s">
        <v>6570</v>
      </c>
      <c r="N5" s="46" t="s">
        <v>6571</v>
      </c>
      <c r="O5" s="46" t="s">
        <v>6241</v>
      </c>
      <c r="P5" s="45" t="s">
        <v>6517</v>
      </c>
    </row>
    <row r="6" spans="1:16" ht="15" thickBot="1" x14ac:dyDescent="0.35">
      <c r="A6" s="187" t="s">
        <v>6582</v>
      </c>
      <c r="B6" s="190" t="s">
        <v>6543</v>
      </c>
      <c r="C6" s="190"/>
      <c r="D6" s="45" t="s">
        <v>6544</v>
      </c>
      <c r="E6" s="45" t="s">
        <v>6544</v>
      </c>
      <c r="F6" s="45" t="s">
        <v>6544</v>
      </c>
      <c r="G6" s="45" t="s">
        <v>6544</v>
      </c>
      <c r="H6" s="45" t="s">
        <v>6544</v>
      </c>
      <c r="I6" s="45" t="s">
        <v>6544</v>
      </c>
      <c r="J6" s="45" t="s">
        <v>6544</v>
      </c>
      <c r="K6" s="45" t="s">
        <v>6544</v>
      </c>
      <c r="L6" s="45" t="s">
        <v>6544</v>
      </c>
      <c r="M6" s="45" t="s">
        <v>6544</v>
      </c>
      <c r="N6" s="45" t="s">
        <v>6544</v>
      </c>
      <c r="O6" s="45" t="s">
        <v>6544</v>
      </c>
      <c r="P6" s="45" t="s">
        <v>6544</v>
      </c>
    </row>
    <row r="7" spans="1:16" x14ac:dyDescent="0.3">
      <c r="A7" s="188"/>
      <c r="B7" s="47">
        <v>1</v>
      </c>
      <c r="C7" s="48" t="s">
        <v>6545</v>
      </c>
      <c r="D7" s="49" cm="1">
        <f t="array" ref="D7">+SUM(IF(LEFT('EASI AFR Detail'!$F$5:$F$699,3)&amp;RIGHT('EASI AFR Detail'!$F$5:$F$699,5)&amp;LEFT('EASI AFR Detail'!$G$5:$G$699,4)&amp;RIGHT('EASI AFR Detail'!$J$5:$J$699,8)="ins0100)Acco4 (3227)",'EASI AFR Detail'!$O$5:$O$699))</f>
        <v>0</v>
      </c>
      <c r="E7" s="49" cm="1">
        <f t="array" ref="E7">+SUM(IF(LEFT('EASI AFR Detail'!$F$5:$F$699,3)&amp;RIGHT('EASI AFR Detail'!$F$5:$F$699,5)&amp;LEFT('EASI AFR Detail'!$G$5:$G$699,4)&amp;RIGHT('EASI AFR Detail'!$J$5:$J$699,8)="ins0100)Colo4 (3227)",'EASI AFR Detail'!$O$5:$O$699))</f>
        <v>0</v>
      </c>
      <c r="F7" s="49" cm="1">
        <f t="array" ref="F7">+SUM(IF(LEFT('EASI AFR Detail'!$F$5:$F$699,3)&amp;RIGHT('EASI AFR Detail'!$F$5:$F$699,5)&amp;LEFT('EASI AFR Detail'!$G$5:$G$699,4)&amp;RIGHT('EASI AFR Detail'!$J$5:$J$699,8)="ins0100)Conn4 (3227)",'EASI AFR Detail'!$O$5:$O$699))</f>
        <v>0</v>
      </c>
      <c r="G7" s="49" cm="1">
        <f t="array" ref="G7">+SUM(IF(LEFT('EASI AFR Detail'!$F$5:$F$699,3)&amp;RIGHT('EASI AFR Detail'!$F$5:$F$699,5)&amp;LEFT('EASI AFR Detail'!$G$5:$G$699,12)&amp;RIGHT('EASI AFR Detail'!$J$5:$J$699,8)="ins0100)Diagnostic a4 (3227)",'EASI AFR Detail'!$O$5:$O$699))</f>
        <v>0</v>
      </c>
      <c r="H7" s="49" cm="1">
        <f t="array" ref="H7">+SUM(IF(LEFT('EASI AFR Detail'!$F$5:$F$699,3)&amp;RIGHT('EASI AFR Detail'!$F$5:$F$699,5)&amp;LEFT('EASI AFR Detail'!$G$5:$G$699,10)&amp;RIGHT('EASI AFR Detail'!$J$5:$J$699,8)="ins0100)District D4 (3227)",'EASI AFR Detail'!$O$5:$O$699))</f>
        <v>0</v>
      </c>
      <c r="I7" s="49" cm="1">
        <f t="array" ref="I7">+SUM(IF(LEFT('EASI AFR Detail'!$F$5:$F$699,3)&amp;RIGHT('EASI AFR Detail'!$F$5:$F$699,5)&amp;LEFT('EASI AFR Detail'!$G$5:$G$699,10)&amp;RIGHT('EASI AFR Detail'!$J$5:$J$699,8)="ins0100)District S4 (3227)",'EASI AFR Detail'!$O$5:$O$699))</f>
        <v>0</v>
      </c>
      <c r="J7" s="49" cm="1">
        <f t="array" ref="J7">+SUM(IF(LEFT('EASI AFR Detail'!$F$5:$F$699,3)&amp;RIGHT('EASI AFR Detail'!$F$5:$F$699,5)&amp;LEFT('EASI AFR Detail'!$G$5:$G$699,4)&amp;RIGHT('EASI AFR Detail'!$J$5:$J$699,8)="ins0100)Expl4 (3227)",'EASI AFR Detail'!$O$5:$O$699))</f>
        <v>0</v>
      </c>
      <c r="K7" s="49" cm="1">
        <f t="array" ref="K7">+SUM(IF(LEFT('EASI AFR Detail'!$F$5:$F$699,3)&amp;RIGHT('EASI AFR Detail'!$F$5:$F$699,5)&amp;LEFT('EASI AFR Detail'!$G$5:$G$699,4)&amp;RIGHT('EASI AFR Detail'!$J$5:$J$699,8)="ins0100)Faci4 (3227)",'EASI AFR Detail'!$O$5:$O$699))</f>
        <v>0</v>
      </c>
      <c r="L7" s="49" cm="1">
        <f t="array" ref="L7">+SUM(IF(LEFT('EASI AFR Detail'!$F$5:$F$699,3)&amp;RIGHT('EASI AFR Detail'!$F$5:$F$699,5)&amp;LEFT('EASI AFR Detail'!$G$5:$G$699,4)&amp;RIGHT('EASI AFR Detail'!$J$5:$J$699,8)="ins0100)MTSS4 (3227)",'EASI AFR Detail'!$O$5:$O$699))</f>
        <v>0</v>
      </c>
      <c r="M7" s="49" cm="1">
        <f t="array" ref="M7">+SUM(IF(LEFT('EASI AFR Detail'!$F$5:$F$699,3)&amp;RIGHT('EASI AFR Detail'!$F$5:$F$699,5)&amp;LEFT('EASI AFR Detail'!$G$5:$G$699,4)&amp;RIGHT('EASI AFR Detail'!$J$5:$J$699,8)="ins0100)Rigo4 (3227)",'EASI AFR Detail'!$O$5:$O$699))</f>
        <v>0</v>
      </c>
      <c r="N7" s="49" cm="1">
        <f t="array" ref="N7">+SUM(IF(LEFT('EASI AFR Detail'!$F$5:$F$699,3)&amp;RIGHT('EASI AFR Detail'!$F$5:$F$699,5)&amp;LEFT('EASI AFR Detail'!$G$5:$G$699,9)&amp;RIGHT('EASI AFR Detail'!$J$5:$J$699,8)="ins0100)School Tr4 (3227)",'EASI AFR Detail'!$O$5:$O$699))</f>
        <v>0</v>
      </c>
      <c r="O7" s="49" cm="1">
        <f t="array" ref="O7">+SUM(IF(LEFT('EASI AFR Detail'!$F$5:$F$699,3)&amp;RIGHT('EASI AFR Detail'!$F$5:$F$699,5)&amp;LEFT('EASI AFR Detail'!$G$5:$G$699,9)&amp;RIGHT('EASI AFR Detail'!$J$5:$J$699,8)="ins0100)School Tu4 (3227)",'EASI AFR Detail'!$O$5:$O$699))</f>
        <v>0</v>
      </c>
      <c r="P7" s="50">
        <f t="shared" ref="P7:P12" si="0">SUM(D7:O7)</f>
        <v>0</v>
      </c>
    </row>
    <row r="8" spans="1:16" x14ac:dyDescent="0.3">
      <c r="A8" s="188"/>
      <c r="B8" s="51">
        <v>2</v>
      </c>
      <c r="C8" s="52" t="s">
        <v>6546</v>
      </c>
      <c r="D8" s="49">
        <f t="array" ref="D8">+SUM(IF(LEFT('EASI AFR Detail'!$F$5:$F$699,3)&amp;RIGHT('EASI AFR Detail'!$F$5:$F$699,5)&amp;LEFT('EASI AFR Detail'!$G$5:$G$699,4)&amp;RIGHT('EASI AFR Detail'!$J$5:$J$699,8)="ins0200)Acco4 (3227)",'EASI AFR Detail'!$O$5:$O$699))</f>
        <v>0</v>
      </c>
      <c r="E8" s="49" cm="1">
        <f t="array" ref="E8">+SUM(IF(LEFT('EASI AFR Detail'!$F$5:$F$699,3)&amp;RIGHT('EASI AFR Detail'!$F$5:$F$699,5)&amp;LEFT('EASI AFR Detail'!$G$5:$G$699,4)&amp;RIGHT('EASI AFR Detail'!$J$5:$J$699,8)="ins0200)Colo4 (3227)",'EASI AFR Detail'!$O$5:$O$699))</f>
        <v>0</v>
      </c>
      <c r="F8" s="49">
        <f t="array" ref="F8">+SUM(IF(LEFT('EASI AFR Detail'!$F$5:$F$699,3)&amp;RIGHT('EASI AFR Detail'!$F$5:$F$699,5)&amp;LEFT('EASI AFR Detail'!$G$5:$G$699,4)&amp;RIGHT('EASI AFR Detail'!$J$5:$J$699,8)="ins0200)Conn4 (3227)",'EASI AFR Detail'!$O$5:$O$699))</f>
        <v>0</v>
      </c>
      <c r="G8" s="49">
        <f t="array" ref="G8">+SUM(IF(LEFT('EASI AFR Detail'!$F$5:$F$699,3)&amp;RIGHT('EASI AFR Detail'!$F$5:$F$699,5)&amp;LEFT('EASI AFR Detail'!$G$5:$G$699,12)&amp;RIGHT('EASI AFR Detail'!$J$5:$J$699,8)="ins0200)Diagnostic a4 (3227)",'EASI AFR Detail'!$O$5:$O$699))</f>
        <v>0</v>
      </c>
      <c r="H8" s="49">
        <f t="array" ref="H8">+SUM(IF(LEFT('EASI AFR Detail'!$F$5:$F$699,3)&amp;RIGHT('EASI AFR Detail'!$F$5:$F$699,5)&amp;LEFT('EASI AFR Detail'!$G$5:$G$699,10)&amp;RIGHT('EASI AFR Detail'!$J$5:$J$699,8)="ins0200)District D4 (3227)",'EASI AFR Detail'!$O$5:$O$699))</f>
        <v>0</v>
      </c>
      <c r="I8" s="49">
        <f t="array" ref="I8">+SUM(IF(LEFT('EASI AFR Detail'!$F$5:$F$699,3)&amp;RIGHT('EASI AFR Detail'!$F$5:$F$699,5)&amp;LEFT('EASI AFR Detail'!$G$5:$G$699,10)&amp;RIGHT('EASI AFR Detail'!$J$5:$J$699,8)="ins0200)District S4 (3227)",'EASI AFR Detail'!$O$5:$O$699))</f>
        <v>0</v>
      </c>
      <c r="J8" s="49">
        <f t="array" ref="J8">+SUM(IF(LEFT('EASI AFR Detail'!$F$5:$F$699,3)&amp;RIGHT('EASI AFR Detail'!$F$5:$F$699,5)&amp;LEFT('EASI AFR Detail'!$G$5:$G$699,4)&amp;RIGHT('EASI AFR Detail'!$J$5:$J$699,8)="ins0200)Expl4 (3227)",'EASI AFR Detail'!$O$5:$O$699))</f>
        <v>0</v>
      </c>
      <c r="K8" s="49">
        <f t="array" ref="K8">+SUM(IF(LEFT('EASI AFR Detail'!$F$5:$F$699,3)&amp;RIGHT('EASI AFR Detail'!$F$5:$F$699,5)&amp;LEFT('EASI AFR Detail'!$G$5:$G$699,4)&amp;RIGHT('EASI AFR Detail'!$J$5:$J$699,8)="ins0200)Faci4 (3227)",'EASI AFR Detail'!$O$5:$O$699))</f>
        <v>0</v>
      </c>
      <c r="L8" s="49">
        <f t="array" ref="L8">+SUM(IF(LEFT('EASI AFR Detail'!$F$5:$F$699,3)&amp;RIGHT('EASI AFR Detail'!$F$5:$F$699,5)&amp;LEFT('EASI AFR Detail'!$G$5:$G$699,4)&amp;RIGHT('EASI AFR Detail'!$J$5:$J$699,8)="ins0200)MTSS4 (3227)",'EASI AFR Detail'!$O$5:$O$699))</f>
        <v>0</v>
      </c>
      <c r="M8" s="49">
        <f t="array" ref="M8">+SUM(IF(LEFT('EASI AFR Detail'!$F$5:$F$699,3)&amp;RIGHT('EASI AFR Detail'!$F$5:$F$699,5)&amp;LEFT('EASI AFR Detail'!$G$5:$G$699,4)&amp;RIGHT('EASI AFR Detail'!$J$5:$J$699,8)="ins0200)Rigo4 (3227)",'EASI AFR Detail'!$O$5:$O$699))</f>
        <v>0</v>
      </c>
      <c r="N8" s="49">
        <f t="array" ref="N8">+SUM(IF(LEFT('EASI AFR Detail'!$F$5:$F$699,3)&amp;RIGHT('EASI AFR Detail'!$F$5:$F$699,5)&amp;LEFT('EASI AFR Detail'!$G$5:$G$699,9)&amp;RIGHT('EASI AFR Detail'!$J$5:$J$699,8)="ins0200)School Tr4 (3227)",'EASI AFR Detail'!$O$5:$O$699))</f>
        <v>0</v>
      </c>
      <c r="O8" s="49">
        <f t="array" ref="O8">+SUM(IF(LEFT('EASI AFR Detail'!$F$5:$F$699,3)&amp;RIGHT('EASI AFR Detail'!$F$5:$F$699,5)&amp;LEFT('EASI AFR Detail'!$G$5:$G$699,9)&amp;RIGHT('EASI AFR Detail'!$J$5:$J$699,8)="ins0200)School Tu4 (3227)",'EASI AFR Detail'!$O$5:$O$699))</f>
        <v>0</v>
      </c>
      <c r="P8" s="53">
        <f t="shared" si="0"/>
        <v>0</v>
      </c>
    </row>
    <row r="9" spans="1:16" x14ac:dyDescent="0.3">
      <c r="A9" s="188"/>
      <c r="B9" s="51">
        <v>3</v>
      </c>
      <c r="C9" s="52" t="s">
        <v>6547</v>
      </c>
      <c r="D9" s="49">
        <f t="array" ref="D9">+SUM(IF(LEFT('EASI AFR Detail'!$F$5:$F$699,3)&amp;RIGHT('EASI AFR Detail'!$F$5:$F$699,5)&amp;LEFT('EASI AFR Detail'!$G$5:$G$699,4)&amp;RIGHT('EASI AFR Detail'!$J$5:$J$699,8)="ins0300)Acco4 (3227)",'EASI AFR Detail'!$O$5:$O$699))</f>
        <v>0</v>
      </c>
      <c r="E9" s="49" cm="1">
        <f t="array" ref="E9">+SUM(IF(LEFT('EASI AFR Detail'!$F$5:$F$699,3)&amp;RIGHT('EASI AFR Detail'!$F$5:$F$699,5)&amp;LEFT('EASI AFR Detail'!$G$5:$G$699,4)&amp;RIGHT('EASI AFR Detail'!$J$5:$J$699,8)="ins0300)Colo4 (3227)",'EASI AFR Detail'!$O$5:$O$699))</f>
        <v>0</v>
      </c>
      <c r="F9" s="49">
        <f t="array" ref="F9">+SUM(IF(LEFT('EASI AFR Detail'!$F$5:$F$699,3)&amp;RIGHT('EASI AFR Detail'!$F$5:$F$699,5)&amp;LEFT('EASI AFR Detail'!$G$5:$G$699,4)&amp;RIGHT('EASI AFR Detail'!$J$5:$J$699,8)="ins0300)Conn4 (3227)",'EASI AFR Detail'!$O$5:$O$699))</f>
        <v>0</v>
      </c>
      <c r="G9" s="49">
        <f t="array" ref="G9">+SUM(IF(LEFT('EASI AFR Detail'!$F$5:$F$699,3)&amp;RIGHT('EASI AFR Detail'!$F$5:$F$699,5)&amp;LEFT('EASI AFR Detail'!$G$5:$G$699,12)&amp;RIGHT('EASI AFR Detail'!$J$5:$J$699,8)="ins0300)Diagnostic a4 (3227)",'EASI AFR Detail'!$O$5:$O$699))</f>
        <v>0</v>
      </c>
      <c r="H9" s="49">
        <f t="array" ref="H9">+SUM(IF(LEFT('EASI AFR Detail'!$F$5:$F$699,3)&amp;RIGHT('EASI AFR Detail'!$F$5:$F$699,5)&amp;LEFT('EASI AFR Detail'!$G$5:$G$699,10)&amp;RIGHT('EASI AFR Detail'!$J$5:$J$699,8)="ins0300)District D4 (3227)",'EASI AFR Detail'!$O$5:$O$699))</f>
        <v>0</v>
      </c>
      <c r="I9" s="49">
        <f t="array" ref="I9">+SUM(IF(LEFT('EASI AFR Detail'!$F$5:$F$699,3)&amp;RIGHT('EASI AFR Detail'!$F$5:$F$699,5)&amp;LEFT('EASI AFR Detail'!$G$5:$G$699,10)&amp;RIGHT('EASI AFR Detail'!$J$5:$J$699,8)="ins0300)District S4 (3227)",'EASI AFR Detail'!$O$5:$O$699))</f>
        <v>0</v>
      </c>
      <c r="J9" s="49">
        <f t="array" ref="J9">+SUM(IF(LEFT('EASI AFR Detail'!$F$5:$F$699,3)&amp;RIGHT('EASI AFR Detail'!$F$5:$F$699,5)&amp;LEFT('EASI AFR Detail'!$G$5:$G$699,4)&amp;RIGHT('EASI AFR Detail'!$J$5:$J$699,8)="ins0300)Expl4 (3227)",'EASI AFR Detail'!$O$5:$O$699))</f>
        <v>0</v>
      </c>
      <c r="K9" s="49">
        <f t="array" ref="K9">+SUM(IF(LEFT('EASI AFR Detail'!$F$5:$F$699,3)&amp;RIGHT('EASI AFR Detail'!$F$5:$F$699,5)&amp;LEFT('EASI AFR Detail'!$G$5:$G$699,4)&amp;RIGHT('EASI AFR Detail'!$J$5:$J$699,8)="ins0300)Faci4 (3227)",'EASI AFR Detail'!$O$5:$O$699))</f>
        <v>0</v>
      </c>
      <c r="L9" s="49">
        <f t="array" ref="L9">+SUM(IF(LEFT('EASI AFR Detail'!$F$5:$F$699,3)&amp;RIGHT('EASI AFR Detail'!$F$5:$F$699,5)&amp;LEFT('EASI AFR Detail'!$G$5:$G$699,4)&amp;RIGHT('EASI AFR Detail'!$J$5:$J$699,8)="ins0300)MTSS4 (3227)",'EASI AFR Detail'!$O$5:$O$699))</f>
        <v>0</v>
      </c>
      <c r="M9" s="49">
        <f t="array" ref="M9">+SUM(IF(LEFT('EASI AFR Detail'!$F$5:$F$699,3)&amp;RIGHT('EASI AFR Detail'!$F$5:$F$699,5)&amp;LEFT('EASI AFR Detail'!$G$5:$G$699,4)&amp;RIGHT('EASI AFR Detail'!$J$5:$J$699,8)="ins0300)Rigo4 (3227)",'EASI AFR Detail'!$O$5:$O$699))</f>
        <v>0</v>
      </c>
      <c r="N9" s="49">
        <f t="array" ref="N9">+SUM(IF(LEFT('EASI AFR Detail'!$F$5:$F$699,3)&amp;RIGHT('EASI AFR Detail'!$F$5:$F$699,5)&amp;LEFT('EASI AFR Detail'!$G$5:$G$699,9)&amp;RIGHT('EASI AFR Detail'!$J$5:$J$699,8)="ins0300)School Tr4 (3227)",'EASI AFR Detail'!$O$5:$O$699))</f>
        <v>0</v>
      </c>
      <c r="O9" s="49">
        <f t="array" ref="O9">+SUM(IF(LEFT('EASI AFR Detail'!$F$5:$F$699,3)&amp;RIGHT('EASI AFR Detail'!$F$5:$F$699,5)&amp;LEFT('EASI AFR Detail'!$G$5:$G$699,9)&amp;RIGHT('EASI AFR Detail'!$J$5:$J$699,8)="ins0300)School Tu4 (3227)",'EASI AFR Detail'!$O$5:$O$699))</f>
        <v>0</v>
      </c>
      <c r="P9" s="53">
        <f t="shared" si="0"/>
        <v>0</v>
      </c>
    </row>
    <row r="10" spans="1:16" x14ac:dyDescent="0.3">
      <c r="A10" s="188"/>
      <c r="B10" s="51">
        <v>4</v>
      </c>
      <c r="C10" s="52" t="s">
        <v>6548</v>
      </c>
      <c r="D10" s="49">
        <f t="array" ref="D10">+SUM(IF(LEFT('EASI AFR Detail'!$F$5:$F$699,3)&amp;RIGHT('EASI AFR Detail'!$F$5:$F$699,5)&amp;LEFT('EASI AFR Detail'!$G$5:$G$699,4)&amp;RIGHT('EASI AFR Detail'!$J$5:$J$699,8)="ins0500)Acco4 (3227)",'EASI AFR Detail'!$O$5:$O$699))</f>
        <v>0</v>
      </c>
      <c r="E10" s="49" cm="1">
        <f t="array" ref="E10">+SUM(IF(LEFT('EASI AFR Detail'!$F$5:$F$699,3)&amp;RIGHT('EASI AFR Detail'!$F$5:$F$699,5)&amp;LEFT('EASI AFR Detail'!$G$5:$G$699,4)&amp;RIGHT('EASI AFR Detail'!$J$5:$J$699,8)="ins0500)Colo4 (3227)",'EASI AFR Detail'!$O$5:$O$699))</f>
        <v>0</v>
      </c>
      <c r="F10" s="49">
        <f t="array" ref="F10">+SUM(IF(LEFT('EASI AFR Detail'!$F$5:$F$699,3)&amp;RIGHT('EASI AFR Detail'!$F$5:$F$699,5)&amp;LEFT('EASI AFR Detail'!$G$5:$G$699,4)&amp;RIGHT('EASI AFR Detail'!$J$5:$J$699,8)="ins0500)Conn4 (3227)",'EASI AFR Detail'!$O$5:$O$699))</f>
        <v>0</v>
      </c>
      <c r="G10" s="49">
        <f t="array" ref="G10">+SUM(IF(LEFT('EASI AFR Detail'!$F$5:$F$699,3)&amp;RIGHT('EASI AFR Detail'!$F$5:$F$699,5)&amp;LEFT('EASI AFR Detail'!$G$5:$G$699,12)&amp;RIGHT('EASI AFR Detail'!$J$5:$J$699,8)="ins0500)Diagnostic a4 (3227)",'EASI AFR Detail'!$O$5:$O$699))</f>
        <v>0</v>
      </c>
      <c r="H10" s="49">
        <f t="array" ref="H10">+SUM(IF(LEFT('EASI AFR Detail'!$F$5:$F$699,3)&amp;RIGHT('EASI AFR Detail'!$F$5:$F$699,5)&amp;LEFT('EASI AFR Detail'!$G$5:$G$699,10)&amp;RIGHT('EASI AFR Detail'!$J$5:$J$699,8)="ins0500)District D4 (3227)",'EASI AFR Detail'!$O$5:$O$699))</f>
        <v>0</v>
      </c>
      <c r="I10" s="49">
        <f t="array" ref="I10">+SUM(IF(LEFT('EASI AFR Detail'!$F$5:$F$699,3)&amp;RIGHT('EASI AFR Detail'!$F$5:$F$699,5)&amp;LEFT('EASI AFR Detail'!$G$5:$G$699,10)&amp;RIGHT('EASI AFR Detail'!$J$5:$J$699,8)="ins0500)District S4 (3227)",'EASI AFR Detail'!$O$5:$O$699))</f>
        <v>0</v>
      </c>
      <c r="J10" s="49">
        <f t="array" ref="J10">+SUM(IF(LEFT('EASI AFR Detail'!$F$5:$F$699,3)&amp;RIGHT('EASI AFR Detail'!$F$5:$F$699,5)&amp;LEFT('EASI AFR Detail'!$G$5:$G$699,4)&amp;RIGHT('EASI AFR Detail'!$J$5:$J$699,8)="ins0500)Expl4 (3227)",'EASI AFR Detail'!$O$5:$O$699))</f>
        <v>0</v>
      </c>
      <c r="K10" s="49">
        <f t="array" ref="K10">+SUM(IF(LEFT('EASI AFR Detail'!$F$5:$F$699,3)&amp;RIGHT('EASI AFR Detail'!$F$5:$F$699,5)&amp;LEFT('EASI AFR Detail'!$G$5:$G$699,4)&amp;RIGHT('EASI AFR Detail'!$J$5:$J$699,8)="ins0500)Faci4 (3227)",'EASI AFR Detail'!$O$5:$O$699))</f>
        <v>0</v>
      </c>
      <c r="L10" s="49">
        <f t="array" ref="L10">+SUM(IF(LEFT('EASI AFR Detail'!$F$5:$F$699,3)&amp;RIGHT('EASI AFR Detail'!$F$5:$F$699,5)&amp;LEFT('EASI AFR Detail'!$G$5:$G$699,4)&amp;RIGHT('EASI AFR Detail'!$J$5:$J$699,8)="ins0500)MTSS4 (3227)",'EASI AFR Detail'!$O$5:$O$699))</f>
        <v>0</v>
      </c>
      <c r="M10" s="49">
        <f t="array" ref="M10">+SUM(IF(LEFT('EASI AFR Detail'!$F$5:$F$699,3)&amp;RIGHT('EASI AFR Detail'!$F$5:$F$699,5)&amp;LEFT('EASI AFR Detail'!$G$5:$G$699,4)&amp;RIGHT('EASI AFR Detail'!$J$5:$J$699,8)="ins0500)Rigo4 (3227)",'EASI AFR Detail'!$O$5:$O$699))</f>
        <v>0</v>
      </c>
      <c r="N10" s="49">
        <f t="array" ref="N10">+SUM(IF(LEFT('EASI AFR Detail'!$F$5:$F$699,3)&amp;RIGHT('EASI AFR Detail'!$F$5:$F$699,5)&amp;LEFT('EASI AFR Detail'!$G$5:$G$699,9)&amp;RIGHT('EASI AFR Detail'!$J$5:$J$699,8)="ins0500)School Tr4 (3227)",'EASI AFR Detail'!$O$5:$O$699))</f>
        <v>0</v>
      </c>
      <c r="O10" s="49">
        <f t="array" ref="O10">+SUM(IF(LEFT('EASI AFR Detail'!$F$5:$F$699,3)&amp;RIGHT('EASI AFR Detail'!$F$5:$F$699,5)&amp;LEFT('EASI AFR Detail'!$G$5:$G$699,9)&amp;RIGHT('EASI AFR Detail'!$J$5:$J$699,8)="ins0500)School Tu4 (3227)",'EASI AFR Detail'!$O$5:$O$699))</f>
        <v>0</v>
      </c>
      <c r="P10" s="53">
        <f t="shared" si="0"/>
        <v>0</v>
      </c>
    </row>
    <row r="11" spans="1:16" x14ac:dyDescent="0.3">
      <c r="A11" s="188"/>
      <c r="B11" s="51">
        <v>5</v>
      </c>
      <c r="C11" s="52" t="s">
        <v>6549</v>
      </c>
      <c r="D11" s="49">
        <f t="array" ref="D11">+SUM(IF(LEFT('EASI AFR Detail'!$F$5:$F$699,3)&amp;RIGHT('EASI AFR Detail'!$F$5:$F$699,5)&amp;LEFT('EASI AFR Detail'!$G$5:$G$699,4)&amp;RIGHT('EASI AFR Detail'!$J$5:$J$699,8)="ins0580)Acco4 (3227)",'EASI AFR Detail'!$O$5:$O$699))</f>
        <v>0</v>
      </c>
      <c r="E11" s="49" cm="1">
        <f t="array" ref="E11">+SUM(IF(LEFT('EASI AFR Detail'!$F$5:$F$699,3)&amp;RIGHT('EASI AFR Detail'!$F$5:$F$699,5)&amp;LEFT('EASI AFR Detail'!$G$5:$G$699,4)&amp;RIGHT('EASI AFR Detail'!$J$5:$J$699,8)="ins0580)Colo4 (3227)",'EASI AFR Detail'!$O$5:$O$699))</f>
        <v>0</v>
      </c>
      <c r="F11" s="49">
        <f t="array" ref="F11">+SUM(IF(LEFT('EASI AFR Detail'!$F$5:$F$699,3)&amp;RIGHT('EASI AFR Detail'!$F$5:$F$699,5)&amp;LEFT('EASI AFR Detail'!$G$5:$G$699,4)&amp;RIGHT('EASI AFR Detail'!$J$5:$J$699,8)="ins0580)Conn4 (3227)",'EASI AFR Detail'!$O$5:$O$699))</f>
        <v>0</v>
      </c>
      <c r="G11" s="49">
        <f t="array" ref="G11">+SUM(IF(LEFT('EASI AFR Detail'!$F$5:$F$699,3)&amp;RIGHT('EASI AFR Detail'!$F$5:$F$699,5)&amp;LEFT('EASI AFR Detail'!$G$5:$G$699,12)&amp;RIGHT('EASI AFR Detail'!$J$5:$J$699,8)="ins0580)Diagnostic a4 (3227)",'EASI AFR Detail'!$O$5:$O$699))</f>
        <v>0</v>
      </c>
      <c r="H11" s="49">
        <f t="array" ref="H11">+SUM(IF(LEFT('EASI AFR Detail'!$F$5:$F$699,3)&amp;RIGHT('EASI AFR Detail'!$F$5:$F$699,5)&amp;LEFT('EASI AFR Detail'!$G$5:$G$699,10)&amp;RIGHT('EASI AFR Detail'!$J$5:$J$699,8)="ins0580)District D4 (3227)",'EASI AFR Detail'!$O$5:$O$699))</f>
        <v>0</v>
      </c>
      <c r="I11" s="49">
        <f t="array" ref="I11">+SUM(IF(LEFT('EASI AFR Detail'!$F$5:$F$699,3)&amp;RIGHT('EASI AFR Detail'!$F$5:$F$699,5)&amp;LEFT('EASI AFR Detail'!$G$5:$G$699,10)&amp;RIGHT('EASI AFR Detail'!$J$5:$J$699,8)="ins0580)District S4 (3227)",'EASI AFR Detail'!$O$5:$O$699))</f>
        <v>0</v>
      </c>
      <c r="J11" s="49">
        <f t="array" ref="J11">+SUM(IF(LEFT('EASI AFR Detail'!$F$5:$F$699,3)&amp;RIGHT('EASI AFR Detail'!$F$5:$F$699,5)&amp;LEFT('EASI AFR Detail'!$G$5:$G$699,4)&amp;RIGHT('EASI AFR Detail'!$J$5:$J$699,8)="ins0580)Expl4 (3227)",'EASI AFR Detail'!$O$5:$O$699))</f>
        <v>0</v>
      </c>
      <c r="K11" s="49">
        <f t="array" ref="K11">+SUM(IF(LEFT('EASI AFR Detail'!$F$5:$F$699,3)&amp;RIGHT('EASI AFR Detail'!$F$5:$F$699,5)&amp;LEFT('EASI AFR Detail'!$G$5:$G$699,4)&amp;RIGHT('EASI AFR Detail'!$J$5:$J$699,8)="ins0580)Faci4 (3227)",'EASI AFR Detail'!$O$5:$O$699))</f>
        <v>0</v>
      </c>
      <c r="L11" s="49">
        <f t="array" ref="L11">+SUM(IF(LEFT('EASI AFR Detail'!$F$5:$F$699,3)&amp;RIGHT('EASI AFR Detail'!$F$5:$F$699,5)&amp;LEFT('EASI AFR Detail'!$G$5:$G$699,4)&amp;RIGHT('EASI AFR Detail'!$J$5:$J$699,8)="ins0580)MTSS4 (3227)",'EASI AFR Detail'!$O$5:$O$699))</f>
        <v>0</v>
      </c>
      <c r="M11" s="49">
        <f t="array" ref="M11">+SUM(IF(LEFT('EASI AFR Detail'!$F$5:$F$699,3)&amp;RIGHT('EASI AFR Detail'!$F$5:$F$699,5)&amp;LEFT('EASI AFR Detail'!$G$5:$G$699,4)&amp;RIGHT('EASI AFR Detail'!$J$5:$J$699,8)="ins0580)Rigo4 (3227)",'EASI AFR Detail'!$O$5:$O$699))</f>
        <v>0</v>
      </c>
      <c r="N11" s="49">
        <f t="array" ref="N11">+SUM(IF(LEFT('EASI AFR Detail'!$F$5:$F$699,3)&amp;RIGHT('EASI AFR Detail'!$F$5:$F$699,5)&amp;LEFT('EASI AFR Detail'!$G$5:$G$699,9)&amp;RIGHT('EASI AFR Detail'!$J$5:$J$699,8)="ins0580)School Tr4 (3227)",'EASI AFR Detail'!$O$5:$O$699))</f>
        <v>0</v>
      </c>
      <c r="O11" s="49">
        <f t="array" ref="O11">+SUM(IF(LEFT('EASI AFR Detail'!$F$5:$F$699,3)&amp;RIGHT('EASI AFR Detail'!$F$5:$F$699,5)&amp;LEFT('EASI AFR Detail'!$G$5:$G$699,9)&amp;RIGHT('EASI AFR Detail'!$J$5:$J$699,8)="ins0580)School Tu4 (3227)",'EASI AFR Detail'!$O$5:$O$699))</f>
        <v>0</v>
      </c>
      <c r="P11" s="53">
        <f t="shared" si="0"/>
        <v>0</v>
      </c>
    </row>
    <row r="12" spans="1:16" x14ac:dyDescent="0.3">
      <c r="A12" s="188"/>
      <c r="B12" s="54">
        <v>6</v>
      </c>
      <c r="C12" s="55" t="s">
        <v>6550</v>
      </c>
      <c r="D12" s="49">
        <f t="array" ref="D12">+SUM(IF(LEFT('EASI AFR Detail'!$F$5:$F$699,3)&amp;RIGHT('EASI AFR Detail'!$F$5:$F$699,5)&amp;LEFT('EASI AFR Detail'!$G$5:$G$699,4)&amp;RIGHT('EASI AFR Detail'!$J$5:$J$699,8)="ins0600)Acco4 (3227)",'EASI AFR Detail'!$O$5:$O$699))</f>
        <v>0</v>
      </c>
      <c r="E12" s="49" cm="1">
        <f t="array" ref="E12">+SUM(IF(LEFT('EASI AFR Detail'!$F$5:$F$699,3)&amp;RIGHT('EASI AFR Detail'!$F$5:$F$699,5)&amp;LEFT('EASI AFR Detail'!$G$5:$G$699,4)&amp;RIGHT('EASI AFR Detail'!$J$5:$J$699,8)="ins0600)Colo4 (3227)",'EASI AFR Detail'!$O$5:$O$699))</f>
        <v>0</v>
      </c>
      <c r="F12" s="49">
        <f t="array" ref="F12">+SUM(IF(LEFT('EASI AFR Detail'!$F$5:$F$699,3)&amp;RIGHT('EASI AFR Detail'!$F$5:$F$699,5)&amp;LEFT('EASI AFR Detail'!$G$5:$G$699,4)&amp;RIGHT('EASI AFR Detail'!$J$5:$J$699,8)="ins0600)Conn4 (3227)",'EASI AFR Detail'!$O$5:$O$699))</f>
        <v>0</v>
      </c>
      <c r="G12" s="49">
        <f t="array" ref="G12">+SUM(IF(LEFT('EASI AFR Detail'!$F$5:$F$699,3)&amp;RIGHT('EASI AFR Detail'!$F$5:$F$699,5)&amp;LEFT('EASI AFR Detail'!$G$5:$G$699,12)&amp;RIGHT('EASI AFR Detail'!$J$5:$J$699,8)="ins0600)Diagnostic a4 (3227)",'EASI AFR Detail'!$O$5:$O$699))</f>
        <v>0</v>
      </c>
      <c r="H12" s="49">
        <f t="array" ref="H12">+SUM(IF(LEFT('EASI AFR Detail'!$F$5:$F$699,3)&amp;RIGHT('EASI AFR Detail'!$F$5:$F$699,5)&amp;LEFT('EASI AFR Detail'!$G$5:$G$699,10)&amp;RIGHT('EASI AFR Detail'!$J$5:$J$699,8)="ins0600)District D4 (3227)",'EASI AFR Detail'!$O$5:$O$699))</f>
        <v>0</v>
      </c>
      <c r="I12" s="49">
        <f t="array" ref="I12">+SUM(IF(LEFT('EASI AFR Detail'!$F$5:$F$699,3)&amp;RIGHT('EASI AFR Detail'!$F$5:$F$699,5)&amp;LEFT('EASI AFR Detail'!$G$5:$G$699,10)&amp;RIGHT('EASI AFR Detail'!$J$5:$J$699,8)="ins0600)District S4 (3227)",'EASI AFR Detail'!$O$5:$O$699))</f>
        <v>0</v>
      </c>
      <c r="J12" s="49">
        <f t="array" ref="J12">+SUM(IF(LEFT('EASI AFR Detail'!$F$5:$F$699,3)&amp;RIGHT('EASI AFR Detail'!$F$5:$F$699,5)&amp;LEFT('EASI AFR Detail'!$G$5:$G$699,4)&amp;RIGHT('EASI AFR Detail'!$J$5:$J$699,8)="ins0600)Expl4 (3227)",'EASI AFR Detail'!$O$5:$O$699))</f>
        <v>0</v>
      </c>
      <c r="K12" s="49">
        <f t="array" ref="K12">+SUM(IF(LEFT('EASI AFR Detail'!$F$5:$F$699,3)&amp;RIGHT('EASI AFR Detail'!$F$5:$F$699,5)&amp;LEFT('EASI AFR Detail'!$G$5:$G$699,4)&amp;RIGHT('EASI AFR Detail'!$J$5:$J$699,8)="ins0600)Faci4 (3227)",'EASI AFR Detail'!$O$5:$O$699))</f>
        <v>0</v>
      </c>
      <c r="L12" s="49">
        <f t="array" ref="L12">+SUM(IF(LEFT('EASI AFR Detail'!$F$5:$F$699,3)&amp;RIGHT('EASI AFR Detail'!$F$5:$F$699,5)&amp;LEFT('EASI AFR Detail'!$G$5:$G$699,4)&amp;RIGHT('EASI AFR Detail'!$J$5:$J$699,8)="ins0600)MTSS4 (3227)",'EASI AFR Detail'!$O$5:$O$699))</f>
        <v>0</v>
      </c>
      <c r="M12" s="49">
        <f t="array" ref="M12">+SUM(IF(LEFT('EASI AFR Detail'!$F$5:$F$699,3)&amp;RIGHT('EASI AFR Detail'!$F$5:$F$699,5)&amp;LEFT('EASI AFR Detail'!$G$5:$G$699,4)&amp;RIGHT('EASI AFR Detail'!$J$5:$J$699,8)="ins0600)Rigo4 (3227)",'EASI AFR Detail'!$O$5:$O$699))</f>
        <v>0</v>
      </c>
      <c r="N12" s="49">
        <f t="array" ref="N12">+SUM(IF(LEFT('EASI AFR Detail'!$F$5:$F$699,3)&amp;RIGHT('EASI AFR Detail'!$F$5:$F$699,5)&amp;LEFT('EASI AFR Detail'!$G$5:$G$699,9)&amp;RIGHT('EASI AFR Detail'!$J$5:$J$699,8)="ins0600)School Tr4 (3227)",'EASI AFR Detail'!$O$5:$O$699))</f>
        <v>0</v>
      </c>
      <c r="O12" s="49">
        <f t="array" ref="O12">+SUM(IF(LEFT('EASI AFR Detail'!$F$5:$F$699,3)&amp;RIGHT('EASI AFR Detail'!$F$5:$F$699,5)&amp;LEFT('EASI AFR Detail'!$G$5:$G$699,9)&amp;RIGHT('EASI AFR Detail'!$J$5:$J$699,8)="ins0600)School Tu4 (3227)",'EASI AFR Detail'!$O$5:$O$699))</f>
        <v>0</v>
      </c>
      <c r="P12" s="53">
        <f t="shared" si="0"/>
        <v>0</v>
      </c>
    </row>
    <row r="13" spans="1:16" ht="15" thickBot="1" x14ac:dyDescent="0.35">
      <c r="A13" s="188"/>
      <c r="B13" s="51">
        <v>7</v>
      </c>
      <c r="C13" s="56" t="s">
        <v>6551</v>
      </c>
      <c r="D13" s="49">
        <f>SUM(D7:D12)</f>
        <v>0</v>
      </c>
      <c r="E13" s="57">
        <f t="shared" ref="E13:P13" si="1">SUM(E7:E12)</f>
        <v>0</v>
      </c>
      <c r="F13" s="57">
        <f t="shared" si="1"/>
        <v>0</v>
      </c>
      <c r="G13" s="57">
        <f t="shared" si="1"/>
        <v>0</v>
      </c>
      <c r="H13" s="57">
        <f t="shared" si="1"/>
        <v>0</v>
      </c>
      <c r="I13" s="57">
        <f t="shared" si="1"/>
        <v>0</v>
      </c>
      <c r="J13" s="57">
        <f t="shared" si="1"/>
        <v>0</v>
      </c>
      <c r="K13" s="57">
        <f t="shared" si="1"/>
        <v>0</v>
      </c>
      <c r="L13" s="57">
        <f t="shared" si="1"/>
        <v>0</v>
      </c>
      <c r="M13" s="57">
        <f t="shared" si="1"/>
        <v>0</v>
      </c>
      <c r="N13" s="57">
        <f t="shared" si="1"/>
        <v>0</v>
      </c>
      <c r="O13" s="57">
        <f t="shared" si="1"/>
        <v>0</v>
      </c>
      <c r="P13" s="53">
        <f t="shared" si="1"/>
        <v>0</v>
      </c>
    </row>
    <row r="14" spans="1:16" ht="15" thickBot="1" x14ac:dyDescent="0.35">
      <c r="A14" s="188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</row>
    <row r="15" spans="1:16" ht="15" thickBot="1" x14ac:dyDescent="0.35">
      <c r="A15" s="188"/>
      <c r="B15" s="190" t="s">
        <v>6552</v>
      </c>
      <c r="C15" s="190"/>
      <c r="D15" s="45" t="s">
        <v>6544</v>
      </c>
      <c r="E15" s="45" t="s">
        <v>6544</v>
      </c>
      <c r="F15" s="45" t="s">
        <v>6544</v>
      </c>
      <c r="G15" s="45" t="s">
        <v>6544</v>
      </c>
      <c r="H15" s="45" t="s">
        <v>6544</v>
      </c>
      <c r="I15" s="45" t="s">
        <v>6544</v>
      </c>
      <c r="J15" s="45" t="s">
        <v>6544</v>
      </c>
      <c r="K15" s="45" t="s">
        <v>6544</v>
      </c>
      <c r="L15" s="45" t="s">
        <v>6544</v>
      </c>
      <c r="M15" s="45" t="s">
        <v>6544</v>
      </c>
      <c r="N15" s="45" t="s">
        <v>6544</v>
      </c>
      <c r="O15" s="45" t="s">
        <v>6544</v>
      </c>
      <c r="P15" s="45" t="s">
        <v>6544</v>
      </c>
    </row>
    <row r="16" spans="1:16" x14ac:dyDescent="0.3">
      <c r="A16" s="188"/>
      <c r="B16" s="61">
        <v>8</v>
      </c>
      <c r="C16" s="62" t="s">
        <v>6545</v>
      </c>
      <c r="D16" s="49">
        <f t="array" ref="D16">+SUM(IF(LEFT('EASI AFR Detail'!$F$5:$F$699,3)&amp;RIGHT('EASI AFR Detail'!$F$5:$F$699,5)&amp;LEFT('EASI AFR Detail'!$G$5:$G$699,4)&amp;RIGHT('EASI AFR Detail'!$J$5:$J$699,8)="sup0100)Acco4 (3227)",'EASI AFR Detail'!$O$5:$O$699))</f>
        <v>0</v>
      </c>
      <c r="E16" s="49" cm="1">
        <f t="array" ref="E16">+SUM(IF(LEFT('EASI AFR Detail'!$F$5:$F$699,3)&amp;RIGHT('EASI AFR Detail'!$F$5:$F$699,5)&amp;LEFT('EASI AFR Detail'!$G$5:$G$699,4)&amp;RIGHT('EASI AFR Detail'!$J$5:$J$699,8)="sup0100)Colo4 (3227)",'EASI AFR Detail'!$O$5:$O$699))</f>
        <v>0</v>
      </c>
      <c r="F16" s="49">
        <f t="array" ref="F16">+SUM(IF(LEFT('EASI AFR Detail'!$F$5:$F$699,3)&amp;RIGHT('EASI AFR Detail'!$F$5:$F$699,5)&amp;LEFT('EASI AFR Detail'!$G$5:$G$699,4)&amp;RIGHT('EASI AFR Detail'!$J$5:$J$699,8)="sup0100)Conn4 (3227)",'EASI AFR Detail'!$O$5:$O$699))</f>
        <v>0</v>
      </c>
      <c r="G16" s="49">
        <f t="array" ref="G16">+SUM(IF(LEFT('EASI AFR Detail'!$F$5:$F$699,3)&amp;RIGHT('EASI AFR Detail'!$F$5:$F$699,5)&amp;LEFT('EASI AFR Detail'!$G$5:$G$699,12)&amp;RIGHT('EASI AFR Detail'!$J$5:$J$699,8)="sup0100)Diagnostic a4 (3227)",'EASI AFR Detail'!$O$5:$O$699))</f>
        <v>0</v>
      </c>
      <c r="H16" s="49">
        <f t="array" ref="H16">+SUM(IF(LEFT('EASI AFR Detail'!$F$5:$F$699,3)&amp;RIGHT('EASI AFR Detail'!$F$5:$F$699,5)&amp;LEFT('EASI AFR Detail'!$G$5:$G$699,10)&amp;RIGHT('EASI AFR Detail'!$J$5:$J$699,8)="sup0100)District D4 (3227)",'EASI AFR Detail'!$O$5:$O$699))</f>
        <v>0</v>
      </c>
      <c r="I16" s="49">
        <f t="array" ref="I16">+SUM(IF(LEFT('EASI AFR Detail'!$F$5:$F$699,3)&amp;RIGHT('EASI AFR Detail'!$F$5:$F$699,5)&amp;LEFT('EASI AFR Detail'!$G$5:$G$699,10)&amp;RIGHT('EASI AFR Detail'!$J$5:$J$699,8)="sup0100)District S4 (3227)",'EASI AFR Detail'!$O$5:$O$699))</f>
        <v>0</v>
      </c>
      <c r="J16" s="49">
        <f t="array" ref="J16">+SUM(IF(LEFT('EASI AFR Detail'!$F$5:$F$699,3)&amp;RIGHT('EASI AFR Detail'!$F$5:$F$699,5)&amp;LEFT('EASI AFR Detail'!$G$5:$G$699,4)&amp;RIGHT('EASI AFR Detail'!$J$5:$J$699,8)="sup0100)Expl4 (3227)",'EASI AFR Detail'!$O$5:$O$699))</f>
        <v>0</v>
      </c>
      <c r="K16" s="49">
        <f t="array" ref="K16">+SUM(IF(LEFT('EASI AFR Detail'!$F$5:$F$699,3)&amp;RIGHT('EASI AFR Detail'!$F$5:$F$699,5)&amp;LEFT('EASI AFR Detail'!$G$5:$G$699,4)&amp;RIGHT('EASI AFR Detail'!$J$5:$J$699,8)="sup0100)Faci4 (3227)",'EASI AFR Detail'!$O$5:$O$699))</f>
        <v>0</v>
      </c>
      <c r="L16" s="49">
        <f t="array" ref="L16">+SUM(IF(LEFT('EASI AFR Detail'!$F$5:$F$699,3)&amp;RIGHT('EASI AFR Detail'!$F$5:$F$699,5)&amp;LEFT('EASI AFR Detail'!$G$5:$G$699,4)&amp;RIGHT('EASI AFR Detail'!$J$5:$J$699,8)="sup0100)MTSS4 (3227)",'EASI AFR Detail'!$O$5:$O$699))</f>
        <v>0</v>
      </c>
      <c r="M16" s="49">
        <f t="array" ref="M16">+SUM(IF(LEFT('EASI AFR Detail'!$F$5:$F$699,3)&amp;RIGHT('EASI AFR Detail'!$F$5:$F$699,5)&amp;LEFT('EASI AFR Detail'!$G$5:$G$699,4)&amp;RIGHT('EASI AFR Detail'!$J$5:$J$699,8)="sup0100)Rigo4 (3227)",'EASI AFR Detail'!$O$5:$O$699))</f>
        <v>0</v>
      </c>
      <c r="N16" s="49">
        <f t="array" ref="N16">+SUM(IF(LEFT('EASI AFR Detail'!$F$5:$F$699,3)&amp;RIGHT('EASI AFR Detail'!$F$5:$F$699,5)&amp;LEFT('EASI AFR Detail'!$G$5:$G$699,9)&amp;RIGHT('EASI AFR Detail'!$J$5:$J$699,8)="sup0100)School Tr4 (3227)",'EASI AFR Detail'!$O$5:$O$699))</f>
        <v>0</v>
      </c>
      <c r="O16" s="49">
        <f t="array" ref="O16">+SUM(IF(LEFT('EASI AFR Detail'!$F$5:$F$699,3)&amp;RIGHT('EASI AFR Detail'!$F$5:$F$699,5)&amp;LEFT('EASI AFR Detail'!$G$5:$G$699,9)&amp;RIGHT('EASI AFR Detail'!$J$5:$J$699,8)="sup0100)School Tu4 (3227)",'EASI AFR Detail'!$O$5:$O$699))</f>
        <v>0</v>
      </c>
      <c r="P16" s="50">
        <f t="shared" ref="P16:P21" si="2">SUM(D16:O16)</f>
        <v>0</v>
      </c>
    </row>
    <row r="17" spans="1:16" x14ac:dyDescent="0.3">
      <c r="A17" s="188"/>
      <c r="B17" s="63">
        <v>9</v>
      </c>
      <c r="C17" s="64" t="s">
        <v>6546</v>
      </c>
      <c r="D17" s="49">
        <f t="array" ref="D17">+SUM(IF(LEFT('EASI AFR Detail'!$F$5:$F$699,3)&amp;RIGHT('EASI AFR Detail'!$F$5:$F$699,5)&amp;LEFT('EASI AFR Detail'!$G$5:$G$699,4)&amp;RIGHT('EASI AFR Detail'!$J$5:$J$699,8)="sup0200)Acco4 (3227)",'EASI AFR Detail'!$O$5:$O$699))</f>
        <v>0</v>
      </c>
      <c r="E17" s="49" cm="1">
        <f t="array" ref="E17">+SUM(IF(LEFT('EASI AFR Detail'!$F$5:$F$699,3)&amp;RIGHT('EASI AFR Detail'!$F$5:$F$699,5)&amp;LEFT('EASI AFR Detail'!$G$5:$G$699,4)&amp;RIGHT('EASI AFR Detail'!$J$5:$J$699,8)="sup0200)Colo4 (3227)",'EASI AFR Detail'!$O$5:$O$699))</f>
        <v>0</v>
      </c>
      <c r="F17" s="49">
        <f t="array" ref="F17">+SUM(IF(LEFT('EASI AFR Detail'!$F$5:$F$699,3)&amp;RIGHT('EASI AFR Detail'!$F$5:$F$699,5)&amp;LEFT('EASI AFR Detail'!$G$5:$G$699,4)&amp;RIGHT('EASI AFR Detail'!$J$5:$J$699,8)="sup0200)Conn4 (3227)",'EASI AFR Detail'!$O$5:$O$699))</f>
        <v>0</v>
      </c>
      <c r="G17" s="49">
        <f t="array" ref="G17">+SUM(IF(LEFT('EASI AFR Detail'!$F$5:$F$699,3)&amp;RIGHT('EASI AFR Detail'!$F$5:$F$699,5)&amp;LEFT('EASI AFR Detail'!$G$5:$G$699,12)&amp;RIGHT('EASI AFR Detail'!$J$5:$J$699,8)="sup0200)Diagnostic a4 (3227)",'EASI AFR Detail'!$O$5:$O$699))</f>
        <v>0</v>
      </c>
      <c r="H17" s="49">
        <f t="array" ref="H17">+SUM(IF(LEFT('EASI AFR Detail'!$F$5:$F$699,3)&amp;RIGHT('EASI AFR Detail'!$F$5:$F$699,5)&amp;LEFT('EASI AFR Detail'!$G$5:$G$699,10)&amp;RIGHT('EASI AFR Detail'!$J$5:$J$699,8)="sup0200)District D4 (3227)",'EASI AFR Detail'!$O$5:$O$699))</f>
        <v>0</v>
      </c>
      <c r="I17" s="49">
        <f t="array" ref="I17">+SUM(IF(LEFT('EASI AFR Detail'!$F$5:$F$699,3)&amp;RIGHT('EASI AFR Detail'!$F$5:$F$699,5)&amp;LEFT('EASI AFR Detail'!$G$5:$G$699,10)&amp;RIGHT('EASI AFR Detail'!$J$5:$J$699,8)="sup0200)District S4 (3227)",'EASI AFR Detail'!$O$5:$O$699))</f>
        <v>0</v>
      </c>
      <c r="J17" s="49">
        <f t="array" ref="J17">+SUM(IF(LEFT('EASI AFR Detail'!$F$5:$F$699,3)&amp;RIGHT('EASI AFR Detail'!$F$5:$F$699,5)&amp;LEFT('EASI AFR Detail'!$G$5:$G$699,4)&amp;RIGHT('EASI AFR Detail'!$J$5:$J$699,8)="sup0200)Expl4 (3227)",'EASI AFR Detail'!$O$5:$O$699))</f>
        <v>0</v>
      </c>
      <c r="K17" s="49">
        <f t="array" ref="K17">+SUM(IF(LEFT('EASI AFR Detail'!$F$5:$F$699,3)&amp;RIGHT('EASI AFR Detail'!$F$5:$F$699,5)&amp;LEFT('EASI AFR Detail'!$G$5:$G$699,4)&amp;RIGHT('EASI AFR Detail'!$J$5:$J$699,8)="sup0200)Faci4 (3227)",'EASI AFR Detail'!$O$5:$O$699))</f>
        <v>0</v>
      </c>
      <c r="L17" s="49">
        <f t="array" ref="L17">+SUM(IF(LEFT('EASI AFR Detail'!$F$5:$F$699,3)&amp;RIGHT('EASI AFR Detail'!$F$5:$F$699,5)&amp;LEFT('EASI AFR Detail'!$G$5:$G$699,4)&amp;RIGHT('EASI AFR Detail'!$J$5:$J$699,8)="sup0200)MTSS4 (3227)",'EASI AFR Detail'!$O$5:$O$699))</f>
        <v>0</v>
      </c>
      <c r="M17" s="49">
        <f t="array" ref="M17">+SUM(IF(LEFT('EASI AFR Detail'!$F$5:$F$699,3)&amp;RIGHT('EASI AFR Detail'!$F$5:$F$699,5)&amp;LEFT('EASI AFR Detail'!$G$5:$G$699,4)&amp;RIGHT('EASI AFR Detail'!$J$5:$J$699,8)="sup0200)Rigo4 (3227)",'EASI AFR Detail'!$O$5:$O$699))</f>
        <v>0</v>
      </c>
      <c r="N17" s="49">
        <f t="array" ref="N17">+SUM(IF(LEFT('EASI AFR Detail'!$F$5:$F$699,3)&amp;RIGHT('EASI AFR Detail'!$F$5:$F$699,5)&amp;LEFT('EASI AFR Detail'!$G$5:$G$699,9)&amp;RIGHT('EASI AFR Detail'!$J$5:$J$699,8)="sup0200)School Tr4 (3227)",'EASI AFR Detail'!$O$5:$O$699))</f>
        <v>0</v>
      </c>
      <c r="O17" s="49">
        <f t="array" ref="O17">+SUM(IF(LEFT('EASI AFR Detail'!$F$5:$F$699,3)&amp;RIGHT('EASI AFR Detail'!$F$5:$F$699,5)&amp;LEFT('EASI AFR Detail'!$G$5:$G$699,9)&amp;RIGHT('EASI AFR Detail'!$J$5:$J$699,8)="sup0200)School Tu4 (3227)",'EASI AFR Detail'!$O$5:$O$699))</f>
        <v>0</v>
      </c>
      <c r="P17" s="53">
        <f t="shared" si="2"/>
        <v>0</v>
      </c>
    </row>
    <row r="18" spans="1:16" x14ac:dyDescent="0.3">
      <c r="A18" s="188"/>
      <c r="B18" s="63">
        <v>10</v>
      </c>
      <c r="C18" s="64" t="s">
        <v>6547</v>
      </c>
      <c r="D18" s="49">
        <f t="array" ref="D18">+SUM(IF(LEFT('EASI AFR Detail'!$F$5:$F$699,3)&amp;RIGHT('EASI AFR Detail'!$F$5:$F$699,5)&amp;LEFT('EASI AFR Detail'!$G$5:$G$699,4)&amp;RIGHT('EASI AFR Detail'!$J$5:$J$699,8)="sup0300)Acco4 (3227)",'EASI AFR Detail'!$O$5:$O$699))</f>
        <v>0</v>
      </c>
      <c r="E18" s="49" cm="1">
        <f t="array" ref="E18">+SUM(IF(LEFT('EASI AFR Detail'!$F$5:$F$699,3)&amp;RIGHT('EASI AFR Detail'!$F$5:$F$699,5)&amp;LEFT('EASI AFR Detail'!$G$5:$G$699,4)&amp;RIGHT('EASI AFR Detail'!$J$5:$J$699,8)="sup0300)Colo4 (3227)",'EASI AFR Detail'!$O$5:$O$699))</f>
        <v>0</v>
      </c>
      <c r="F18" s="49">
        <f t="array" ref="F18">+SUM(IF(LEFT('EASI AFR Detail'!$F$5:$F$699,3)&amp;RIGHT('EASI AFR Detail'!$F$5:$F$699,5)&amp;LEFT('EASI AFR Detail'!$G$5:$G$699,4)&amp;RIGHT('EASI AFR Detail'!$J$5:$J$699,8)="sup0300)Conn4 (3227)",'EASI AFR Detail'!$O$5:$O$699))</f>
        <v>0</v>
      </c>
      <c r="G18" s="49">
        <f t="array" ref="G18">+SUM(IF(LEFT('EASI AFR Detail'!$F$5:$F$699,3)&amp;RIGHT('EASI AFR Detail'!$F$5:$F$699,5)&amp;LEFT('EASI AFR Detail'!$G$5:$G$699,12)&amp;RIGHT('EASI AFR Detail'!$J$5:$J$699,8)="sup0300)Diagnostic a4 (3227)",'EASI AFR Detail'!$O$5:$O$699))</f>
        <v>0</v>
      </c>
      <c r="H18" s="49">
        <f t="array" ref="H18">+SUM(IF(LEFT('EASI AFR Detail'!$F$5:$F$699,3)&amp;RIGHT('EASI AFR Detail'!$F$5:$F$699,5)&amp;LEFT('EASI AFR Detail'!$G$5:$G$699,10)&amp;RIGHT('EASI AFR Detail'!$J$5:$J$699,8)="sup0300)District D4 (3227)",'EASI AFR Detail'!$O$5:$O$699))</f>
        <v>0</v>
      </c>
      <c r="I18" s="49">
        <f t="array" ref="I18">+SUM(IF(LEFT('EASI AFR Detail'!$F$5:$F$699,3)&amp;RIGHT('EASI AFR Detail'!$F$5:$F$699,5)&amp;LEFT('EASI AFR Detail'!$G$5:$G$699,10)&amp;RIGHT('EASI AFR Detail'!$J$5:$J$699,8)="sup0300)District S4 (3227)",'EASI AFR Detail'!$O$5:$O$699))</f>
        <v>0</v>
      </c>
      <c r="J18" s="49">
        <f t="array" ref="J18">+SUM(IF(LEFT('EASI AFR Detail'!$F$5:$F$699,3)&amp;RIGHT('EASI AFR Detail'!$F$5:$F$699,5)&amp;LEFT('EASI AFR Detail'!$G$5:$G$699,4)&amp;RIGHT('EASI AFR Detail'!$J$5:$J$699,8)="sup0300)Expl4 (3227)",'EASI AFR Detail'!$O$5:$O$699))</f>
        <v>0</v>
      </c>
      <c r="K18" s="49">
        <f t="array" ref="K18">+SUM(IF(LEFT('EASI AFR Detail'!$F$5:$F$699,3)&amp;RIGHT('EASI AFR Detail'!$F$5:$F$699,5)&amp;LEFT('EASI AFR Detail'!$G$5:$G$699,4)&amp;RIGHT('EASI AFR Detail'!$J$5:$J$699,8)="sup0300)Faci4 (3227)",'EASI AFR Detail'!$O$5:$O$699))</f>
        <v>0</v>
      </c>
      <c r="L18" s="49">
        <f t="array" ref="L18">+SUM(IF(LEFT('EASI AFR Detail'!$F$5:$F$699,3)&amp;RIGHT('EASI AFR Detail'!$F$5:$F$699,5)&amp;LEFT('EASI AFR Detail'!$G$5:$G$699,4)&amp;RIGHT('EASI AFR Detail'!$J$5:$J$699,8)="sup0300)MTSS4 (3227)",'EASI AFR Detail'!$O$5:$O$699))</f>
        <v>0</v>
      </c>
      <c r="M18" s="49">
        <f t="array" ref="M18">+SUM(IF(LEFT('EASI AFR Detail'!$F$5:$F$699,3)&amp;RIGHT('EASI AFR Detail'!$F$5:$F$699,5)&amp;LEFT('EASI AFR Detail'!$G$5:$G$699,4)&amp;RIGHT('EASI AFR Detail'!$J$5:$J$699,8)="sup0300)Rigo4 (3227)",'EASI AFR Detail'!$O$5:$O$699))</f>
        <v>0</v>
      </c>
      <c r="N18" s="49">
        <f t="array" ref="N18">+SUM(IF(LEFT('EASI AFR Detail'!$F$5:$F$699,3)&amp;RIGHT('EASI AFR Detail'!$F$5:$F$699,5)&amp;LEFT('EASI AFR Detail'!$G$5:$G$699,9)&amp;RIGHT('EASI AFR Detail'!$J$5:$J$699,8)="sup0300)School Tr4 (3227)",'EASI AFR Detail'!$O$5:$O$699))</f>
        <v>0</v>
      </c>
      <c r="O18" s="49">
        <f t="array" ref="O18">+SUM(IF(LEFT('EASI AFR Detail'!$F$5:$F$699,3)&amp;RIGHT('EASI AFR Detail'!$F$5:$F$699,5)&amp;LEFT('EASI AFR Detail'!$G$5:$G$699,9)&amp;RIGHT('EASI AFR Detail'!$J$5:$J$699,8)="sup0300)School Tu4 (3227)",'EASI AFR Detail'!$O$5:$O$699))</f>
        <v>0</v>
      </c>
      <c r="P18" s="53">
        <f t="shared" si="2"/>
        <v>0</v>
      </c>
    </row>
    <row r="19" spans="1:16" x14ac:dyDescent="0.3">
      <c r="A19" s="188"/>
      <c r="B19" s="63">
        <v>11</v>
      </c>
      <c r="C19" s="64" t="s">
        <v>6548</v>
      </c>
      <c r="D19" s="49">
        <f t="array" ref="D19">+SUM(IF(LEFT('EASI AFR Detail'!$F$5:$F$699,3)&amp;RIGHT('EASI AFR Detail'!$F$5:$F$699,5)&amp;LEFT('EASI AFR Detail'!$G$5:$G$699,4)&amp;RIGHT('EASI AFR Detail'!$J$5:$J$699,8)="sup0500)Acco4 (3227)",'EASI AFR Detail'!$O$5:$O$699))</f>
        <v>0</v>
      </c>
      <c r="E19" s="49" cm="1">
        <f t="array" ref="E19">+SUM(IF(LEFT('EASI AFR Detail'!$F$5:$F$699,3)&amp;RIGHT('EASI AFR Detail'!$F$5:$F$699,5)&amp;LEFT('EASI AFR Detail'!$G$5:$G$699,4)&amp;RIGHT('EASI AFR Detail'!$J$5:$J$699,8)="sup0500)Colo4 (3227)",'EASI AFR Detail'!$O$5:$O$699))</f>
        <v>0</v>
      </c>
      <c r="F19" s="49">
        <f t="array" ref="F19">+SUM(IF(LEFT('EASI AFR Detail'!$F$5:$F$699,3)&amp;RIGHT('EASI AFR Detail'!$F$5:$F$699,5)&amp;LEFT('EASI AFR Detail'!$G$5:$G$699,4)&amp;RIGHT('EASI AFR Detail'!$J$5:$J$699,8)="sup0500)Conn4 (3227)",'EASI AFR Detail'!$O$5:$O$699))</f>
        <v>0</v>
      </c>
      <c r="G19" s="49">
        <f t="array" ref="G19">+SUM(IF(LEFT('EASI AFR Detail'!$F$5:$F$699,3)&amp;RIGHT('EASI AFR Detail'!$F$5:$F$699,5)&amp;LEFT('EASI AFR Detail'!$G$5:$G$699,12)&amp;RIGHT('EASI AFR Detail'!$J$5:$J$699,8)="sup0500)Diagnostic a4 (3227)",'EASI AFR Detail'!$O$5:$O$699))</f>
        <v>0</v>
      </c>
      <c r="H19" s="49">
        <f t="array" ref="H19">+SUM(IF(LEFT('EASI AFR Detail'!$F$5:$F$699,3)&amp;RIGHT('EASI AFR Detail'!$F$5:$F$699,5)&amp;LEFT('EASI AFR Detail'!$G$5:$G$699,10)&amp;RIGHT('EASI AFR Detail'!$J$5:$J$699,8)="sup0500)District D4 (3227)",'EASI AFR Detail'!$O$5:$O$699))</f>
        <v>0</v>
      </c>
      <c r="I19" s="49">
        <f t="array" ref="I19">+SUM(IF(LEFT('EASI AFR Detail'!$F$5:$F$699,3)&amp;RIGHT('EASI AFR Detail'!$F$5:$F$699,5)&amp;LEFT('EASI AFR Detail'!$G$5:$G$699,10)&amp;RIGHT('EASI AFR Detail'!$J$5:$J$699,8)="sup0500)District S4 (3227)",'EASI AFR Detail'!$O$5:$O$699))</f>
        <v>0</v>
      </c>
      <c r="J19" s="49">
        <f t="array" ref="J19">+SUM(IF(LEFT('EASI AFR Detail'!$F$5:$F$699,3)&amp;RIGHT('EASI AFR Detail'!$F$5:$F$699,5)&amp;LEFT('EASI AFR Detail'!$G$5:$G$699,4)&amp;RIGHT('EASI AFR Detail'!$J$5:$J$699,8)="sup0500)Expl4 (3227)",'EASI AFR Detail'!$O$5:$O$699))</f>
        <v>0</v>
      </c>
      <c r="K19" s="49">
        <f t="array" ref="K19">+SUM(IF(LEFT('EASI AFR Detail'!$F$5:$F$699,3)&amp;RIGHT('EASI AFR Detail'!$F$5:$F$699,5)&amp;LEFT('EASI AFR Detail'!$G$5:$G$699,4)&amp;RIGHT('EASI AFR Detail'!$J$5:$J$699,8)="sup0500)Faci4 (3227)",'EASI AFR Detail'!$O$5:$O$699))</f>
        <v>0</v>
      </c>
      <c r="L19" s="49">
        <f t="array" ref="L19">+SUM(IF(LEFT('EASI AFR Detail'!$F$5:$F$699,3)&amp;RIGHT('EASI AFR Detail'!$F$5:$F$699,5)&amp;LEFT('EASI AFR Detail'!$G$5:$G$699,4)&amp;RIGHT('EASI AFR Detail'!$J$5:$J$699,8)="sup0500)MTSS4 (3227)",'EASI AFR Detail'!$O$5:$O$699))</f>
        <v>0</v>
      </c>
      <c r="M19" s="49">
        <f t="array" ref="M19">+SUM(IF(LEFT('EASI AFR Detail'!$F$5:$F$699,3)&amp;RIGHT('EASI AFR Detail'!$F$5:$F$699,5)&amp;LEFT('EASI AFR Detail'!$G$5:$G$699,4)&amp;RIGHT('EASI AFR Detail'!$J$5:$J$699,8)="sup0500)Rigo4 (3227)",'EASI AFR Detail'!$O$5:$O$699))</f>
        <v>0</v>
      </c>
      <c r="N19" s="49">
        <f t="array" ref="N19">+SUM(IF(LEFT('EASI AFR Detail'!$F$5:$F$699,3)&amp;RIGHT('EASI AFR Detail'!$F$5:$F$699,5)&amp;LEFT('EASI AFR Detail'!$G$5:$G$699,9)&amp;RIGHT('EASI AFR Detail'!$J$5:$J$699,8)="sup0500)School Tr4 (3227)",'EASI AFR Detail'!$O$5:$O$699))</f>
        <v>0</v>
      </c>
      <c r="O19" s="49">
        <f t="array" ref="O19">+SUM(IF(LEFT('EASI AFR Detail'!$F$5:$F$699,3)&amp;RIGHT('EASI AFR Detail'!$F$5:$F$699,5)&amp;LEFT('EASI AFR Detail'!$G$5:$G$699,9)&amp;RIGHT('EASI AFR Detail'!$J$5:$J$699,8)="sup0500)School Tu4 (3227)",'EASI AFR Detail'!$O$5:$O$699))</f>
        <v>0</v>
      </c>
      <c r="P19" s="53">
        <f t="shared" si="2"/>
        <v>0</v>
      </c>
    </row>
    <row r="20" spans="1:16" x14ac:dyDescent="0.3">
      <c r="A20" s="188"/>
      <c r="B20" s="63">
        <v>12</v>
      </c>
      <c r="C20" s="64" t="s">
        <v>6549</v>
      </c>
      <c r="D20" s="49">
        <f t="array" ref="D20">+SUM(IF(LEFT('EASI AFR Detail'!$F$5:$F$699,3)&amp;RIGHT('EASI AFR Detail'!$F$5:$F$699,5)&amp;LEFT('EASI AFR Detail'!$G$5:$G$699,4)&amp;RIGHT('EASI AFR Detail'!$J$5:$J$699,8)="sup0580)Acco4 (3227)",'EASI AFR Detail'!$O$5:$O$699))</f>
        <v>0</v>
      </c>
      <c r="E20" s="49" cm="1">
        <f t="array" ref="E20">+SUM(IF(LEFT('EASI AFR Detail'!$F$5:$F$699,3)&amp;RIGHT('EASI AFR Detail'!$F$5:$F$699,5)&amp;LEFT('EASI AFR Detail'!$G$5:$G$699,4)&amp;RIGHT('EASI AFR Detail'!$J$5:$J$699,8)="sup0580)Colo4 (3227)",'EASI AFR Detail'!$O$5:$O$699))</f>
        <v>0</v>
      </c>
      <c r="F20" s="49">
        <f t="array" ref="F20">+SUM(IF(LEFT('EASI AFR Detail'!$F$5:$F$699,3)&amp;RIGHT('EASI AFR Detail'!$F$5:$F$699,5)&amp;LEFT('EASI AFR Detail'!$G$5:$G$699,4)&amp;RIGHT('EASI AFR Detail'!$J$5:$J$699,8)="sup0580)Conn4 (3227)",'EASI AFR Detail'!$O$5:$O$699))</f>
        <v>0</v>
      </c>
      <c r="G20" s="49">
        <f t="array" ref="G20">+SUM(IF(LEFT('EASI AFR Detail'!$F$5:$F$699,3)&amp;RIGHT('EASI AFR Detail'!$F$5:$F$699,5)&amp;LEFT('EASI AFR Detail'!$G$5:$G$699,12)&amp;RIGHT('EASI AFR Detail'!$J$5:$J$699,8)="sup0580)Diagnostic a4 (3227)",'EASI AFR Detail'!$O$5:$O$699))</f>
        <v>0</v>
      </c>
      <c r="H20" s="49">
        <f t="array" ref="H20">+SUM(IF(LEFT('EASI AFR Detail'!$F$5:$F$699,3)&amp;RIGHT('EASI AFR Detail'!$F$5:$F$699,5)&amp;LEFT('EASI AFR Detail'!$G$5:$G$699,10)&amp;RIGHT('EASI AFR Detail'!$J$5:$J$699,8)="sup0580)District D4 (3227)",'EASI AFR Detail'!$O$5:$O$699))</f>
        <v>0</v>
      </c>
      <c r="I20" s="49">
        <f t="array" ref="I20">+SUM(IF(LEFT('EASI AFR Detail'!$F$5:$F$699,3)&amp;RIGHT('EASI AFR Detail'!$F$5:$F$699,5)&amp;LEFT('EASI AFR Detail'!$G$5:$G$699,10)&amp;RIGHT('EASI AFR Detail'!$J$5:$J$699,8)="sup0580)District S4 (3227)",'EASI AFR Detail'!$O$5:$O$699))</f>
        <v>0</v>
      </c>
      <c r="J20" s="49">
        <f t="array" ref="J20">+SUM(IF(LEFT('EASI AFR Detail'!$F$5:$F$699,3)&amp;RIGHT('EASI AFR Detail'!$F$5:$F$699,5)&amp;LEFT('EASI AFR Detail'!$G$5:$G$699,4)&amp;RIGHT('EASI AFR Detail'!$J$5:$J$699,8)="sup0580)Expl4 (3227)",'EASI AFR Detail'!$O$5:$O$699))</f>
        <v>0</v>
      </c>
      <c r="K20" s="49">
        <f t="array" ref="K20">+SUM(IF(LEFT('EASI AFR Detail'!$F$5:$F$699,3)&amp;RIGHT('EASI AFR Detail'!$F$5:$F$699,5)&amp;LEFT('EASI AFR Detail'!$G$5:$G$699,4)&amp;RIGHT('EASI AFR Detail'!$J$5:$J$699,8)="sup0580)Faci4 (3227)",'EASI AFR Detail'!$O$5:$O$699))</f>
        <v>0</v>
      </c>
      <c r="L20" s="49">
        <f t="array" ref="L20">+SUM(IF(LEFT('EASI AFR Detail'!$F$5:$F$699,3)&amp;RIGHT('EASI AFR Detail'!$F$5:$F$699,5)&amp;LEFT('EASI AFR Detail'!$G$5:$G$699,4)&amp;RIGHT('EASI AFR Detail'!$J$5:$J$699,8)="sup0580)MTSS4 (3227)",'EASI AFR Detail'!$O$5:$O$699))</f>
        <v>0</v>
      </c>
      <c r="M20" s="49">
        <f t="array" ref="M20">+SUM(IF(LEFT('EASI AFR Detail'!$F$5:$F$699,3)&amp;RIGHT('EASI AFR Detail'!$F$5:$F$699,5)&amp;LEFT('EASI AFR Detail'!$G$5:$G$699,4)&amp;RIGHT('EASI AFR Detail'!$J$5:$J$699,8)="sup0580)Rigo4 (3227)",'EASI AFR Detail'!$O$5:$O$699))</f>
        <v>0</v>
      </c>
      <c r="N20" s="49">
        <f t="array" ref="N20">+SUM(IF(LEFT('EASI AFR Detail'!$F$5:$F$699,3)&amp;RIGHT('EASI AFR Detail'!$F$5:$F$699,5)&amp;LEFT('EASI AFR Detail'!$G$5:$G$699,9)&amp;RIGHT('EASI AFR Detail'!$J$5:$J$699,8)="sup0580)School Tr4 (3227)",'EASI AFR Detail'!$O$5:$O$699))</f>
        <v>0</v>
      </c>
      <c r="O20" s="49">
        <f t="array" ref="O20">+SUM(IF(LEFT('EASI AFR Detail'!$F$5:$F$699,3)&amp;RIGHT('EASI AFR Detail'!$F$5:$F$699,5)&amp;LEFT('EASI AFR Detail'!$G$5:$G$699,9)&amp;RIGHT('EASI AFR Detail'!$J$5:$J$699,8)="sup0580)School Tu4 (3227)",'EASI AFR Detail'!$O$5:$O$699))</f>
        <v>0</v>
      </c>
      <c r="P20" s="53">
        <f t="shared" si="2"/>
        <v>0</v>
      </c>
    </row>
    <row r="21" spans="1:16" x14ac:dyDescent="0.3">
      <c r="A21" s="188"/>
      <c r="B21" s="63">
        <v>13</v>
      </c>
      <c r="C21" s="64" t="s">
        <v>6550</v>
      </c>
      <c r="D21" s="49">
        <f t="array" ref="D21">+SUM(IF(LEFT('EASI AFR Detail'!$F$5:$F$699,3)&amp;RIGHT('EASI AFR Detail'!$F$5:$F$699,5)&amp;LEFT('EASI AFR Detail'!$G$5:$G$699,4)&amp;RIGHT('EASI AFR Detail'!$J$5:$J$699,8)="sup0600)Acco4 (3227)",'EASI AFR Detail'!$O$5:$O$699))</f>
        <v>0</v>
      </c>
      <c r="E21" s="49" cm="1">
        <f t="array" ref="E21">+SUM(IF(LEFT('EASI AFR Detail'!$F$5:$F$699,3)&amp;RIGHT('EASI AFR Detail'!$F$5:$F$699,5)&amp;LEFT('EASI AFR Detail'!$G$5:$G$699,4)&amp;RIGHT('EASI AFR Detail'!$J$5:$J$699,8)="sup0600)Colo4 (3227)",'EASI AFR Detail'!$O$5:$O$699))</f>
        <v>0</v>
      </c>
      <c r="F21" s="49">
        <f t="array" ref="F21">+SUM(IF(LEFT('EASI AFR Detail'!$F$5:$F$699,3)&amp;RIGHT('EASI AFR Detail'!$F$5:$F$699,5)&amp;LEFT('EASI AFR Detail'!$G$5:$G$699,4)&amp;RIGHT('EASI AFR Detail'!$J$5:$J$699,8)="sup0600)Conn4 (3227)",'EASI AFR Detail'!$O$5:$O$699))</f>
        <v>0</v>
      </c>
      <c r="G21" s="49">
        <f t="array" ref="G21">+SUM(IF(LEFT('EASI AFR Detail'!$F$5:$F$699,3)&amp;RIGHT('EASI AFR Detail'!$F$5:$F$699,5)&amp;LEFT('EASI AFR Detail'!$G$5:$G$699,12)&amp;RIGHT('EASI AFR Detail'!$J$5:$J$699,8)="sup0600)Diagnostic a4 (3227)",'EASI AFR Detail'!$O$5:$O$699))</f>
        <v>0</v>
      </c>
      <c r="H21" s="49">
        <f t="array" ref="H21">+SUM(IF(LEFT('EASI AFR Detail'!$F$5:$F$699,3)&amp;RIGHT('EASI AFR Detail'!$F$5:$F$699,5)&amp;LEFT('EASI AFR Detail'!$G$5:$G$699,10)&amp;RIGHT('EASI AFR Detail'!$J$5:$J$699,8)="sup0600)District D4 (3227)",'EASI AFR Detail'!$O$5:$O$699))</f>
        <v>0</v>
      </c>
      <c r="I21" s="49">
        <f t="array" ref="I21">+SUM(IF(LEFT('EASI AFR Detail'!$F$5:$F$699,3)&amp;RIGHT('EASI AFR Detail'!$F$5:$F$699,5)&amp;LEFT('EASI AFR Detail'!$G$5:$G$699,10)&amp;RIGHT('EASI AFR Detail'!$J$5:$J$699,8)="sup0600)District S4 (3227)",'EASI AFR Detail'!$O$5:$O$699))</f>
        <v>0</v>
      </c>
      <c r="J21" s="49">
        <f t="array" ref="J21">+SUM(IF(LEFT('EASI AFR Detail'!$F$5:$F$699,3)&amp;RIGHT('EASI AFR Detail'!$F$5:$F$699,5)&amp;LEFT('EASI AFR Detail'!$G$5:$G$699,4)&amp;RIGHT('EASI AFR Detail'!$J$5:$J$699,8)="sup0600)Expl4 (3227)",'EASI AFR Detail'!$O$5:$O$699))</f>
        <v>0</v>
      </c>
      <c r="K21" s="49">
        <f t="array" ref="K21">+SUM(IF(LEFT('EASI AFR Detail'!$F$5:$F$699,3)&amp;RIGHT('EASI AFR Detail'!$F$5:$F$699,5)&amp;LEFT('EASI AFR Detail'!$G$5:$G$699,4)&amp;RIGHT('EASI AFR Detail'!$J$5:$J$699,8)="sup0600)Faci4 (3227)",'EASI AFR Detail'!$O$5:$O$699))</f>
        <v>0</v>
      </c>
      <c r="L21" s="49">
        <f t="array" ref="L21">+SUM(IF(LEFT('EASI AFR Detail'!$F$5:$F$699,3)&amp;RIGHT('EASI AFR Detail'!$F$5:$F$699,5)&amp;LEFT('EASI AFR Detail'!$G$5:$G$699,4)&amp;RIGHT('EASI AFR Detail'!$J$5:$J$699,8)="sup0600)MTSS4 (3227)",'EASI AFR Detail'!$O$5:$O$699))</f>
        <v>0</v>
      </c>
      <c r="M21" s="49">
        <f t="array" ref="M21">+SUM(IF(LEFT('EASI AFR Detail'!$F$5:$F$699,3)&amp;RIGHT('EASI AFR Detail'!$F$5:$F$699,5)&amp;LEFT('EASI AFR Detail'!$G$5:$G$699,4)&amp;RIGHT('EASI AFR Detail'!$J$5:$J$699,8)="sup0600)Rigo4 (3227)",'EASI AFR Detail'!$O$5:$O$699))</f>
        <v>0</v>
      </c>
      <c r="N21" s="49">
        <f t="array" ref="N21">+SUM(IF(LEFT('EASI AFR Detail'!$F$5:$F$699,3)&amp;RIGHT('EASI AFR Detail'!$F$5:$F$699,5)&amp;LEFT('EASI AFR Detail'!$G$5:$G$699,9)&amp;RIGHT('EASI AFR Detail'!$J$5:$J$699,8)="sup0600)School Tr4 (3227)",'EASI AFR Detail'!$O$5:$O$699))</f>
        <v>0</v>
      </c>
      <c r="O21" s="49">
        <f t="array" ref="O21">+SUM(IF(LEFT('EASI AFR Detail'!$F$5:$F$699,3)&amp;RIGHT('EASI AFR Detail'!$F$5:$F$699,5)&amp;LEFT('EASI AFR Detail'!$G$5:$G$699,9)&amp;RIGHT('EASI AFR Detail'!$J$5:$J$699,8)="sup0600)School Tu4 (3227)",'EASI AFR Detail'!$O$5:$O$699))</f>
        <v>0</v>
      </c>
      <c r="P21" s="53">
        <f t="shared" si="2"/>
        <v>0</v>
      </c>
    </row>
    <row r="22" spans="1:16" x14ac:dyDescent="0.3">
      <c r="A22" s="188"/>
      <c r="B22" s="63">
        <v>14</v>
      </c>
      <c r="C22" s="65" t="s">
        <v>6553</v>
      </c>
      <c r="D22" s="49">
        <f>SUM(D16:D21)</f>
        <v>0</v>
      </c>
      <c r="E22" s="57">
        <f t="shared" ref="E22:P22" si="3">SUM(E16:E21)</f>
        <v>0</v>
      </c>
      <c r="F22" s="57">
        <f t="shared" si="3"/>
        <v>0</v>
      </c>
      <c r="G22" s="57">
        <f t="shared" si="3"/>
        <v>0</v>
      </c>
      <c r="H22" s="57">
        <f t="shared" si="3"/>
        <v>0</v>
      </c>
      <c r="I22" s="57">
        <f t="shared" si="3"/>
        <v>0</v>
      </c>
      <c r="J22" s="57">
        <f t="shared" si="3"/>
        <v>0</v>
      </c>
      <c r="K22" s="57">
        <f t="shared" si="3"/>
        <v>0</v>
      </c>
      <c r="L22" s="57">
        <f t="shared" si="3"/>
        <v>0</v>
      </c>
      <c r="M22" s="57">
        <f t="shared" si="3"/>
        <v>0</v>
      </c>
      <c r="N22" s="57">
        <f t="shared" si="3"/>
        <v>0</v>
      </c>
      <c r="O22" s="57">
        <f t="shared" si="3"/>
        <v>0</v>
      </c>
      <c r="P22" s="53">
        <f t="shared" si="3"/>
        <v>0</v>
      </c>
    </row>
    <row r="23" spans="1:16" x14ac:dyDescent="0.3">
      <c r="A23" s="188"/>
      <c r="B23" s="66"/>
      <c r="C23" s="67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9"/>
    </row>
    <row r="24" spans="1:16" x14ac:dyDescent="0.3">
      <c r="A24" s="188"/>
      <c r="B24" s="63">
        <v>15</v>
      </c>
      <c r="C24" s="64" t="s">
        <v>6554</v>
      </c>
      <c r="D24" s="39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>
        <f>SUM(D24:O24)</f>
        <v>0</v>
      </c>
    </row>
    <row r="25" spans="1:16" x14ac:dyDescent="0.3">
      <c r="A25" s="188"/>
      <c r="B25" s="66"/>
      <c r="C25" s="70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9"/>
    </row>
    <row r="26" spans="1:16" ht="15" thickBot="1" x14ac:dyDescent="0.35">
      <c r="A26" s="189"/>
      <c r="B26" s="71">
        <v>16</v>
      </c>
      <c r="C26" s="72" t="s">
        <v>6517</v>
      </c>
      <c r="D26" s="73">
        <f>D13+D22+D24</f>
        <v>0</v>
      </c>
      <c r="E26" s="74">
        <f t="shared" ref="E26:O26" si="4">E13+E22+E24</f>
        <v>0</v>
      </c>
      <c r="F26" s="74">
        <f t="shared" si="4"/>
        <v>0</v>
      </c>
      <c r="G26" s="74">
        <f t="shared" si="4"/>
        <v>0</v>
      </c>
      <c r="H26" s="74">
        <f t="shared" si="4"/>
        <v>0</v>
      </c>
      <c r="I26" s="74">
        <f t="shared" si="4"/>
        <v>0</v>
      </c>
      <c r="J26" s="74">
        <f t="shared" si="4"/>
        <v>0</v>
      </c>
      <c r="K26" s="74">
        <f t="shared" si="4"/>
        <v>0</v>
      </c>
      <c r="L26" s="74">
        <f t="shared" si="4"/>
        <v>0</v>
      </c>
      <c r="M26" s="74">
        <f t="shared" si="4"/>
        <v>0</v>
      </c>
      <c r="N26" s="74">
        <f t="shared" si="4"/>
        <v>0</v>
      </c>
      <c r="O26" s="74">
        <f t="shared" si="4"/>
        <v>0</v>
      </c>
      <c r="P26" s="75">
        <f>P13+P22+P24</f>
        <v>0</v>
      </c>
    </row>
    <row r="27" spans="1:16" ht="15" thickBot="1" x14ac:dyDescent="0.35">
      <c r="C27" s="58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8" spans="1:16" ht="15" thickBot="1" x14ac:dyDescent="0.35">
      <c r="A28" s="187" t="s">
        <v>6583</v>
      </c>
      <c r="B28" s="190" t="s">
        <v>6543</v>
      </c>
      <c r="C28" s="190"/>
      <c r="D28" s="45" t="s">
        <v>6544</v>
      </c>
      <c r="E28" s="45" t="s">
        <v>6544</v>
      </c>
      <c r="F28" s="45" t="s">
        <v>6544</v>
      </c>
      <c r="G28" s="45" t="s">
        <v>6544</v>
      </c>
      <c r="H28" s="45" t="s">
        <v>6544</v>
      </c>
      <c r="I28" s="45" t="s">
        <v>6544</v>
      </c>
      <c r="J28" s="45" t="s">
        <v>6544</v>
      </c>
      <c r="K28" s="45" t="s">
        <v>6544</v>
      </c>
      <c r="L28" s="45" t="s">
        <v>6544</v>
      </c>
      <c r="M28" s="45" t="s">
        <v>6544</v>
      </c>
      <c r="N28" s="45" t="s">
        <v>6544</v>
      </c>
      <c r="O28" s="45" t="s">
        <v>6544</v>
      </c>
      <c r="P28" s="45" t="s">
        <v>6544</v>
      </c>
    </row>
    <row r="29" spans="1:16" x14ac:dyDescent="0.3">
      <c r="A29" s="188"/>
      <c r="B29" s="47">
        <v>1</v>
      </c>
      <c r="C29" s="48" t="s">
        <v>6545</v>
      </c>
      <c r="D29" s="49" cm="1">
        <f t="array" ref="D29">+SUM(IF(LEFT('EASI AFR Detail'!$F$5:$F$699,3)&amp;RIGHT('EASI AFR Detail'!$F$5:$F$699,5)&amp;LEFT('EASI AFR Detail'!$G$5:$G$699,4)&amp;RIGHT('EASI AFR Detail'!$J$5:$J$699,8)="ins0100)Acco5 (3227)",'EASI AFR Detail'!$O$5:$O$699))</f>
        <v>0</v>
      </c>
      <c r="E29" s="49" cm="1">
        <f t="array" ref="E29">+SUM(IF(LEFT('EASI AFR Detail'!$F$5:$F$699,3)&amp;RIGHT('EASI AFR Detail'!$F$5:$F$699,5)&amp;LEFT('EASI AFR Detail'!$G$5:$G$699,4)&amp;RIGHT('EASI AFR Detail'!$J$5:$J$699,8)="ins0100)Colo5 (3227)",'EASI AFR Detail'!$O$5:$O$699))</f>
        <v>0</v>
      </c>
      <c r="F29" s="49">
        <f t="array" ref="F29">+SUM(IF(LEFT('EASI AFR Detail'!$F$5:$F$699,3)&amp;RIGHT('EASI AFR Detail'!$F$5:$F$699,5)&amp;LEFT('EASI AFR Detail'!$G$5:$G$699,4)&amp;RIGHT('EASI AFR Detail'!$J$5:$J$699,8)="ins0100)Conn5 (3227)",'EASI AFR Detail'!$O$5:$O$699))</f>
        <v>0</v>
      </c>
      <c r="G29" s="49">
        <f t="array" ref="G29">+SUM(IF(LEFT('EASI AFR Detail'!$F$5:$F$699,3)&amp;RIGHT('EASI AFR Detail'!$F$5:$F$699,5)&amp;LEFT('EASI AFR Detail'!$G$5:$G$699,12)&amp;RIGHT('EASI AFR Detail'!$J$5:$J$699,8)="ins0100)Diagnostic a5 (3227)",'EASI AFR Detail'!$O$5:$O$699))</f>
        <v>0</v>
      </c>
      <c r="H29" s="49">
        <f t="array" ref="H29">+SUM(IF(LEFT('EASI AFR Detail'!$F$5:$F$699,3)&amp;RIGHT('EASI AFR Detail'!$F$5:$F$699,5)&amp;LEFT('EASI AFR Detail'!$G$5:$G$699,10)&amp;RIGHT('EASI AFR Detail'!$J$5:$J$699,8)="ins0100)District D5 (3227)",'EASI AFR Detail'!$O$5:$O$699))</f>
        <v>0</v>
      </c>
      <c r="I29" s="49">
        <f t="array" ref="I29">+SUM(IF(LEFT('EASI AFR Detail'!$F$5:$F$699,3)&amp;RIGHT('EASI AFR Detail'!$F$5:$F$699,5)&amp;LEFT('EASI AFR Detail'!$G$5:$G$699,10)&amp;RIGHT('EASI AFR Detail'!$J$5:$J$699,8)="ins0100)District S5 (3227)",'EASI AFR Detail'!$O$5:$O$699))</f>
        <v>0</v>
      </c>
      <c r="J29" s="49">
        <f t="array" ref="J29">+SUM(IF(LEFT('EASI AFR Detail'!$F$5:$F$699,3)&amp;RIGHT('EASI AFR Detail'!$F$5:$F$699,5)&amp;LEFT('EASI AFR Detail'!$G$5:$G$699,4)&amp;RIGHT('EASI AFR Detail'!$J$5:$J$699,8)="ins0100)Expl5 (3227)",'EASI AFR Detail'!$O$5:$O$699))</f>
        <v>0</v>
      </c>
      <c r="K29" s="49">
        <f t="array" ref="K29">+SUM(IF(LEFT('EASI AFR Detail'!$F$5:$F$699,3)&amp;RIGHT('EASI AFR Detail'!$F$5:$F$699,5)&amp;LEFT('EASI AFR Detail'!$G$5:$G$699,4)&amp;RIGHT('EASI AFR Detail'!$J$5:$J$699,8)="ins0100)Faci5 (3227)",'EASI AFR Detail'!$O$5:$O$699))</f>
        <v>0</v>
      </c>
      <c r="L29" s="49">
        <f t="array" ref="L29">+SUM(IF(LEFT('EASI AFR Detail'!$F$5:$F$699,3)&amp;RIGHT('EASI AFR Detail'!$F$5:$F$699,5)&amp;LEFT('EASI AFR Detail'!$G$5:$G$699,4)&amp;RIGHT('EASI AFR Detail'!$J$5:$J$699,8)="ins0100)MTSS5 (3227)",'EASI AFR Detail'!$O$5:$O$699))</f>
        <v>0</v>
      </c>
      <c r="M29" s="49">
        <f t="array" ref="M29">+SUM(IF(LEFT('EASI AFR Detail'!$F$5:$F$699,3)&amp;RIGHT('EASI AFR Detail'!$F$5:$F$699,5)&amp;LEFT('EASI AFR Detail'!$G$5:$G$699,4)&amp;RIGHT('EASI AFR Detail'!$J$5:$J$699,8)="ins0100)Rigo5 (3227)",'EASI AFR Detail'!$O$5:$O$699))</f>
        <v>0</v>
      </c>
      <c r="N29" s="49">
        <f t="array" ref="N29">+SUM(IF(LEFT('EASI AFR Detail'!$F$5:$F$699,3)&amp;RIGHT('EASI AFR Detail'!$F$5:$F$699,5)&amp;LEFT('EASI AFR Detail'!$G$5:$G$699,9)&amp;RIGHT('EASI AFR Detail'!$J$5:$J$699,8)="ins0100)School Tr5 (3227)",'EASI AFR Detail'!$O$5:$O$699))</f>
        <v>0</v>
      </c>
      <c r="O29" s="49">
        <f t="array" ref="O29">+SUM(IF(LEFT('EASI AFR Detail'!$F$5:$F$699,3)&amp;RIGHT('EASI AFR Detail'!$F$5:$F$699,5)&amp;LEFT('EASI AFR Detail'!$G$5:$G$699,9)&amp;RIGHT('EASI AFR Detail'!$J$5:$J$699,8)="ins0100)School Tu5 (3227)",'EASI AFR Detail'!$O$5:$O$699))</f>
        <v>0</v>
      </c>
      <c r="P29" s="50">
        <f t="shared" ref="P29:P34" si="5">SUM(D29:O29)</f>
        <v>0</v>
      </c>
    </row>
    <row r="30" spans="1:16" x14ac:dyDescent="0.3">
      <c r="A30" s="188"/>
      <c r="B30" s="51">
        <v>2</v>
      </c>
      <c r="C30" s="52" t="s">
        <v>6546</v>
      </c>
      <c r="D30" s="49">
        <f t="array" ref="D30">+SUM(IF(LEFT('EASI AFR Detail'!$F$5:$F$699,3)&amp;RIGHT('EASI AFR Detail'!$F$5:$F$699,5)&amp;LEFT('EASI AFR Detail'!$G$5:$G$699,4)&amp;RIGHT('EASI AFR Detail'!$J$5:$J$699,8)="ins0200)Acco5 (3227)",'EASI AFR Detail'!$O$5:$O$699))</f>
        <v>0</v>
      </c>
      <c r="E30" s="49" cm="1">
        <f t="array" ref="E30">+SUM(IF(LEFT('EASI AFR Detail'!$F$5:$F$699,3)&amp;RIGHT('EASI AFR Detail'!$F$5:$F$699,5)&amp;LEFT('EASI AFR Detail'!$G$5:$G$699,4)&amp;RIGHT('EASI AFR Detail'!$J$5:$J$699,8)="ins0200)Colo5 (3227)",'EASI AFR Detail'!$O$5:$O$699))</f>
        <v>0</v>
      </c>
      <c r="F30" s="49">
        <f t="array" ref="F30">+SUM(IF(LEFT('EASI AFR Detail'!$F$5:$F$699,3)&amp;RIGHT('EASI AFR Detail'!$F$5:$F$699,5)&amp;LEFT('EASI AFR Detail'!$G$5:$G$699,4)&amp;RIGHT('EASI AFR Detail'!$J$5:$J$699,8)="ins0200)Conn5 (3227)",'EASI AFR Detail'!$O$5:$O$699))</f>
        <v>0</v>
      </c>
      <c r="G30" s="49">
        <f t="array" ref="G30">+SUM(IF(LEFT('EASI AFR Detail'!$F$5:$F$699,3)&amp;RIGHT('EASI AFR Detail'!$F$5:$F$699,5)&amp;LEFT('EASI AFR Detail'!$G$5:$G$699,12)&amp;RIGHT('EASI AFR Detail'!$J$5:$J$699,8)="ins0200)Diagnostic a5 (3227)",'EASI AFR Detail'!$O$5:$O$699))</f>
        <v>0</v>
      </c>
      <c r="H30" s="49">
        <f t="array" ref="H30">+SUM(IF(LEFT('EASI AFR Detail'!$F$5:$F$699,3)&amp;RIGHT('EASI AFR Detail'!$F$5:$F$699,5)&amp;LEFT('EASI AFR Detail'!$G$5:$G$699,10)&amp;RIGHT('EASI AFR Detail'!$J$5:$J$699,8)="ins0200)District D5 (3227)",'EASI AFR Detail'!$O$5:$O$699))</f>
        <v>0</v>
      </c>
      <c r="I30" s="49">
        <f t="array" ref="I30">+SUM(IF(LEFT('EASI AFR Detail'!$F$5:$F$699,3)&amp;RIGHT('EASI AFR Detail'!$F$5:$F$699,5)&amp;LEFT('EASI AFR Detail'!$G$5:$G$699,10)&amp;RIGHT('EASI AFR Detail'!$J$5:$J$699,8)="ins0200)District S5 (3227)",'EASI AFR Detail'!$O$5:$O$699))</f>
        <v>0</v>
      </c>
      <c r="J30" s="49">
        <f t="array" ref="J30">+SUM(IF(LEFT('EASI AFR Detail'!$F$5:$F$699,3)&amp;RIGHT('EASI AFR Detail'!$F$5:$F$699,5)&amp;LEFT('EASI AFR Detail'!$G$5:$G$699,4)&amp;RIGHT('EASI AFR Detail'!$J$5:$J$699,8)="ins0200)Expl5 (3227)",'EASI AFR Detail'!$O$5:$O$699))</f>
        <v>0</v>
      </c>
      <c r="K30" s="49">
        <f t="array" ref="K30">+SUM(IF(LEFT('EASI AFR Detail'!$F$5:$F$699,3)&amp;RIGHT('EASI AFR Detail'!$F$5:$F$699,5)&amp;LEFT('EASI AFR Detail'!$G$5:$G$699,4)&amp;RIGHT('EASI AFR Detail'!$J$5:$J$699,8)="ins0200)Faci5 (3227)",'EASI AFR Detail'!$O$5:$O$699))</f>
        <v>0</v>
      </c>
      <c r="L30" s="49">
        <f t="array" ref="L30">+SUM(IF(LEFT('EASI AFR Detail'!$F$5:$F$699,3)&amp;RIGHT('EASI AFR Detail'!$F$5:$F$699,5)&amp;LEFT('EASI AFR Detail'!$G$5:$G$699,4)&amp;RIGHT('EASI AFR Detail'!$J$5:$J$699,8)="ins0200)MTSS5 (3227)",'EASI AFR Detail'!$O$5:$O$699))</f>
        <v>0</v>
      </c>
      <c r="M30" s="49">
        <f t="array" ref="M30">+SUM(IF(LEFT('EASI AFR Detail'!$F$5:$F$699,3)&amp;RIGHT('EASI AFR Detail'!$F$5:$F$699,5)&amp;LEFT('EASI AFR Detail'!$G$5:$G$699,4)&amp;RIGHT('EASI AFR Detail'!$J$5:$J$699,8)="ins0200)Rigo5 (3227)",'EASI AFR Detail'!$O$5:$O$699))</f>
        <v>0</v>
      </c>
      <c r="N30" s="49">
        <f t="array" ref="N30">+SUM(IF(LEFT('EASI AFR Detail'!$F$5:$F$699,3)&amp;RIGHT('EASI AFR Detail'!$F$5:$F$699,5)&amp;LEFT('EASI AFR Detail'!$G$5:$G$699,9)&amp;RIGHT('EASI AFR Detail'!$J$5:$J$699,8)="ins0200)School Tr5 (3227)",'EASI AFR Detail'!$O$5:$O$699))</f>
        <v>0</v>
      </c>
      <c r="O30" s="49">
        <f t="array" ref="O30">+SUM(IF(LEFT('EASI AFR Detail'!$F$5:$F$699,3)&amp;RIGHT('EASI AFR Detail'!$F$5:$F$699,5)&amp;LEFT('EASI AFR Detail'!$G$5:$G$699,9)&amp;RIGHT('EASI AFR Detail'!$J$5:$J$699,8)="ins0200)School Tu5 (3227)",'EASI AFR Detail'!$O$5:$O$699))</f>
        <v>0</v>
      </c>
      <c r="P30" s="53">
        <f t="shared" si="5"/>
        <v>0</v>
      </c>
    </row>
    <row r="31" spans="1:16" x14ac:dyDescent="0.3">
      <c r="A31" s="188"/>
      <c r="B31" s="51">
        <v>3</v>
      </c>
      <c r="C31" s="52" t="s">
        <v>6547</v>
      </c>
      <c r="D31" s="49">
        <f t="array" ref="D31">+SUM(IF(LEFT('EASI AFR Detail'!$F$5:$F$699,3)&amp;RIGHT('EASI AFR Detail'!$F$5:$F$699,5)&amp;LEFT('EASI AFR Detail'!$G$5:$G$699,4)&amp;RIGHT('EASI AFR Detail'!$J$5:$J$699,8)="ins0300)Acco5 (3227)",'EASI AFR Detail'!$O$5:$O$699))</f>
        <v>0</v>
      </c>
      <c r="E31" s="49" cm="1">
        <f t="array" ref="E31">+SUM(IF(LEFT('EASI AFR Detail'!$F$5:$F$699,3)&amp;RIGHT('EASI AFR Detail'!$F$5:$F$699,5)&amp;LEFT('EASI AFR Detail'!$G$5:$G$699,4)&amp;RIGHT('EASI AFR Detail'!$J$5:$J$699,8)="ins0300)Colo5 (3227)",'EASI AFR Detail'!$O$5:$O$699))</f>
        <v>0</v>
      </c>
      <c r="F31" s="49">
        <f t="array" ref="F31">+SUM(IF(LEFT('EASI AFR Detail'!$F$5:$F$699,3)&amp;RIGHT('EASI AFR Detail'!$F$5:$F$699,5)&amp;LEFT('EASI AFR Detail'!$G$5:$G$699,4)&amp;RIGHT('EASI AFR Detail'!$J$5:$J$699,8)="ins0300)Conn5 (3227)",'EASI AFR Detail'!$O$5:$O$699))</f>
        <v>0</v>
      </c>
      <c r="G31" s="49">
        <f t="array" ref="G31">+SUM(IF(LEFT('EASI AFR Detail'!$F$5:$F$699,3)&amp;RIGHT('EASI AFR Detail'!$F$5:$F$699,5)&amp;LEFT('EASI AFR Detail'!$G$5:$G$699,12)&amp;RIGHT('EASI AFR Detail'!$J$5:$J$699,8)="ins0300)Diagnostic a5 (3227)",'EASI AFR Detail'!$O$5:$O$699))</f>
        <v>0</v>
      </c>
      <c r="H31" s="49">
        <f t="array" ref="H31">+SUM(IF(LEFT('EASI AFR Detail'!$F$5:$F$699,3)&amp;RIGHT('EASI AFR Detail'!$F$5:$F$699,5)&amp;LEFT('EASI AFR Detail'!$G$5:$G$699,10)&amp;RIGHT('EASI AFR Detail'!$J$5:$J$699,8)="ins0300)District D5 (3227)",'EASI AFR Detail'!$O$5:$O$699))</f>
        <v>0</v>
      </c>
      <c r="I31" s="49">
        <f t="array" ref="I31">+SUM(IF(LEFT('EASI AFR Detail'!$F$5:$F$699,3)&amp;RIGHT('EASI AFR Detail'!$F$5:$F$699,5)&amp;LEFT('EASI AFR Detail'!$G$5:$G$699,10)&amp;RIGHT('EASI AFR Detail'!$J$5:$J$699,8)="ins0300)District S5 (3227)",'EASI AFR Detail'!$O$5:$O$699))</f>
        <v>0</v>
      </c>
      <c r="J31" s="49">
        <f t="array" ref="J31">+SUM(IF(LEFT('EASI AFR Detail'!$F$5:$F$699,3)&amp;RIGHT('EASI AFR Detail'!$F$5:$F$699,5)&amp;LEFT('EASI AFR Detail'!$G$5:$G$699,4)&amp;RIGHT('EASI AFR Detail'!$J$5:$J$699,8)="ins0300)Expl5 (3227)",'EASI AFR Detail'!$O$5:$O$699))</f>
        <v>0</v>
      </c>
      <c r="K31" s="49">
        <f t="array" ref="K31">+SUM(IF(LEFT('EASI AFR Detail'!$F$5:$F$699,3)&amp;RIGHT('EASI AFR Detail'!$F$5:$F$699,5)&amp;LEFT('EASI AFR Detail'!$G$5:$G$699,4)&amp;RIGHT('EASI AFR Detail'!$J$5:$J$699,8)="ins0300)Faci5 (3227)",'EASI AFR Detail'!$O$5:$O$699))</f>
        <v>0</v>
      </c>
      <c r="L31" s="49">
        <f t="array" ref="L31">+SUM(IF(LEFT('EASI AFR Detail'!$F$5:$F$699,3)&amp;RIGHT('EASI AFR Detail'!$F$5:$F$699,5)&amp;LEFT('EASI AFR Detail'!$G$5:$G$699,4)&amp;RIGHT('EASI AFR Detail'!$J$5:$J$699,8)="ins0300)MTSS5 (3227)",'EASI AFR Detail'!$O$5:$O$699))</f>
        <v>0</v>
      </c>
      <c r="M31" s="49">
        <f t="array" ref="M31">+SUM(IF(LEFT('EASI AFR Detail'!$F$5:$F$699,3)&amp;RIGHT('EASI AFR Detail'!$F$5:$F$699,5)&amp;LEFT('EASI AFR Detail'!$G$5:$G$699,4)&amp;RIGHT('EASI AFR Detail'!$J$5:$J$699,8)="ins0300)Rigo5 (3227)",'EASI AFR Detail'!$O$5:$O$699))</f>
        <v>0</v>
      </c>
      <c r="N31" s="49">
        <f t="array" ref="N31">+SUM(IF(LEFT('EASI AFR Detail'!$F$5:$F$699,3)&amp;RIGHT('EASI AFR Detail'!$F$5:$F$699,5)&amp;LEFT('EASI AFR Detail'!$G$5:$G$699,9)&amp;RIGHT('EASI AFR Detail'!$J$5:$J$699,8)="ins0300)School Tr5 (3227)",'EASI AFR Detail'!$O$5:$O$699))</f>
        <v>0</v>
      </c>
      <c r="O31" s="49">
        <f t="array" ref="O31">+SUM(IF(LEFT('EASI AFR Detail'!$F$5:$F$699,3)&amp;RIGHT('EASI AFR Detail'!$F$5:$F$699,5)&amp;LEFT('EASI AFR Detail'!$G$5:$G$699,9)&amp;RIGHT('EASI AFR Detail'!$J$5:$J$699,8)="ins0300)School Tu5 (3227)",'EASI AFR Detail'!$O$5:$O$699))</f>
        <v>0</v>
      </c>
      <c r="P31" s="53">
        <f t="shared" si="5"/>
        <v>0</v>
      </c>
    </row>
    <row r="32" spans="1:16" x14ac:dyDescent="0.3">
      <c r="A32" s="188"/>
      <c r="B32" s="51">
        <v>4</v>
      </c>
      <c r="C32" s="52" t="s">
        <v>6548</v>
      </c>
      <c r="D32" s="49">
        <f t="array" ref="D32">+SUM(IF(LEFT('EASI AFR Detail'!$F$5:$F$699,3)&amp;RIGHT('EASI AFR Detail'!$F$5:$F$699,5)&amp;LEFT('EASI AFR Detail'!$G$5:$G$699,4)&amp;RIGHT('EASI AFR Detail'!$J$5:$J$699,8)="ins0500)Acco5 (3227)",'EASI AFR Detail'!$O$5:$O$699))</f>
        <v>0</v>
      </c>
      <c r="E32" s="49" cm="1">
        <f t="array" ref="E32">+SUM(IF(LEFT('EASI AFR Detail'!$F$5:$F$699,3)&amp;RIGHT('EASI AFR Detail'!$F$5:$F$699,5)&amp;LEFT('EASI AFR Detail'!$G$5:$G$699,4)&amp;RIGHT('EASI AFR Detail'!$J$5:$J$699,8)="ins0500)Colo5 (3227)",'EASI AFR Detail'!$O$5:$O$699))</f>
        <v>0</v>
      </c>
      <c r="F32" s="49">
        <f t="array" ref="F32">+SUM(IF(LEFT('EASI AFR Detail'!$F$5:$F$699,3)&amp;RIGHT('EASI AFR Detail'!$F$5:$F$699,5)&amp;LEFT('EASI AFR Detail'!$G$5:$G$699,4)&amp;RIGHT('EASI AFR Detail'!$J$5:$J$699,8)="ins0500)Conn5 (3227)",'EASI AFR Detail'!$O$5:$O$699))</f>
        <v>0</v>
      </c>
      <c r="G32" s="49">
        <f t="array" ref="G32">+SUM(IF(LEFT('EASI AFR Detail'!$F$5:$F$699,3)&amp;RIGHT('EASI AFR Detail'!$F$5:$F$699,5)&amp;LEFT('EASI AFR Detail'!$G$5:$G$699,12)&amp;RIGHT('EASI AFR Detail'!$J$5:$J$699,8)="ins0500)Diagnostic a5 (3227)",'EASI AFR Detail'!$O$5:$O$699))</f>
        <v>0</v>
      </c>
      <c r="H32" s="49">
        <f t="array" ref="H32">+SUM(IF(LEFT('EASI AFR Detail'!$F$5:$F$699,3)&amp;RIGHT('EASI AFR Detail'!$F$5:$F$699,5)&amp;LEFT('EASI AFR Detail'!$G$5:$G$699,10)&amp;RIGHT('EASI AFR Detail'!$J$5:$J$699,8)="ins0500)District D5 (3227)",'EASI AFR Detail'!$O$5:$O$699))</f>
        <v>0</v>
      </c>
      <c r="I32" s="49">
        <f t="array" ref="I32">+SUM(IF(LEFT('EASI AFR Detail'!$F$5:$F$699,3)&amp;RIGHT('EASI AFR Detail'!$F$5:$F$699,5)&amp;LEFT('EASI AFR Detail'!$G$5:$G$699,10)&amp;RIGHT('EASI AFR Detail'!$J$5:$J$699,8)="ins0500)District S5 (3227)",'EASI AFR Detail'!$O$5:$O$699))</f>
        <v>0</v>
      </c>
      <c r="J32" s="49">
        <f t="array" ref="J32">+SUM(IF(LEFT('EASI AFR Detail'!$F$5:$F$699,3)&amp;RIGHT('EASI AFR Detail'!$F$5:$F$699,5)&amp;LEFT('EASI AFR Detail'!$G$5:$G$699,4)&amp;RIGHT('EASI AFR Detail'!$J$5:$J$699,8)="ins0500)Expl5 (3227)",'EASI AFR Detail'!$O$5:$O$699))</f>
        <v>0</v>
      </c>
      <c r="K32" s="49">
        <f t="array" ref="K32">+SUM(IF(LEFT('EASI AFR Detail'!$F$5:$F$699,3)&amp;RIGHT('EASI AFR Detail'!$F$5:$F$699,5)&amp;LEFT('EASI AFR Detail'!$G$5:$G$699,4)&amp;RIGHT('EASI AFR Detail'!$J$5:$J$699,8)="ins0500)Faci5 (3227)",'EASI AFR Detail'!$O$5:$O$699))</f>
        <v>0</v>
      </c>
      <c r="L32" s="49">
        <f t="array" ref="L32">+SUM(IF(LEFT('EASI AFR Detail'!$F$5:$F$699,3)&amp;RIGHT('EASI AFR Detail'!$F$5:$F$699,5)&amp;LEFT('EASI AFR Detail'!$G$5:$G$699,4)&amp;RIGHT('EASI AFR Detail'!$J$5:$J$699,8)="ins0500)MTSS5 (3227)",'EASI AFR Detail'!$O$5:$O$699))</f>
        <v>0</v>
      </c>
      <c r="M32" s="49">
        <f t="array" ref="M32">+SUM(IF(LEFT('EASI AFR Detail'!$F$5:$F$699,3)&amp;RIGHT('EASI AFR Detail'!$F$5:$F$699,5)&amp;LEFT('EASI AFR Detail'!$G$5:$G$699,4)&amp;RIGHT('EASI AFR Detail'!$J$5:$J$699,8)="ins0500)Rigo5 (3227)",'EASI AFR Detail'!$O$5:$O$699))</f>
        <v>0</v>
      </c>
      <c r="N32" s="49">
        <f t="array" ref="N32">+SUM(IF(LEFT('EASI AFR Detail'!$F$5:$F$699,3)&amp;RIGHT('EASI AFR Detail'!$F$5:$F$699,5)&amp;LEFT('EASI AFR Detail'!$G$5:$G$699,9)&amp;RIGHT('EASI AFR Detail'!$J$5:$J$699,8)="ins0500)School Tr5 (3227)",'EASI AFR Detail'!$O$5:$O$699))</f>
        <v>0</v>
      </c>
      <c r="O32" s="49">
        <f t="array" ref="O32">+SUM(IF(LEFT('EASI AFR Detail'!$F$5:$F$699,3)&amp;RIGHT('EASI AFR Detail'!$F$5:$F$699,5)&amp;LEFT('EASI AFR Detail'!$G$5:$G$699,9)&amp;RIGHT('EASI AFR Detail'!$J$5:$J$699,8)="ins0500)School Tu5 (3227)",'EASI AFR Detail'!$O$5:$O$699))</f>
        <v>0</v>
      </c>
      <c r="P32" s="53">
        <f t="shared" si="5"/>
        <v>0</v>
      </c>
    </row>
    <row r="33" spans="1:16" x14ac:dyDescent="0.3">
      <c r="A33" s="188"/>
      <c r="B33" s="51">
        <v>5</v>
      </c>
      <c r="C33" s="52" t="s">
        <v>6549</v>
      </c>
      <c r="D33" s="49">
        <f t="array" ref="D33">+SUM(IF(LEFT('EASI AFR Detail'!$F$5:$F$699,3)&amp;RIGHT('EASI AFR Detail'!$F$5:$F$699,5)&amp;LEFT('EASI AFR Detail'!$G$5:$G$699,4)&amp;RIGHT('EASI AFR Detail'!$J$5:$J$699,8)="ins0580)Acco5 (3227)",'EASI AFR Detail'!$O$5:$O$699))</f>
        <v>0</v>
      </c>
      <c r="E33" s="49" cm="1">
        <f t="array" ref="E33">+SUM(IF(LEFT('EASI AFR Detail'!$F$5:$F$699,3)&amp;RIGHT('EASI AFR Detail'!$F$5:$F$699,5)&amp;LEFT('EASI AFR Detail'!$G$5:$G$699,4)&amp;RIGHT('EASI AFR Detail'!$J$5:$J$699,8)="ins0580)Colo5 (3227)",'EASI AFR Detail'!$O$5:$O$699))</f>
        <v>0</v>
      </c>
      <c r="F33" s="49">
        <f t="array" ref="F33">+SUM(IF(LEFT('EASI AFR Detail'!$F$5:$F$699,3)&amp;RIGHT('EASI AFR Detail'!$F$5:$F$699,5)&amp;LEFT('EASI AFR Detail'!$G$5:$G$699,4)&amp;RIGHT('EASI AFR Detail'!$J$5:$J$699,8)="ins0580)Conn5 (3227)",'EASI AFR Detail'!$O$5:$O$699))</f>
        <v>0</v>
      </c>
      <c r="G33" s="49">
        <f t="array" ref="G33">+SUM(IF(LEFT('EASI AFR Detail'!$F$5:$F$699,3)&amp;RIGHT('EASI AFR Detail'!$F$5:$F$699,5)&amp;LEFT('EASI AFR Detail'!$G$5:$G$699,12)&amp;RIGHT('EASI AFR Detail'!$J$5:$J$699,8)="ins0580)Diagnostic a5 (3227)",'EASI AFR Detail'!$O$5:$O$699))</f>
        <v>0</v>
      </c>
      <c r="H33" s="49">
        <f t="array" ref="H33">+SUM(IF(LEFT('EASI AFR Detail'!$F$5:$F$699,3)&amp;RIGHT('EASI AFR Detail'!$F$5:$F$699,5)&amp;LEFT('EASI AFR Detail'!$G$5:$G$699,10)&amp;RIGHT('EASI AFR Detail'!$J$5:$J$699,8)="ins0580)District D5 (3227)",'EASI AFR Detail'!$O$5:$O$699))</f>
        <v>0</v>
      </c>
      <c r="I33" s="49">
        <f t="array" ref="I33">+SUM(IF(LEFT('EASI AFR Detail'!$F$5:$F$699,3)&amp;RIGHT('EASI AFR Detail'!$F$5:$F$699,5)&amp;LEFT('EASI AFR Detail'!$G$5:$G$699,10)&amp;RIGHT('EASI AFR Detail'!$J$5:$J$699,8)="ins0580)District S5 (3227)",'EASI AFR Detail'!$O$5:$O$699))</f>
        <v>0</v>
      </c>
      <c r="J33" s="49">
        <f t="array" ref="J33">+SUM(IF(LEFT('EASI AFR Detail'!$F$5:$F$699,3)&amp;RIGHT('EASI AFR Detail'!$F$5:$F$699,5)&amp;LEFT('EASI AFR Detail'!$G$5:$G$699,4)&amp;RIGHT('EASI AFR Detail'!$J$5:$J$699,8)="ins0580)Expl5 (3227)",'EASI AFR Detail'!$O$5:$O$699))</f>
        <v>0</v>
      </c>
      <c r="K33" s="49">
        <f t="array" ref="K33">+SUM(IF(LEFT('EASI AFR Detail'!$F$5:$F$699,3)&amp;RIGHT('EASI AFR Detail'!$F$5:$F$699,5)&amp;LEFT('EASI AFR Detail'!$G$5:$G$699,4)&amp;RIGHT('EASI AFR Detail'!$J$5:$J$699,8)="ins0580)Faci5 (3227)",'EASI AFR Detail'!$O$5:$O$699))</f>
        <v>0</v>
      </c>
      <c r="L33" s="49">
        <f t="array" ref="L33">+SUM(IF(LEFT('EASI AFR Detail'!$F$5:$F$699,3)&amp;RIGHT('EASI AFR Detail'!$F$5:$F$699,5)&amp;LEFT('EASI AFR Detail'!$G$5:$G$699,4)&amp;RIGHT('EASI AFR Detail'!$J$5:$J$699,8)="ins0580)MTSS5 (3227)",'EASI AFR Detail'!$O$5:$O$699))</f>
        <v>0</v>
      </c>
      <c r="M33" s="49">
        <f t="array" ref="M33">+SUM(IF(LEFT('EASI AFR Detail'!$F$5:$F$699,3)&amp;RIGHT('EASI AFR Detail'!$F$5:$F$699,5)&amp;LEFT('EASI AFR Detail'!$G$5:$G$699,4)&amp;RIGHT('EASI AFR Detail'!$J$5:$J$699,8)="ins0580)Rigo5 (3227)",'EASI AFR Detail'!$O$5:$O$699))</f>
        <v>0</v>
      </c>
      <c r="N33" s="49">
        <f t="array" ref="N33">+SUM(IF(LEFT('EASI AFR Detail'!$F$5:$F$699,3)&amp;RIGHT('EASI AFR Detail'!$F$5:$F$699,5)&amp;LEFT('EASI AFR Detail'!$G$5:$G$699,9)&amp;RIGHT('EASI AFR Detail'!$J$5:$J$699,8)="ins0580)School Tr5 (3227)",'EASI AFR Detail'!$O$5:$O$699))</f>
        <v>0</v>
      </c>
      <c r="O33" s="49">
        <f t="array" ref="O33">+SUM(IF(LEFT('EASI AFR Detail'!$F$5:$F$699,3)&amp;RIGHT('EASI AFR Detail'!$F$5:$F$699,5)&amp;LEFT('EASI AFR Detail'!$G$5:$G$699,9)&amp;RIGHT('EASI AFR Detail'!$J$5:$J$699,8)="ins0580)School Tu5 (3227)",'EASI AFR Detail'!$O$5:$O$699))</f>
        <v>0</v>
      </c>
      <c r="P33" s="53">
        <f t="shared" si="5"/>
        <v>0</v>
      </c>
    </row>
    <row r="34" spans="1:16" x14ac:dyDescent="0.3">
      <c r="A34" s="188"/>
      <c r="B34" s="54">
        <v>6</v>
      </c>
      <c r="C34" s="55" t="s">
        <v>6550</v>
      </c>
      <c r="D34" s="49">
        <f t="array" ref="D34">+SUM(IF(LEFT('EASI AFR Detail'!$F$5:$F$699,3)&amp;RIGHT('EASI AFR Detail'!$F$5:$F$699,5)&amp;LEFT('EASI AFR Detail'!$G$5:$G$699,4)&amp;RIGHT('EASI AFR Detail'!$J$5:$J$699,8)="ins0600)Acco5 (3227)",'EASI AFR Detail'!$O$5:$O$699))</f>
        <v>0</v>
      </c>
      <c r="E34" s="49" cm="1">
        <f t="array" ref="E34">+SUM(IF(LEFT('EASI AFR Detail'!$F$5:$F$699,3)&amp;RIGHT('EASI AFR Detail'!$F$5:$F$699,5)&amp;LEFT('EASI AFR Detail'!$G$5:$G$699,4)&amp;RIGHT('EASI AFR Detail'!$J$5:$J$699,8)="ins0600)Colo5 (3227)",'EASI AFR Detail'!$O$5:$O$699))</f>
        <v>0</v>
      </c>
      <c r="F34" s="49">
        <f t="array" ref="F34">+SUM(IF(LEFT('EASI AFR Detail'!$F$5:$F$699,3)&amp;RIGHT('EASI AFR Detail'!$F$5:$F$699,5)&amp;LEFT('EASI AFR Detail'!$G$5:$G$699,4)&amp;RIGHT('EASI AFR Detail'!$J$5:$J$699,8)="ins0600)Conn5 (3227)",'EASI AFR Detail'!$O$5:$O$699))</f>
        <v>0</v>
      </c>
      <c r="G34" s="49">
        <f t="array" ref="G34">+SUM(IF(LEFT('EASI AFR Detail'!$F$5:$F$699,3)&amp;RIGHT('EASI AFR Detail'!$F$5:$F$699,5)&amp;LEFT('EASI AFR Detail'!$G$5:$G$699,12)&amp;RIGHT('EASI AFR Detail'!$J$5:$J$699,8)="ins0600)Diagnostic a5 (3227)",'EASI AFR Detail'!$O$5:$O$699))</f>
        <v>0</v>
      </c>
      <c r="H34" s="49">
        <f t="array" ref="H34">+SUM(IF(LEFT('EASI AFR Detail'!$F$5:$F$699,3)&amp;RIGHT('EASI AFR Detail'!$F$5:$F$699,5)&amp;LEFT('EASI AFR Detail'!$G$5:$G$699,10)&amp;RIGHT('EASI AFR Detail'!$J$5:$J$699,8)="ins0600)District D5 (3227)",'EASI AFR Detail'!$O$5:$O$699))</f>
        <v>0</v>
      </c>
      <c r="I34" s="49">
        <f t="array" ref="I34">+SUM(IF(LEFT('EASI AFR Detail'!$F$5:$F$699,3)&amp;RIGHT('EASI AFR Detail'!$F$5:$F$699,5)&amp;LEFT('EASI AFR Detail'!$G$5:$G$699,10)&amp;RIGHT('EASI AFR Detail'!$J$5:$J$699,8)="ins0600)District S5 (3227)",'EASI AFR Detail'!$O$5:$O$699))</f>
        <v>0</v>
      </c>
      <c r="J34" s="49">
        <f t="array" ref="J34">+SUM(IF(LEFT('EASI AFR Detail'!$F$5:$F$699,3)&amp;RIGHT('EASI AFR Detail'!$F$5:$F$699,5)&amp;LEFT('EASI AFR Detail'!$G$5:$G$699,4)&amp;RIGHT('EASI AFR Detail'!$J$5:$J$699,8)="ins0600)Expl5 (3227)",'EASI AFR Detail'!$O$5:$O$699))</f>
        <v>0</v>
      </c>
      <c r="K34" s="49">
        <f t="array" ref="K34">+SUM(IF(LEFT('EASI AFR Detail'!$F$5:$F$699,3)&amp;RIGHT('EASI AFR Detail'!$F$5:$F$699,5)&amp;LEFT('EASI AFR Detail'!$G$5:$G$699,4)&amp;RIGHT('EASI AFR Detail'!$J$5:$J$699,8)="ins0600)Faci5 (3227)",'EASI AFR Detail'!$O$5:$O$699))</f>
        <v>0</v>
      </c>
      <c r="L34" s="49">
        <f t="array" ref="L34">+SUM(IF(LEFT('EASI AFR Detail'!$F$5:$F$699,3)&amp;RIGHT('EASI AFR Detail'!$F$5:$F$699,5)&amp;LEFT('EASI AFR Detail'!$G$5:$G$699,4)&amp;RIGHT('EASI AFR Detail'!$J$5:$J$699,8)="ins0600)MTSS5 (3227)",'EASI AFR Detail'!$O$5:$O$699))</f>
        <v>0</v>
      </c>
      <c r="M34" s="49">
        <f t="array" ref="M34">+SUM(IF(LEFT('EASI AFR Detail'!$F$5:$F$699,3)&amp;RIGHT('EASI AFR Detail'!$F$5:$F$699,5)&amp;LEFT('EASI AFR Detail'!$G$5:$G$699,4)&amp;RIGHT('EASI AFR Detail'!$J$5:$J$699,8)="ins0600)Rigo5 (3227)",'EASI AFR Detail'!$O$5:$O$699))</f>
        <v>0</v>
      </c>
      <c r="N34" s="49">
        <f t="array" ref="N34">+SUM(IF(LEFT('EASI AFR Detail'!$F$5:$F$699,3)&amp;RIGHT('EASI AFR Detail'!$F$5:$F$699,5)&amp;LEFT('EASI AFR Detail'!$G$5:$G$699,9)&amp;RIGHT('EASI AFR Detail'!$J$5:$J$699,8)="ins0600)School Tr5 (3227)",'EASI AFR Detail'!$O$5:$O$699))</f>
        <v>0</v>
      </c>
      <c r="O34" s="49">
        <f t="array" ref="O34">+SUM(IF(LEFT('EASI AFR Detail'!$F$5:$F$699,3)&amp;RIGHT('EASI AFR Detail'!$F$5:$F$699,5)&amp;LEFT('EASI AFR Detail'!$G$5:$G$699,9)&amp;RIGHT('EASI AFR Detail'!$J$5:$J$699,8)="ins0600)School Tu5 (3227)",'EASI AFR Detail'!$O$5:$O$699))</f>
        <v>0</v>
      </c>
      <c r="P34" s="53">
        <f t="shared" si="5"/>
        <v>0</v>
      </c>
    </row>
    <row r="35" spans="1:16" ht="15" thickBot="1" x14ac:dyDescent="0.35">
      <c r="A35" s="188"/>
      <c r="B35" s="51">
        <v>7</v>
      </c>
      <c r="C35" s="56" t="s">
        <v>6551</v>
      </c>
      <c r="D35" s="49">
        <f>SUM(D29:D34)</f>
        <v>0</v>
      </c>
      <c r="E35" s="57">
        <f t="shared" ref="E35:P35" si="6">SUM(E29:E34)</f>
        <v>0</v>
      </c>
      <c r="F35" s="57">
        <f t="shared" si="6"/>
        <v>0</v>
      </c>
      <c r="G35" s="57">
        <f t="shared" si="6"/>
        <v>0</v>
      </c>
      <c r="H35" s="57">
        <f t="shared" si="6"/>
        <v>0</v>
      </c>
      <c r="I35" s="57">
        <f t="shared" si="6"/>
        <v>0</v>
      </c>
      <c r="J35" s="57">
        <f t="shared" si="6"/>
        <v>0</v>
      </c>
      <c r="K35" s="57">
        <f t="shared" si="6"/>
        <v>0</v>
      </c>
      <c r="L35" s="57">
        <f t="shared" si="6"/>
        <v>0</v>
      </c>
      <c r="M35" s="57">
        <f t="shared" si="6"/>
        <v>0</v>
      </c>
      <c r="N35" s="57">
        <f t="shared" si="6"/>
        <v>0</v>
      </c>
      <c r="O35" s="57">
        <f t="shared" si="6"/>
        <v>0</v>
      </c>
      <c r="P35" s="53">
        <f t="shared" si="6"/>
        <v>0</v>
      </c>
    </row>
    <row r="36" spans="1:16" ht="15" thickBot="1" x14ac:dyDescent="0.35">
      <c r="A36" s="188"/>
      <c r="C36" s="58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60"/>
    </row>
    <row r="37" spans="1:16" ht="15" thickBot="1" x14ac:dyDescent="0.35">
      <c r="A37" s="188"/>
      <c r="B37" s="190" t="s">
        <v>6552</v>
      </c>
      <c r="C37" s="190"/>
      <c r="D37" s="45" t="s">
        <v>6544</v>
      </c>
      <c r="E37" s="45" t="s">
        <v>6544</v>
      </c>
      <c r="F37" s="45" t="s">
        <v>6544</v>
      </c>
      <c r="G37" s="45" t="s">
        <v>6544</v>
      </c>
      <c r="H37" s="45" t="s">
        <v>6544</v>
      </c>
      <c r="I37" s="45" t="s">
        <v>6544</v>
      </c>
      <c r="J37" s="45" t="s">
        <v>6544</v>
      </c>
      <c r="K37" s="45" t="s">
        <v>6544</v>
      </c>
      <c r="L37" s="45" t="s">
        <v>6544</v>
      </c>
      <c r="M37" s="45" t="s">
        <v>6544</v>
      </c>
      <c r="N37" s="45" t="s">
        <v>6544</v>
      </c>
      <c r="O37" s="45" t="s">
        <v>6544</v>
      </c>
      <c r="P37" s="45" t="s">
        <v>6544</v>
      </c>
    </row>
    <row r="38" spans="1:16" x14ac:dyDescent="0.3">
      <c r="A38" s="188"/>
      <c r="B38" s="61">
        <v>8</v>
      </c>
      <c r="C38" s="62" t="s">
        <v>6545</v>
      </c>
      <c r="D38" s="49">
        <f t="array" ref="D38">+SUM(IF(LEFT('EASI AFR Detail'!$F$5:$F$699,3)&amp;RIGHT('EASI AFR Detail'!$F$5:$F$699,5)&amp;LEFT('EASI AFR Detail'!$G$5:$G$699,4)&amp;RIGHT('EASI AFR Detail'!$J$5:$J$699,8)="sup0100)Acco5 (3227)",'EASI AFR Detail'!$O$5:$O$699))</f>
        <v>0</v>
      </c>
      <c r="E38" s="49" cm="1">
        <f t="array" ref="E38">+SUM(IF(LEFT('EASI AFR Detail'!$F$5:$F$699,3)&amp;RIGHT('EASI AFR Detail'!$F$5:$F$699,5)&amp;LEFT('EASI AFR Detail'!$G$5:$G$699,4)&amp;RIGHT('EASI AFR Detail'!$J$5:$J$699,8)="sup0100)Colo5 (3227)",'EASI AFR Detail'!$O$5:$O$699))</f>
        <v>0</v>
      </c>
      <c r="F38" s="49">
        <f t="array" ref="F38">+SUM(IF(LEFT('EASI AFR Detail'!$F$5:$F$699,3)&amp;RIGHT('EASI AFR Detail'!$F$5:$F$699,5)&amp;LEFT('EASI AFR Detail'!$G$5:$G$699,4)&amp;RIGHT('EASI AFR Detail'!$J$5:$J$699,8)="sup0100)Conn5 (3227)",'EASI AFR Detail'!$O$5:$O$699))</f>
        <v>0</v>
      </c>
      <c r="G38" s="49">
        <f t="array" ref="G38">+SUM(IF(LEFT('EASI AFR Detail'!$F$5:$F$699,3)&amp;RIGHT('EASI AFR Detail'!$F$5:$F$699,5)&amp;LEFT('EASI AFR Detail'!$G$5:$G$699,12)&amp;RIGHT('EASI AFR Detail'!$J$5:$J$699,8)="sup0100)Diagnostic a5 (3227)",'EASI AFR Detail'!$O$5:$O$699))</f>
        <v>0</v>
      </c>
      <c r="H38" s="49">
        <f t="array" ref="H38">+SUM(IF(LEFT('EASI AFR Detail'!$F$5:$F$699,3)&amp;RIGHT('EASI AFR Detail'!$F$5:$F$699,5)&amp;LEFT('EASI AFR Detail'!$G$5:$G$699,10)&amp;RIGHT('EASI AFR Detail'!$J$5:$J$699,8)="sup0100)District D5 (3227)",'EASI AFR Detail'!$O$5:$O$699))</f>
        <v>0</v>
      </c>
      <c r="I38" s="49">
        <f t="array" ref="I38">+SUM(IF(LEFT('EASI AFR Detail'!$F$5:$F$699,3)&amp;RIGHT('EASI AFR Detail'!$F$5:$F$699,5)&amp;LEFT('EASI AFR Detail'!$G$5:$G$699,10)&amp;RIGHT('EASI AFR Detail'!$J$5:$J$699,8)="sup0100)District S5 (3227)",'EASI AFR Detail'!$O$5:$O$699))</f>
        <v>0</v>
      </c>
      <c r="J38" s="49">
        <f t="array" ref="J38">+SUM(IF(LEFT('EASI AFR Detail'!$F$5:$F$699,3)&amp;RIGHT('EASI AFR Detail'!$F$5:$F$699,5)&amp;LEFT('EASI AFR Detail'!$G$5:$G$699,4)&amp;RIGHT('EASI AFR Detail'!$J$5:$J$699,8)="sup0100)Expl5 (3227)",'EASI AFR Detail'!$O$5:$O$699))</f>
        <v>0</v>
      </c>
      <c r="K38" s="49">
        <f t="array" ref="K38">+SUM(IF(LEFT('EASI AFR Detail'!$F$5:$F$699,3)&amp;RIGHT('EASI AFR Detail'!$F$5:$F$699,5)&amp;LEFT('EASI AFR Detail'!$G$5:$G$699,4)&amp;RIGHT('EASI AFR Detail'!$J$5:$J$699,8)="sup0100)Faci5 (3227)",'EASI AFR Detail'!$O$5:$O$699))</f>
        <v>0</v>
      </c>
      <c r="L38" s="49">
        <f t="array" ref="L38">+SUM(IF(LEFT('EASI AFR Detail'!$F$5:$F$699,3)&amp;RIGHT('EASI AFR Detail'!$F$5:$F$699,5)&amp;LEFT('EASI AFR Detail'!$G$5:$G$699,4)&amp;RIGHT('EASI AFR Detail'!$J$5:$J$699,8)="sup0100)MTSS5 (3227)",'EASI AFR Detail'!$O$5:$O$699))</f>
        <v>0</v>
      </c>
      <c r="M38" s="49">
        <f t="array" ref="M38">+SUM(IF(LEFT('EASI AFR Detail'!$F$5:$F$699,3)&amp;RIGHT('EASI AFR Detail'!$F$5:$F$699,5)&amp;LEFT('EASI AFR Detail'!$G$5:$G$699,4)&amp;RIGHT('EASI AFR Detail'!$J$5:$J$699,8)="sup0100)Rigo5 (3227)",'EASI AFR Detail'!$O$5:$O$699))</f>
        <v>0</v>
      </c>
      <c r="N38" s="49">
        <f t="array" ref="N38">+SUM(IF(LEFT('EASI AFR Detail'!$F$5:$F$699,3)&amp;RIGHT('EASI AFR Detail'!$F$5:$F$699,5)&amp;LEFT('EASI AFR Detail'!$G$5:$G$699,9)&amp;RIGHT('EASI AFR Detail'!$J$5:$J$699,8)="sup0100)School Tr5 (3227)",'EASI AFR Detail'!$O$5:$O$699))</f>
        <v>0</v>
      </c>
      <c r="O38" s="49">
        <f t="array" ref="O38">+SUM(IF(LEFT('EASI AFR Detail'!$F$5:$F$699,3)&amp;RIGHT('EASI AFR Detail'!$F$5:$F$699,5)&amp;LEFT('EASI AFR Detail'!$G$5:$G$699,9)&amp;RIGHT('EASI AFR Detail'!$J$5:$J$699,8)="sup0100)School Tu5 (3227)",'EASI AFR Detail'!$O$5:$O$699))</f>
        <v>0</v>
      </c>
      <c r="P38" s="50">
        <f t="shared" ref="P38:P43" si="7">SUM(D38:O38)</f>
        <v>0</v>
      </c>
    </row>
    <row r="39" spans="1:16" x14ac:dyDescent="0.3">
      <c r="A39" s="188"/>
      <c r="B39" s="63">
        <v>9</v>
      </c>
      <c r="C39" s="64" t="s">
        <v>6546</v>
      </c>
      <c r="D39" s="49">
        <f t="array" ref="D39">+SUM(IF(LEFT('EASI AFR Detail'!$F$5:$F$699,3)&amp;RIGHT('EASI AFR Detail'!$F$5:$F$699,5)&amp;LEFT('EASI AFR Detail'!$G$5:$G$699,4)&amp;RIGHT('EASI AFR Detail'!$J$5:$J$699,8)="sup0200)Acco5 (3227)",'EASI AFR Detail'!$O$5:$O$699))</f>
        <v>0</v>
      </c>
      <c r="E39" s="49" cm="1">
        <f t="array" ref="E39">+SUM(IF(LEFT('EASI AFR Detail'!$F$5:$F$699,3)&amp;RIGHT('EASI AFR Detail'!$F$5:$F$699,5)&amp;LEFT('EASI AFR Detail'!$G$5:$G$699,4)&amp;RIGHT('EASI AFR Detail'!$J$5:$J$699,8)="sup0200)Colo5 (3227)",'EASI AFR Detail'!$O$5:$O$699))</f>
        <v>0</v>
      </c>
      <c r="F39" s="49">
        <f t="array" ref="F39">+SUM(IF(LEFT('EASI AFR Detail'!$F$5:$F$699,3)&amp;RIGHT('EASI AFR Detail'!$F$5:$F$699,5)&amp;LEFT('EASI AFR Detail'!$G$5:$G$699,4)&amp;RIGHT('EASI AFR Detail'!$J$5:$J$699,8)="sup0200)Conn5 (3227)",'EASI AFR Detail'!$O$5:$O$699))</f>
        <v>0</v>
      </c>
      <c r="G39" s="49">
        <f t="array" ref="G39">+SUM(IF(LEFT('EASI AFR Detail'!$F$5:$F$699,3)&amp;RIGHT('EASI AFR Detail'!$F$5:$F$699,5)&amp;LEFT('EASI AFR Detail'!$G$5:$G$699,12)&amp;RIGHT('EASI AFR Detail'!$J$5:$J$699,8)="sup0200)Diagnostic a5 (3227)",'EASI AFR Detail'!$O$5:$O$699))</f>
        <v>0</v>
      </c>
      <c r="H39" s="49">
        <f t="array" ref="H39">+SUM(IF(LEFT('EASI AFR Detail'!$F$5:$F$699,3)&amp;RIGHT('EASI AFR Detail'!$F$5:$F$699,5)&amp;LEFT('EASI AFR Detail'!$G$5:$G$699,10)&amp;RIGHT('EASI AFR Detail'!$J$5:$J$699,8)="sup0200)District D5 (3227)",'EASI AFR Detail'!$O$5:$O$699))</f>
        <v>0</v>
      </c>
      <c r="I39" s="49">
        <f t="array" ref="I39">+SUM(IF(LEFT('EASI AFR Detail'!$F$5:$F$699,3)&amp;RIGHT('EASI AFR Detail'!$F$5:$F$699,5)&amp;LEFT('EASI AFR Detail'!$G$5:$G$699,10)&amp;RIGHT('EASI AFR Detail'!$J$5:$J$699,8)="sup0200)District S5 (3227)",'EASI AFR Detail'!$O$5:$O$699))</f>
        <v>0</v>
      </c>
      <c r="J39" s="49">
        <f t="array" ref="J39">+SUM(IF(LEFT('EASI AFR Detail'!$F$5:$F$699,3)&amp;RIGHT('EASI AFR Detail'!$F$5:$F$699,5)&amp;LEFT('EASI AFR Detail'!$G$5:$G$699,4)&amp;RIGHT('EASI AFR Detail'!$J$5:$J$699,8)="sup0200)Expl5 (3227)",'EASI AFR Detail'!$O$5:$O$699))</f>
        <v>0</v>
      </c>
      <c r="K39" s="49">
        <f t="array" ref="K39">+SUM(IF(LEFT('EASI AFR Detail'!$F$5:$F$699,3)&amp;RIGHT('EASI AFR Detail'!$F$5:$F$699,5)&amp;LEFT('EASI AFR Detail'!$G$5:$G$699,4)&amp;RIGHT('EASI AFR Detail'!$J$5:$J$699,8)="sup0200)Faci5 (3227)",'EASI AFR Detail'!$O$5:$O$699))</f>
        <v>0</v>
      </c>
      <c r="L39" s="49">
        <f t="array" ref="L39">+SUM(IF(LEFT('EASI AFR Detail'!$F$5:$F$699,3)&amp;RIGHT('EASI AFR Detail'!$F$5:$F$699,5)&amp;LEFT('EASI AFR Detail'!$G$5:$G$699,4)&amp;RIGHT('EASI AFR Detail'!$J$5:$J$699,8)="sup0200)MTSS5 (3227)",'EASI AFR Detail'!$O$5:$O$699))</f>
        <v>0</v>
      </c>
      <c r="M39" s="49">
        <f t="array" ref="M39">+SUM(IF(LEFT('EASI AFR Detail'!$F$5:$F$699,3)&amp;RIGHT('EASI AFR Detail'!$F$5:$F$699,5)&amp;LEFT('EASI AFR Detail'!$G$5:$G$699,4)&amp;RIGHT('EASI AFR Detail'!$J$5:$J$699,8)="sup0200)Rigo5 (3227)",'EASI AFR Detail'!$O$5:$O$699))</f>
        <v>0</v>
      </c>
      <c r="N39" s="49">
        <f t="array" ref="N39">+SUM(IF(LEFT('EASI AFR Detail'!$F$5:$F$699,3)&amp;RIGHT('EASI AFR Detail'!$F$5:$F$699,5)&amp;LEFT('EASI AFR Detail'!$G$5:$G$699,9)&amp;RIGHT('EASI AFR Detail'!$J$5:$J$699,8)="sup0200)School Tr5 (3227)",'EASI AFR Detail'!$O$5:$O$699))</f>
        <v>0</v>
      </c>
      <c r="O39" s="49">
        <f t="array" ref="O39">+SUM(IF(LEFT('EASI AFR Detail'!$F$5:$F$699,3)&amp;RIGHT('EASI AFR Detail'!$F$5:$F$699,5)&amp;LEFT('EASI AFR Detail'!$G$5:$G$699,9)&amp;RIGHT('EASI AFR Detail'!$J$5:$J$699,8)="sup0200)School Tu5 (3227)",'EASI AFR Detail'!$O$5:$O$699))</f>
        <v>0</v>
      </c>
      <c r="P39" s="53">
        <f t="shared" si="7"/>
        <v>0</v>
      </c>
    </row>
    <row r="40" spans="1:16" x14ac:dyDescent="0.3">
      <c r="A40" s="188"/>
      <c r="B40" s="63">
        <v>10</v>
      </c>
      <c r="C40" s="64" t="s">
        <v>6547</v>
      </c>
      <c r="D40" s="49">
        <f t="array" ref="D40">+SUM(IF(LEFT('EASI AFR Detail'!$F$5:$F$699,3)&amp;RIGHT('EASI AFR Detail'!$F$5:$F$699,5)&amp;LEFT('EASI AFR Detail'!$G$5:$G$699,4)&amp;RIGHT('EASI AFR Detail'!$J$5:$J$699,8)="sup0300)Acco5 (3227)",'EASI AFR Detail'!$O$5:$O$699))</f>
        <v>0</v>
      </c>
      <c r="E40" s="49" cm="1">
        <f t="array" ref="E40">+SUM(IF(LEFT('EASI AFR Detail'!$F$5:$F$699,3)&amp;RIGHT('EASI AFR Detail'!$F$5:$F$699,5)&amp;LEFT('EASI AFR Detail'!$G$5:$G$699,4)&amp;RIGHT('EASI AFR Detail'!$J$5:$J$699,8)="sup0300)Colo5 (3227)",'EASI AFR Detail'!$O$5:$O$699))</f>
        <v>0</v>
      </c>
      <c r="F40" s="49">
        <f t="array" ref="F40">+SUM(IF(LEFT('EASI AFR Detail'!$F$5:$F$699,3)&amp;RIGHT('EASI AFR Detail'!$F$5:$F$699,5)&amp;LEFT('EASI AFR Detail'!$G$5:$G$699,4)&amp;RIGHT('EASI AFR Detail'!$J$5:$J$699,8)="sup0300)Conn5 (3227)",'EASI AFR Detail'!$O$5:$O$699))</f>
        <v>0</v>
      </c>
      <c r="G40" s="49">
        <f t="array" ref="G40">+SUM(IF(LEFT('EASI AFR Detail'!$F$5:$F$699,3)&amp;RIGHT('EASI AFR Detail'!$F$5:$F$699,5)&amp;LEFT('EASI AFR Detail'!$G$5:$G$699,12)&amp;RIGHT('EASI AFR Detail'!$J$5:$J$699,8)="sup0300)Diagnostic a5 (3227)",'EASI AFR Detail'!$O$5:$O$699))</f>
        <v>0</v>
      </c>
      <c r="H40" s="49">
        <f t="array" ref="H40">+SUM(IF(LEFT('EASI AFR Detail'!$F$5:$F$699,3)&amp;RIGHT('EASI AFR Detail'!$F$5:$F$699,5)&amp;LEFT('EASI AFR Detail'!$G$5:$G$699,10)&amp;RIGHT('EASI AFR Detail'!$J$5:$J$699,8)="sup0300)District D5 (3227)",'EASI AFR Detail'!$O$5:$O$699))</f>
        <v>0</v>
      </c>
      <c r="I40" s="49">
        <f t="array" ref="I40">+SUM(IF(LEFT('EASI AFR Detail'!$F$5:$F$699,3)&amp;RIGHT('EASI AFR Detail'!$F$5:$F$699,5)&amp;LEFT('EASI AFR Detail'!$G$5:$G$699,10)&amp;RIGHT('EASI AFR Detail'!$J$5:$J$699,8)="sup0300)District S5 (3227)",'EASI AFR Detail'!$O$5:$O$699))</f>
        <v>0</v>
      </c>
      <c r="J40" s="49">
        <f t="array" ref="J40">+SUM(IF(LEFT('EASI AFR Detail'!$F$5:$F$699,3)&amp;RIGHT('EASI AFR Detail'!$F$5:$F$699,5)&amp;LEFT('EASI AFR Detail'!$G$5:$G$699,4)&amp;RIGHT('EASI AFR Detail'!$J$5:$J$699,8)="sup0300)Expl5 (3227)",'EASI AFR Detail'!$O$5:$O$699))</f>
        <v>0</v>
      </c>
      <c r="K40" s="49">
        <f t="array" ref="K40">+SUM(IF(LEFT('EASI AFR Detail'!$F$5:$F$699,3)&amp;RIGHT('EASI AFR Detail'!$F$5:$F$699,5)&amp;LEFT('EASI AFR Detail'!$G$5:$G$699,4)&amp;RIGHT('EASI AFR Detail'!$J$5:$J$699,8)="sup0300)Faci5 (3227)",'EASI AFR Detail'!$O$5:$O$699))</f>
        <v>0</v>
      </c>
      <c r="L40" s="49">
        <f t="array" ref="L40">+SUM(IF(LEFT('EASI AFR Detail'!$F$5:$F$699,3)&amp;RIGHT('EASI AFR Detail'!$F$5:$F$699,5)&amp;LEFT('EASI AFR Detail'!$G$5:$G$699,4)&amp;RIGHT('EASI AFR Detail'!$J$5:$J$699,8)="sup0300)MTSS5 (3227)",'EASI AFR Detail'!$O$5:$O$699))</f>
        <v>0</v>
      </c>
      <c r="M40" s="49">
        <f t="array" ref="M40">+SUM(IF(LEFT('EASI AFR Detail'!$F$5:$F$699,3)&amp;RIGHT('EASI AFR Detail'!$F$5:$F$699,5)&amp;LEFT('EASI AFR Detail'!$G$5:$G$699,4)&amp;RIGHT('EASI AFR Detail'!$J$5:$J$699,8)="sup0300)Rigo5 (3227)",'EASI AFR Detail'!$O$5:$O$699))</f>
        <v>0</v>
      </c>
      <c r="N40" s="49">
        <f t="array" ref="N40">+SUM(IF(LEFT('EASI AFR Detail'!$F$5:$F$699,3)&amp;RIGHT('EASI AFR Detail'!$F$5:$F$699,5)&amp;LEFT('EASI AFR Detail'!$G$5:$G$699,9)&amp;RIGHT('EASI AFR Detail'!$J$5:$J$699,8)="sup0300)School Tr5 (3227)",'EASI AFR Detail'!$O$5:$O$699))</f>
        <v>0</v>
      </c>
      <c r="O40" s="49">
        <f t="array" ref="O40">+SUM(IF(LEFT('EASI AFR Detail'!$F$5:$F$699,3)&amp;RIGHT('EASI AFR Detail'!$F$5:$F$699,5)&amp;LEFT('EASI AFR Detail'!$G$5:$G$699,9)&amp;RIGHT('EASI AFR Detail'!$J$5:$J$699,8)="sup0300)School Tu5 (3227)",'EASI AFR Detail'!$O$5:$O$699))</f>
        <v>0</v>
      </c>
      <c r="P40" s="53">
        <f t="shared" si="7"/>
        <v>0</v>
      </c>
    </row>
    <row r="41" spans="1:16" x14ac:dyDescent="0.3">
      <c r="A41" s="188"/>
      <c r="B41" s="63">
        <v>11</v>
      </c>
      <c r="C41" s="64" t="s">
        <v>6548</v>
      </c>
      <c r="D41" s="49">
        <f t="array" ref="D41">+SUM(IF(LEFT('EASI AFR Detail'!$F$5:$F$699,3)&amp;RIGHT('EASI AFR Detail'!$F$5:$F$699,5)&amp;LEFT('EASI AFR Detail'!$G$5:$G$699,4)&amp;RIGHT('EASI AFR Detail'!$J$5:$J$699,8)="sup0500)Acco5 (3227)",'EASI AFR Detail'!$O$5:$O$699))</f>
        <v>0</v>
      </c>
      <c r="E41" s="49" cm="1">
        <f t="array" ref="E41">+SUM(IF(LEFT('EASI AFR Detail'!$F$5:$F$699,3)&amp;RIGHT('EASI AFR Detail'!$F$5:$F$699,5)&amp;LEFT('EASI AFR Detail'!$G$5:$G$699,4)&amp;RIGHT('EASI AFR Detail'!$J$5:$J$699,8)="sup0500)Colo5 (3227)",'EASI AFR Detail'!$O$5:$O$699))</f>
        <v>0</v>
      </c>
      <c r="F41" s="49">
        <f t="array" ref="F41">+SUM(IF(LEFT('EASI AFR Detail'!$F$5:$F$699,3)&amp;RIGHT('EASI AFR Detail'!$F$5:$F$699,5)&amp;LEFT('EASI AFR Detail'!$G$5:$G$699,4)&amp;RIGHT('EASI AFR Detail'!$J$5:$J$699,8)="sup0500)Conn5 (3227)",'EASI AFR Detail'!$O$5:$O$699))</f>
        <v>0</v>
      </c>
      <c r="G41" s="49">
        <f t="array" ref="G41">+SUM(IF(LEFT('EASI AFR Detail'!$F$5:$F$699,3)&amp;RIGHT('EASI AFR Detail'!$F$5:$F$699,5)&amp;LEFT('EASI AFR Detail'!$G$5:$G$699,12)&amp;RIGHT('EASI AFR Detail'!$J$5:$J$699,8)="sup0500)Diagnostic a5 (3227)",'EASI AFR Detail'!$O$5:$O$699))</f>
        <v>0</v>
      </c>
      <c r="H41" s="49">
        <f t="array" ref="H41">+SUM(IF(LEFT('EASI AFR Detail'!$F$5:$F$699,3)&amp;RIGHT('EASI AFR Detail'!$F$5:$F$699,5)&amp;LEFT('EASI AFR Detail'!$G$5:$G$699,10)&amp;RIGHT('EASI AFR Detail'!$J$5:$J$699,8)="sup0500)District D5 (3227)",'EASI AFR Detail'!$O$5:$O$699))</f>
        <v>0</v>
      </c>
      <c r="I41" s="49">
        <f t="array" ref="I41">+SUM(IF(LEFT('EASI AFR Detail'!$F$5:$F$699,3)&amp;RIGHT('EASI AFR Detail'!$F$5:$F$699,5)&amp;LEFT('EASI AFR Detail'!$G$5:$G$699,10)&amp;RIGHT('EASI AFR Detail'!$J$5:$J$699,8)="sup0500)District S5 (3227)",'EASI AFR Detail'!$O$5:$O$699))</f>
        <v>0</v>
      </c>
      <c r="J41" s="49">
        <f t="array" ref="J41">+SUM(IF(LEFT('EASI AFR Detail'!$F$5:$F$699,3)&amp;RIGHT('EASI AFR Detail'!$F$5:$F$699,5)&amp;LEFT('EASI AFR Detail'!$G$5:$G$699,4)&amp;RIGHT('EASI AFR Detail'!$J$5:$J$699,8)="sup0500)Expl5 (3227)",'EASI AFR Detail'!$O$5:$O$699))</f>
        <v>0</v>
      </c>
      <c r="K41" s="49">
        <f t="array" ref="K41">+SUM(IF(LEFT('EASI AFR Detail'!$F$5:$F$699,3)&amp;RIGHT('EASI AFR Detail'!$F$5:$F$699,5)&amp;LEFT('EASI AFR Detail'!$G$5:$G$699,4)&amp;RIGHT('EASI AFR Detail'!$J$5:$J$699,8)="sup0500)Faci5 (3227)",'EASI AFR Detail'!$O$5:$O$699))</f>
        <v>0</v>
      </c>
      <c r="L41" s="49">
        <f t="array" ref="L41">+SUM(IF(LEFT('EASI AFR Detail'!$F$5:$F$699,3)&amp;RIGHT('EASI AFR Detail'!$F$5:$F$699,5)&amp;LEFT('EASI AFR Detail'!$G$5:$G$699,4)&amp;RIGHT('EASI AFR Detail'!$J$5:$J$699,8)="sup0500)MTSS5 (3227)",'EASI AFR Detail'!$O$5:$O$699))</f>
        <v>0</v>
      </c>
      <c r="M41" s="49">
        <f t="array" ref="M41">+SUM(IF(LEFT('EASI AFR Detail'!$F$5:$F$699,3)&amp;RIGHT('EASI AFR Detail'!$F$5:$F$699,5)&amp;LEFT('EASI AFR Detail'!$G$5:$G$699,4)&amp;RIGHT('EASI AFR Detail'!$J$5:$J$699,8)="sup0500)Rigo5 (3227)",'EASI AFR Detail'!$O$5:$O$699))</f>
        <v>0</v>
      </c>
      <c r="N41" s="49">
        <f t="array" ref="N41">+SUM(IF(LEFT('EASI AFR Detail'!$F$5:$F$699,3)&amp;RIGHT('EASI AFR Detail'!$F$5:$F$699,5)&amp;LEFT('EASI AFR Detail'!$G$5:$G$699,9)&amp;RIGHT('EASI AFR Detail'!$J$5:$J$699,8)="sup0500)School Tr5 (3227)",'EASI AFR Detail'!$O$5:$O$699))</f>
        <v>0</v>
      </c>
      <c r="O41" s="49">
        <f t="array" ref="O41">+SUM(IF(LEFT('EASI AFR Detail'!$F$5:$F$699,3)&amp;RIGHT('EASI AFR Detail'!$F$5:$F$699,5)&amp;LEFT('EASI AFR Detail'!$G$5:$G$699,9)&amp;RIGHT('EASI AFR Detail'!$J$5:$J$699,8)="sup0500)School Tu5 (3227)",'EASI AFR Detail'!$O$5:$O$699))</f>
        <v>0</v>
      </c>
      <c r="P41" s="53">
        <f t="shared" si="7"/>
        <v>0</v>
      </c>
    </row>
    <row r="42" spans="1:16" x14ac:dyDescent="0.3">
      <c r="A42" s="188"/>
      <c r="B42" s="63">
        <v>12</v>
      </c>
      <c r="C42" s="64" t="s">
        <v>6549</v>
      </c>
      <c r="D42" s="49">
        <f t="array" ref="D42">+SUM(IF(LEFT('EASI AFR Detail'!$F$5:$F$699,3)&amp;RIGHT('EASI AFR Detail'!$F$5:$F$699,5)&amp;LEFT('EASI AFR Detail'!$G$5:$G$699,4)&amp;RIGHT('EASI AFR Detail'!$J$5:$J$699,8)="sup0580)Acco5 (3227)",'EASI AFR Detail'!$O$5:$O$699))</f>
        <v>0</v>
      </c>
      <c r="E42" s="49" cm="1">
        <f t="array" ref="E42">+SUM(IF(LEFT('EASI AFR Detail'!$F$5:$F$699,3)&amp;RIGHT('EASI AFR Detail'!$F$5:$F$699,5)&amp;LEFT('EASI AFR Detail'!$G$5:$G$699,4)&amp;RIGHT('EASI AFR Detail'!$J$5:$J$699,8)="sup0580)Colo5 (3227)",'EASI AFR Detail'!$O$5:$O$699))</f>
        <v>0</v>
      </c>
      <c r="F42" s="49">
        <f t="array" ref="F42">+SUM(IF(LEFT('EASI AFR Detail'!$F$5:$F$699,3)&amp;RIGHT('EASI AFR Detail'!$F$5:$F$699,5)&amp;LEFT('EASI AFR Detail'!$G$5:$G$699,4)&amp;RIGHT('EASI AFR Detail'!$J$5:$J$699,8)="sup0580)Conn5 (3227)",'EASI AFR Detail'!$O$5:$O$699))</f>
        <v>0</v>
      </c>
      <c r="G42" s="49">
        <f t="array" ref="G42">+SUM(IF(LEFT('EASI AFR Detail'!$F$5:$F$699,3)&amp;RIGHT('EASI AFR Detail'!$F$5:$F$699,5)&amp;LEFT('EASI AFR Detail'!$G$5:$G$699,12)&amp;RIGHT('EASI AFR Detail'!$J$5:$J$699,8)="sup0580)Diagnostic a5 (3227)",'EASI AFR Detail'!$O$5:$O$699))</f>
        <v>0</v>
      </c>
      <c r="H42" s="49">
        <f t="array" ref="H42">+SUM(IF(LEFT('EASI AFR Detail'!$F$5:$F$699,3)&amp;RIGHT('EASI AFR Detail'!$F$5:$F$699,5)&amp;LEFT('EASI AFR Detail'!$G$5:$G$699,10)&amp;RIGHT('EASI AFR Detail'!$J$5:$J$699,8)="sup0580)District D5 (3227)",'EASI AFR Detail'!$O$5:$O$699))</f>
        <v>0</v>
      </c>
      <c r="I42" s="49">
        <f t="array" ref="I42">+SUM(IF(LEFT('EASI AFR Detail'!$F$5:$F$699,3)&amp;RIGHT('EASI AFR Detail'!$F$5:$F$699,5)&amp;LEFT('EASI AFR Detail'!$G$5:$G$699,10)&amp;RIGHT('EASI AFR Detail'!$J$5:$J$699,8)="sup0580)District S5 (3227)",'EASI AFR Detail'!$O$5:$O$699))</f>
        <v>0</v>
      </c>
      <c r="J42" s="49">
        <f t="array" ref="J42">+SUM(IF(LEFT('EASI AFR Detail'!$F$5:$F$699,3)&amp;RIGHT('EASI AFR Detail'!$F$5:$F$699,5)&amp;LEFT('EASI AFR Detail'!$G$5:$G$699,4)&amp;RIGHT('EASI AFR Detail'!$J$5:$J$699,8)="sup0580)Expl5 (3227)",'EASI AFR Detail'!$O$5:$O$699))</f>
        <v>0</v>
      </c>
      <c r="K42" s="49">
        <f t="array" ref="K42">+SUM(IF(LEFT('EASI AFR Detail'!$F$5:$F$699,3)&amp;RIGHT('EASI AFR Detail'!$F$5:$F$699,5)&amp;LEFT('EASI AFR Detail'!$G$5:$G$699,4)&amp;RIGHT('EASI AFR Detail'!$J$5:$J$699,8)="sup0580)Faci5 (3227)",'EASI AFR Detail'!$O$5:$O$699))</f>
        <v>0</v>
      </c>
      <c r="L42" s="49">
        <f t="array" ref="L42">+SUM(IF(LEFT('EASI AFR Detail'!$F$5:$F$699,3)&amp;RIGHT('EASI AFR Detail'!$F$5:$F$699,5)&amp;LEFT('EASI AFR Detail'!$G$5:$G$699,4)&amp;RIGHT('EASI AFR Detail'!$J$5:$J$699,8)="sup0580)MTSS5 (3227)",'EASI AFR Detail'!$O$5:$O$699))</f>
        <v>0</v>
      </c>
      <c r="M42" s="49">
        <f t="array" ref="M42">+SUM(IF(LEFT('EASI AFR Detail'!$F$5:$F$699,3)&amp;RIGHT('EASI AFR Detail'!$F$5:$F$699,5)&amp;LEFT('EASI AFR Detail'!$G$5:$G$699,4)&amp;RIGHT('EASI AFR Detail'!$J$5:$J$699,8)="sup0580)Rigo5 (3227)",'EASI AFR Detail'!$O$5:$O$699))</f>
        <v>0</v>
      </c>
      <c r="N42" s="49">
        <f t="array" ref="N42">+SUM(IF(LEFT('EASI AFR Detail'!$F$5:$F$699,3)&amp;RIGHT('EASI AFR Detail'!$F$5:$F$699,5)&amp;LEFT('EASI AFR Detail'!$G$5:$G$699,9)&amp;RIGHT('EASI AFR Detail'!$J$5:$J$699,8)="sup0580)School Tr5 (3227)",'EASI AFR Detail'!$O$5:$O$699))</f>
        <v>0</v>
      </c>
      <c r="O42" s="49">
        <f t="array" ref="O42">+SUM(IF(LEFT('EASI AFR Detail'!$F$5:$F$699,3)&amp;RIGHT('EASI AFR Detail'!$F$5:$F$699,5)&amp;LEFT('EASI AFR Detail'!$G$5:$G$699,9)&amp;RIGHT('EASI AFR Detail'!$J$5:$J$699,8)="sup0580)School Tu5 (3227)",'EASI AFR Detail'!$O$5:$O$699))</f>
        <v>0</v>
      </c>
      <c r="P42" s="53">
        <f t="shared" si="7"/>
        <v>0</v>
      </c>
    </row>
    <row r="43" spans="1:16" x14ac:dyDescent="0.3">
      <c r="A43" s="188"/>
      <c r="B43" s="63">
        <v>13</v>
      </c>
      <c r="C43" s="64" t="s">
        <v>6550</v>
      </c>
      <c r="D43" s="49">
        <f t="array" ref="D43">+SUM(IF(LEFT('EASI AFR Detail'!$F$5:$F$699,3)&amp;RIGHT('EASI AFR Detail'!$F$5:$F$699,5)&amp;LEFT('EASI AFR Detail'!$G$5:$G$699,4)&amp;RIGHT('EASI AFR Detail'!$J$5:$J$699,8)="sup0600)Acco5 (3227)",'EASI AFR Detail'!$O$5:$O$699))</f>
        <v>0</v>
      </c>
      <c r="E43" s="49" cm="1">
        <f t="array" ref="E43">+SUM(IF(LEFT('EASI AFR Detail'!$F$5:$F$699,3)&amp;RIGHT('EASI AFR Detail'!$F$5:$F$699,5)&amp;LEFT('EASI AFR Detail'!$G$5:$G$699,4)&amp;RIGHT('EASI AFR Detail'!$J$5:$J$699,8)="sup0600)Colo5 (3227)",'EASI AFR Detail'!$O$5:$O$699))</f>
        <v>0</v>
      </c>
      <c r="F43" s="49">
        <f t="array" ref="F43">+SUM(IF(LEFT('EASI AFR Detail'!$F$5:$F$699,3)&amp;RIGHT('EASI AFR Detail'!$F$5:$F$699,5)&amp;LEFT('EASI AFR Detail'!$G$5:$G$699,4)&amp;RIGHT('EASI AFR Detail'!$J$5:$J$699,8)="sup0600)Conn5 (3227)",'EASI AFR Detail'!$O$5:$O$699))</f>
        <v>0</v>
      </c>
      <c r="G43" s="49">
        <f t="array" ref="G43">+SUM(IF(LEFT('EASI AFR Detail'!$F$5:$F$699,3)&amp;RIGHT('EASI AFR Detail'!$F$5:$F$699,5)&amp;LEFT('EASI AFR Detail'!$G$5:$G$699,12)&amp;RIGHT('EASI AFR Detail'!$J$5:$J$699,8)="sup0600)Diagnostic a5 (3227)",'EASI AFR Detail'!$O$5:$O$699))</f>
        <v>0</v>
      </c>
      <c r="H43" s="49">
        <f t="array" ref="H43">+SUM(IF(LEFT('EASI AFR Detail'!$F$5:$F$699,3)&amp;RIGHT('EASI AFR Detail'!$F$5:$F$699,5)&amp;LEFT('EASI AFR Detail'!$G$5:$G$699,10)&amp;RIGHT('EASI AFR Detail'!$J$5:$J$699,8)="sup0600)District D5 (3227)",'EASI AFR Detail'!$O$5:$O$699))</f>
        <v>0</v>
      </c>
      <c r="I43" s="49">
        <f t="array" ref="I43">+SUM(IF(LEFT('EASI AFR Detail'!$F$5:$F$699,3)&amp;RIGHT('EASI AFR Detail'!$F$5:$F$699,5)&amp;LEFT('EASI AFR Detail'!$G$5:$G$699,10)&amp;RIGHT('EASI AFR Detail'!$J$5:$J$699,8)="sup0600)District S5 (3227)",'EASI AFR Detail'!$O$5:$O$699))</f>
        <v>0</v>
      </c>
      <c r="J43" s="49">
        <f t="array" ref="J43">+SUM(IF(LEFT('EASI AFR Detail'!$F$5:$F$699,3)&amp;RIGHT('EASI AFR Detail'!$F$5:$F$699,5)&amp;LEFT('EASI AFR Detail'!$G$5:$G$699,4)&amp;RIGHT('EASI AFR Detail'!$J$5:$J$699,8)="sup0600)Expl5 (3227)",'EASI AFR Detail'!$O$5:$O$699))</f>
        <v>0</v>
      </c>
      <c r="K43" s="49">
        <f t="array" ref="K43">+SUM(IF(LEFT('EASI AFR Detail'!$F$5:$F$699,3)&amp;RIGHT('EASI AFR Detail'!$F$5:$F$699,5)&amp;LEFT('EASI AFR Detail'!$G$5:$G$699,4)&amp;RIGHT('EASI AFR Detail'!$J$5:$J$699,8)="sup0600)Faci5 (3227)",'EASI AFR Detail'!$O$5:$O$699))</f>
        <v>0</v>
      </c>
      <c r="L43" s="49">
        <f t="array" ref="L43">+SUM(IF(LEFT('EASI AFR Detail'!$F$5:$F$699,3)&amp;RIGHT('EASI AFR Detail'!$F$5:$F$699,5)&amp;LEFT('EASI AFR Detail'!$G$5:$G$699,4)&amp;RIGHT('EASI AFR Detail'!$J$5:$J$699,8)="sup0600)MTSS5 (3227)",'EASI AFR Detail'!$O$5:$O$699))</f>
        <v>0</v>
      </c>
      <c r="M43" s="49">
        <f t="array" ref="M43">+SUM(IF(LEFT('EASI AFR Detail'!$F$5:$F$699,3)&amp;RIGHT('EASI AFR Detail'!$F$5:$F$699,5)&amp;LEFT('EASI AFR Detail'!$G$5:$G$699,4)&amp;RIGHT('EASI AFR Detail'!$J$5:$J$699,8)="sup0600)Rigo5 (3227)",'EASI AFR Detail'!$O$5:$O$699))</f>
        <v>0</v>
      </c>
      <c r="N43" s="49">
        <f t="array" ref="N43">+SUM(IF(LEFT('EASI AFR Detail'!$F$5:$F$699,3)&amp;RIGHT('EASI AFR Detail'!$F$5:$F$699,5)&amp;LEFT('EASI AFR Detail'!$G$5:$G$699,9)&amp;RIGHT('EASI AFR Detail'!$J$5:$J$699,8)="sup0600)School Tr5 (3227)",'EASI AFR Detail'!$O$5:$O$699))</f>
        <v>0</v>
      </c>
      <c r="O43" s="49">
        <f t="array" ref="O43">+SUM(IF(LEFT('EASI AFR Detail'!$F$5:$F$699,3)&amp;RIGHT('EASI AFR Detail'!$F$5:$F$699,5)&amp;LEFT('EASI AFR Detail'!$G$5:$G$699,9)&amp;RIGHT('EASI AFR Detail'!$J$5:$J$699,8)="sup0600)School Tu5 (3227)",'EASI AFR Detail'!$O$5:$O$699))</f>
        <v>0</v>
      </c>
      <c r="P43" s="53">
        <f t="shared" si="7"/>
        <v>0</v>
      </c>
    </row>
    <row r="44" spans="1:16" x14ac:dyDescent="0.3">
      <c r="A44" s="188"/>
      <c r="B44" s="63">
        <v>14</v>
      </c>
      <c r="C44" s="65" t="s">
        <v>6553</v>
      </c>
      <c r="D44" s="49">
        <f>SUM(D38:D43)</f>
        <v>0</v>
      </c>
      <c r="E44" s="57">
        <f t="shared" ref="E44:P44" si="8">SUM(E38:E43)</f>
        <v>0</v>
      </c>
      <c r="F44" s="57">
        <f t="shared" si="8"/>
        <v>0</v>
      </c>
      <c r="G44" s="57">
        <f t="shared" si="8"/>
        <v>0</v>
      </c>
      <c r="H44" s="57">
        <f t="shared" si="8"/>
        <v>0</v>
      </c>
      <c r="I44" s="57">
        <f t="shared" si="8"/>
        <v>0</v>
      </c>
      <c r="J44" s="57">
        <f t="shared" si="8"/>
        <v>0</v>
      </c>
      <c r="K44" s="57">
        <f t="shared" si="8"/>
        <v>0</v>
      </c>
      <c r="L44" s="57">
        <f t="shared" si="8"/>
        <v>0</v>
      </c>
      <c r="M44" s="57">
        <f t="shared" si="8"/>
        <v>0</v>
      </c>
      <c r="N44" s="57">
        <f t="shared" si="8"/>
        <v>0</v>
      </c>
      <c r="O44" s="57">
        <f t="shared" si="8"/>
        <v>0</v>
      </c>
      <c r="P44" s="53">
        <f t="shared" si="8"/>
        <v>0</v>
      </c>
    </row>
    <row r="45" spans="1:16" x14ac:dyDescent="0.3">
      <c r="A45" s="188"/>
      <c r="B45" s="66"/>
      <c r="C45" s="67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9"/>
    </row>
    <row r="46" spans="1:16" x14ac:dyDescent="0.3">
      <c r="A46" s="188"/>
      <c r="B46" s="63">
        <v>15</v>
      </c>
      <c r="C46" s="64" t="s">
        <v>6554</v>
      </c>
      <c r="D46" s="39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1">
        <f>SUM(D46:O46)</f>
        <v>0</v>
      </c>
    </row>
    <row r="47" spans="1:16" x14ac:dyDescent="0.3">
      <c r="A47" s="188"/>
      <c r="B47" s="66"/>
      <c r="C47" s="70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9"/>
    </row>
    <row r="48" spans="1:16" ht="15" thickBot="1" x14ac:dyDescent="0.35">
      <c r="A48" s="189"/>
      <c r="B48" s="71">
        <v>16</v>
      </c>
      <c r="C48" s="72" t="s">
        <v>6517</v>
      </c>
      <c r="D48" s="73">
        <f>D35+D44+D46</f>
        <v>0</v>
      </c>
      <c r="E48" s="74">
        <f t="shared" ref="E48:O48" si="9">E35+E44+E46</f>
        <v>0</v>
      </c>
      <c r="F48" s="74">
        <f t="shared" si="9"/>
        <v>0</v>
      </c>
      <c r="G48" s="74">
        <f t="shared" si="9"/>
        <v>0</v>
      </c>
      <c r="H48" s="74">
        <f t="shared" si="9"/>
        <v>0</v>
      </c>
      <c r="I48" s="74">
        <f t="shared" si="9"/>
        <v>0</v>
      </c>
      <c r="J48" s="74">
        <f t="shared" si="9"/>
        <v>0</v>
      </c>
      <c r="K48" s="74">
        <f t="shared" si="9"/>
        <v>0</v>
      </c>
      <c r="L48" s="74">
        <f t="shared" si="9"/>
        <v>0</v>
      </c>
      <c r="M48" s="74">
        <f t="shared" si="9"/>
        <v>0</v>
      </c>
      <c r="N48" s="74">
        <f t="shared" si="9"/>
        <v>0</v>
      </c>
      <c r="O48" s="74">
        <f t="shared" si="9"/>
        <v>0</v>
      </c>
      <c r="P48" s="75">
        <f>P35+P44+P46</f>
        <v>0</v>
      </c>
    </row>
    <row r="49" spans="1:16" x14ac:dyDescent="0.3">
      <c r="C49" s="77"/>
    </row>
    <row r="50" spans="1:16" ht="15" thickBot="1" x14ac:dyDescent="0.35">
      <c r="C50" s="77"/>
    </row>
    <row r="51" spans="1:16" ht="15" thickBot="1" x14ac:dyDescent="0.35">
      <c r="A51" s="187" t="s">
        <v>6584</v>
      </c>
      <c r="B51" s="190" t="s">
        <v>6543</v>
      </c>
      <c r="C51" s="190"/>
      <c r="D51" s="45" t="s">
        <v>6544</v>
      </c>
      <c r="E51" s="45" t="s">
        <v>6544</v>
      </c>
      <c r="F51" s="45" t="s">
        <v>6544</v>
      </c>
      <c r="G51" s="45" t="s">
        <v>6544</v>
      </c>
      <c r="H51" s="45" t="s">
        <v>6544</v>
      </c>
      <c r="I51" s="45" t="s">
        <v>6544</v>
      </c>
      <c r="J51" s="45" t="s">
        <v>6544</v>
      </c>
      <c r="K51" s="45" t="s">
        <v>6544</v>
      </c>
      <c r="L51" s="45" t="s">
        <v>6544</v>
      </c>
      <c r="M51" s="45" t="s">
        <v>6544</v>
      </c>
      <c r="N51" s="45" t="s">
        <v>6544</v>
      </c>
      <c r="O51" s="45" t="s">
        <v>6544</v>
      </c>
      <c r="P51" s="45" t="s">
        <v>6544</v>
      </c>
    </row>
    <row r="52" spans="1:16" x14ac:dyDescent="0.3">
      <c r="A52" s="188"/>
      <c r="B52" s="47">
        <v>1</v>
      </c>
      <c r="C52" s="48" t="s">
        <v>6545</v>
      </c>
      <c r="D52" s="49" cm="1">
        <f t="array" ref="D52">+SUM(IF(LEFT('EASI AFR Detail'!$F$5:$F$699,3)&amp;RIGHT('EASI AFR Detail'!$F$5:$F$699,5)&amp;LEFT('EASI AFR Detail'!$G$5:$G$699,4)&amp;RIGHT('EASI AFR Detail'!$J$5:$J$699,8)="ins0100)Acco6 (3227)",'EASI AFR Detail'!$O$5:$O$699))</f>
        <v>0</v>
      </c>
      <c r="E52" s="49" cm="1">
        <f t="array" ref="E52">+SUM(IF(LEFT('EASI AFR Detail'!$F$5:$F$699,3)&amp;RIGHT('EASI AFR Detail'!$F$5:$F$699,5)&amp;LEFT('EASI AFR Detail'!$G$5:$G$699,4)&amp;RIGHT('EASI AFR Detail'!$J$5:$J$699,8)="ins0100)Colo6 (3227)",'EASI AFR Detail'!$O$5:$O$699))</f>
        <v>0</v>
      </c>
      <c r="F52" s="49" cm="1">
        <f t="array" ref="F52">+SUM(IF(LEFT('EASI AFR Detail'!$F$5:$F$699,3)&amp;RIGHT('EASI AFR Detail'!$F$5:$F$699,5)&amp;LEFT('EASI AFR Detail'!$G$5:$G$699,4)&amp;RIGHT('EASI AFR Detail'!$J$5:$J$699,8)="ins0100)Conn6 (3227)",'EASI AFR Detail'!$O$5:$O$699))</f>
        <v>0</v>
      </c>
      <c r="G52" s="49" cm="1">
        <f t="array" ref="G52">+SUM(IF(LEFT('EASI AFR Detail'!$F$5:$F$699,3)&amp;RIGHT('EASI AFR Detail'!$F$5:$F$699,5)&amp;LEFT('EASI AFR Detail'!$G$5:$G$699,12)&amp;RIGHT('EASI AFR Detail'!$J$5:$J$699,8)="ins0100)Diagnostic a6 (3227)",'EASI AFR Detail'!$O$5:$O$699))</f>
        <v>0</v>
      </c>
      <c r="H52" s="49" cm="1">
        <f t="array" ref="H52">+SUM(IF(LEFT('EASI AFR Detail'!$F$5:$F$699,3)&amp;RIGHT('EASI AFR Detail'!$F$5:$F$699,5)&amp;LEFT('EASI AFR Detail'!$G$5:$G$699,10)&amp;RIGHT('EASI AFR Detail'!$J$5:$J$699,8)="ins0100)District D6 (3227)",'EASI AFR Detail'!$O$5:$O$699))</f>
        <v>0</v>
      </c>
      <c r="I52" s="49" cm="1">
        <f t="array" ref="I52">+SUM(IF(LEFT('EASI AFR Detail'!$F$5:$F$699,3)&amp;RIGHT('EASI AFR Detail'!$F$5:$F$699,5)&amp;LEFT('EASI AFR Detail'!$G$5:$G$699,10)&amp;RIGHT('EASI AFR Detail'!$J$5:$J$699,8)="ins0100)District S6 (3227)",'EASI AFR Detail'!$O$5:$O$699))</f>
        <v>0</v>
      </c>
      <c r="J52" s="49" cm="1">
        <f t="array" ref="J52">+SUM(IF(LEFT('EASI AFR Detail'!$F$5:$F$699,3)&amp;RIGHT('EASI AFR Detail'!$F$5:$F$699,5)&amp;LEFT('EASI AFR Detail'!$G$5:$G$699,4)&amp;RIGHT('EASI AFR Detail'!$J$5:$J$699,8)="ins0100)Expl6 (3227)",'EASI AFR Detail'!$O$5:$O$699))</f>
        <v>0</v>
      </c>
      <c r="K52" s="49" cm="1">
        <f t="array" ref="K52">+SUM(IF(LEFT('EASI AFR Detail'!$F$5:$F$699,3)&amp;RIGHT('EASI AFR Detail'!$F$5:$F$699,5)&amp;LEFT('EASI AFR Detail'!$G$5:$G$699,4)&amp;RIGHT('EASI AFR Detail'!$J$5:$J$699,8)="ins0100)Faci6 (3227)",'EASI AFR Detail'!$O$5:$O$699))</f>
        <v>0</v>
      </c>
      <c r="L52" s="49" cm="1">
        <f t="array" ref="L52">+SUM(IF(LEFT('EASI AFR Detail'!$F$5:$F$699,3)&amp;RIGHT('EASI AFR Detail'!$F$5:$F$699,5)&amp;LEFT('EASI AFR Detail'!$G$5:$G$699,4)&amp;RIGHT('EASI AFR Detail'!$J$5:$J$699,8)="ins0100)MTSS6 (3227)",'EASI AFR Detail'!$O$5:$O$699))</f>
        <v>0</v>
      </c>
      <c r="M52" s="49" cm="1">
        <f t="array" ref="M52">+SUM(IF(LEFT('EASI AFR Detail'!$F$5:$F$699,3)&amp;RIGHT('EASI AFR Detail'!$F$5:$F$699,5)&amp;LEFT('EASI AFR Detail'!$G$5:$G$699,4)&amp;RIGHT('EASI AFR Detail'!$J$5:$J$699,8)="ins0100)Rigo6 (3227)",'EASI AFR Detail'!$O$5:$O$699))</f>
        <v>0</v>
      </c>
      <c r="N52" s="49" cm="1">
        <f t="array" ref="N52">+SUM(IF(LEFT('EASI AFR Detail'!$F$5:$F$699,3)&amp;RIGHT('EASI AFR Detail'!$F$5:$F$699,5)&amp;LEFT('EASI AFR Detail'!$G$5:$G$699,9)&amp;RIGHT('EASI AFR Detail'!$J$5:$J$699,8)="ins0100)School Tr6 (3227)",'EASI AFR Detail'!$O$5:$O$699))</f>
        <v>0</v>
      </c>
      <c r="O52" s="49" cm="1">
        <f t="array" ref="O52">+SUM(IF(LEFT('EASI AFR Detail'!$F$5:$F$699,3)&amp;RIGHT('EASI AFR Detail'!$F$5:$F$699,5)&amp;LEFT('EASI AFR Detail'!$G$5:$G$699,9)&amp;RIGHT('EASI AFR Detail'!$J$5:$J$699,8)="ins0100)School Tu6 (3227)",'EASI AFR Detail'!$O$5:$O$699))</f>
        <v>0</v>
      </c>
      <c r="P52" s="50">
        <f t="shared" ref="P52:P57" si="10">SUM(D52:O52)</f>
        <v>0</v>
      </c>
    </row>
    <row r="53" spans="1:16" x14ac:dyDescent="0.3">
      <c r="A53" s="188"/>
      <c r="B53" s="51">
        <v>2</v>
      </c>
      <c r="C53" s="52" t="s">
        <v>6546</v>
      </c>
      <c r="D53" s="49" cm="1">
        <f t="array" ref="D53">+SUM(IF(LEFT('EASI AFR Detail'!$F$5:$F$699,3)&amp;RIGHT('EASI AFR Detail'!$F$5:$F$699,5)&amp;LEFT('EASI AFR Detail'!$G$5:$G$699,4)&amp;RIGHT('EASI AFR Detail'!$J$5:$J$699,8)="ins0200)Acco6 (3227)",'EASI AFR Detail'!$O$5:$O$699))</f>
        <v>0</v>
      </c>
      <c r="E53" s="49" cm="1">
        <f t="array" ref="E53">+SUM(IF(LEFT('EASI AFR Detail'!$F$5:$F$699,3)&amp;RIGHT('EASI AFR Detail'!$F$5:$F$699,5)&amp;LEFT('EASI AFR Detail'!$G$5:$G$699,4)&amp;RIGHT('EASI AFR Detail'!$J$5:$J$699,8)="ins0200)Colo6 (3227)",'EASI AFR Detail'!$O$5:$O$699))</f>
        <v>0</v>
      </c>
      <c r="F53" s="49" cm="1">
        <f t="array" ref="F53">+SUM(IF(LEFT('EASI AFR Detail'!$F$5:$F$699,3)&amp;RIGHT('EASI AFR Detail'!$F$5:$F$699,5)&amp;LEFT('EASI AFR Detail'!$G$5:$G$699,4)&amp;RIGHT('EASI AFR Detail'!$J$5:$J$699,8)="ins0200)Conn6 (3227)",'EASI AFR Detail'!$O$5:$O$699))</f>
        <v>0</v>
      </c>
      <c r="G53" s="49" cm="1">
        <f t="array" ref="G53">+SUM(IF(LEFT('EASI AFR Detail'!$F$5:$F$699,3)&amp;RIGHT('EASI AFR Detail'!$F$5:$F$699,5)&amp;LEFT('EASI AFR Detail'!$G$5:$G$699,12)&amp;RIGHT('EASI AFR Detail'!$J$5:$J$699,8)="ins0200)Diagnostic a6 (3227)",'EASI AFR Detail'!$O$5:$O$699))</f>
        <v>0</v>
      </c>
      <c r="H53" s="49" cm="1">
        <f t="array" ref="H53">+SUM(IF(LEFT('EASI AFR Detail'!$F$5:$F$699,3)&amp;RIGHT('EASI AFR Detail'!$F$5:$F$699,5)&amp;LEFT('EASI AFR Detail'!$G$5:$G$699,10)&amp;RIGHT('EASI AFR Detail'!$J$5:$J$699,8)="ins0200)District D6 (3227)",'EASI AFR Detail'!$O$5:$O$699))</f>
        <v>0</v>
      </c>
      <c r="I53" s="49" cm="1">
        <f t="array" ref="I53">+SUM(IF(LEFT('EASI AFR Detail'!$F$5:$F$699,3)&amp;RIGHT('EASI AFR Detail'!$F$5:$F$699,5)&amp;LEFT('EASI AFR Detail'!$G$5:$G$699,10)&amp;RIGHT('EASI AFR Detail'!$J$5:$J$699,8)="ins0200)District S6 (3227)",'EASI AFR Detail'!$O$5:$O$699))</f>
        <v>0</v>
      </c>
      <c r="J53" s="49" cm="1">
        <f t="array" ref="J53">+SUM(IF(LEFT('EASI AFR Detail'!$F$5:$F$699,3)&amp;RIGHT('EASI AFR Detail'!$F$5:$F$699,5)&amp;LEFT('EASI AFR Detail'!$G$5:$G$699,4)&amp;RIGHT('EASI AFR Detail'!$J$5:$J$699,8)="ins0200)Expl6 (3227)",'EASI AFR Detail'!$O$5:$O$699))</f>
        <v>0</v>
      </c>
      <c r="K53" s="49" cm="1">
        <f t="array" ref="K53">+SUM(IF(LEFT('EASI AFR Detail'!$F$5:$F$699,3)&amp;RIGHT('EASI AFR Detail'!$F$5:$F$699,5)&amp;LEFT('EASI AFR Detail'!$G$5:$G$699,4)&amp;RIGHT('EASI AFR Detail'!$J$5:$J$699,8)="ins0200)Faci6 (3227)",'EASI AFR Detail'!$O$5:$O$699))</f>
        <v>0</v>
      </c>
      <c r="L53" s="49" cm="1">
        <f t="array" ref="L53">+SUM(IF(LEFT('EASI AFR Detail'!$F$5:$F$699,3)&amp;RIGHT('EASI AFR Detail'!$F$5:$F$699,5)&amp;LEFT('EASI AFR Detail'!$G$5:$G$699,4)&amp;RIGHT('EASI AFR Detail'!$J$5:$J$699,8)="ins0200)MTSS6 (3227)",'EASI AFR Detail'!$O$5:$O$699))</f>
        <v>0</v>
      </c>
      <c r="M53" s="49" cm="1">
        <f t="array" ref="M53">+SUM(IF(LEFT('EASI AFR Detail'!$F$5:$F$699,3)&amp;RIGHT('EASI AFR Detail'!$F$5:$F$699,5)&amp;LEFT('EASI AFR Detail'!$G$5:$G$699,4)&amp;RIGHT('EASI AFR Detail'!$J$5:$J$699,8)="ins0200)Rigo6 (3227)",'EASI AFR Detail'!$O$5:$O$699))</f>
        <v>0</v>
      </c>
      <c r="N53" s="49" cm="1">
        <f t="array" ref="N53">+SUM(IF(LEFT('EASI AFR Detail'!$F$5:$F$699,3)&amp;RIGHT('EASI AFR Detail'!$F$5:$F$699,5)&amp;LEFT('EASI AFR Detail'!$G$5:$G$699,9)&amp;RIGHT('EASI AFR Detail'!$J$5:$J$699,8)="ins0200)School Tr6 (3227)",'EASI AFR Detail'!$O$5:$O$699))</f>
        <v>0</v>
      </c>
      <c r="O53" s="49" cm="1">
        <f t="array" ref="O53">+SUM(IF(LEFT('EASI AFR Detail'!$F$5:$F$699,3)&amp;RIGHT('EASI AFR Detail'!$F$5:$F$699,5)&amp;LEFT('EASI AFR Detail'!$G$5:$G$699,9)&amp;RIGHT('EASI AFR Detail'!$J$5:$J$699,8)="ins0200)School Tu6 (3227)",'EASI AFR Detail'!$O$5:$O$699))</f>
        <v>0</v>
      </c>
      <c r="P53" s="53">
        <f t="shared" si="10"/>
        <v>0</v>
      </c>
    </row>
    <row r="54" spans="1:16" x14ac:dyDescent="0.3">
      <c r="A54" s="188"/>
      <c r="B54" s="51">
        <v>3</v>
      </c>
      <c r="C54" s="52" t="s">
        <v>6547</v>
      </c>
      <c r="D54" s="49" cm="1">
        <f t="array" ref="D54">+SUM(IF(LEFT('EASI AFR Detail'!$F$5:$F$699,3)&amp;RIGHT('EASI AFR Detail'!$F$5:$F$699,5)&amp;LEFT('EASI AFR Detail'!$G$5:$G$699,4)&amp;RIGHT('EASI AFR Detail'!$J$5:$J$699,8)="ins0300)Acco6 (3227)",'EASI AFR Detail'!$O$5:$O$699))</f>
        <v>0</v>
      </c>
      <c r="E54" s="49" cm="1">
        <f t="array" ref="E54">+SUM(IF(LEFT('EASI AFR Detail'!$F$5:$F$699,3)&amp;RIGHT('EASI AFR Detail'!$F$5:$F$699,5)&amp;LEFT('EASI AFR Detail'!$G$5:$G$699,4)&amp;RIGHT('EASI AFR Detail'!$J$5:$J$699,8)="ins0300)Colo6 (3227)",'EASI AFR Detail'!$O$5:$O$699))</f>
        <v>0</v>
      </c>
      <c r="F54" s="49" cm="1">
        <f t="array" ref="F54">+SUM(IF(LEFT('EASI AFR Detail'!$F$5:$F$699,3)&amp;RIGHT('EASI AFR Detail'!$F$5:$F$699,5)&amp;LEFT('EASI AFR Detail'!$G$5:$G$699,4)&amp;RIGHT('EASI AFR Detail'!$J$5:$J$699,8)="ins0300)Conn6 (3227)",'EASI AFR Detail'!$O$5:$O$699))</f>
        <v>0</v>
      </c>
      <c r="G54" s="49" cm="1">
        <f t="array" ref="G54">+SUM(IF(LEFT('EASI AFR Detail'!$F$5:$F$699,3)&amp;RIGHT('EASI AFR Detail'!$F$5:$F$699,5)&amp;LEFT('EASI AFR Detail'!$G$5:$G$699,12)&amp;RIGHT('EASI AFR Detail'!$J$5:$J$699,8)="ins0300)Diagnostic a6 (3227)",'EASI AFR Detail'!$O$5:$O$699))</f>
        <v>0</v>
      </c>
      <c r="H54" s="49" cm="1">
        <f t="array" ref="H54">+SUM(IF(LEFT('EASI AFR Detail'!$F$5:$F$699,3)&amp;RIGHT('EASI AFR Detail'!$F$5:$F$699,5)&amp;LEFT('EASI AFR Detail'!$G$5:$G$699,10)&amp;RIGHT('EASI AFR Detail'!$J$5:$J$699,8)="ins0300)District D6 (3227)",'EASI AFR Detail'!$O$5:$O$699))</f>
        <v>0</v>
      </c>
      <c r="I54" s="49" cm="1">
        <f t="array" ref="I54">+SUM(IF(LEFT('EASI AFR Detail'!$F$5:$F$699,3)&amp;RIGHT('EASI AFR Detail'!$F$5:$F$699,5)&amp;LEFT('EASI AFR Detail'!$G$5:$G$699,10)&amp;RIGHT('EASI AFR Detail'!$J$5:$J$699,8)="ins0300)District S6 (3227)",'EASI AFR Detail'!$O$5:$O$699))</f>
        <v>0</v>
      </c>
      <c r="J54" s="49" cm="1">
        <f t="array" ref="J54">+SUM(IF(LEFT('EASI AFR Detail'!$F$5:$F$699,3)&amp;RIGHT('EASI AFR Detail'!$F$5:$F$699,5)&amp;LEFT('EASI AFR Detail'!$G$5:$G$699,4)&amp;RIGHT('EASI AFR Detail'!$J$5:$J$699,8)="ins0300)Expl6 (3227)",'EASI AFR Detail'!$O$5:$O$699))</f>
        <v>0</v>
      </c>
      <c r="K54" s="49" cm="1">
        <f t="array" ref="K54">+SUM(IF(LEFT('EASI AFR Detail'!$F$5:$F$699,3)&amp;RIGHT('EASI AFR Detail'!$F$5:$F$699,5)&amp;LEFT('EASI AFR Detail'!$G$5:$G$699,4)&amp;RIGHT('EASI AFR Detail'!$J$5:$J$699,8)="ins0300)Faci6 (3227)",'EASI AFR Detail'!$O$5:$O$699))</f>
        <v>0</v>
      </c>
      <c r="L54" s="49" cm="1">
        <f t="array" ref="L54">+SUM(IF(LEFT('EASI AFR Detail'!$F$5:$F$699,3)&amp;RIGHT('EASI AFR Detail'!$F$5:$F$699,5)&amp;LEFT('EASI AFR Detail'!$G$5:$G$699,4)&amp;RIGHT('EASI AFR Detail'!$J$5:$J$699,8)="ins0300)MTSS6 (3227)",'EASI AFR Detail'!$O$5:$O$699))</f>
        <v>0</v>
      </c>
      <c r="M54" s="49" cm="1">
        <f t="array" ref="M54">+SUM(IF(LEFT('EASI AFR Detail'!$F$5:$F$699,3)&amp;RIGHT('EASI AFR Detail'!$F$5:$F$699,5)&amp;LEFT('EASI AFR Detail'!$G$5:$G$699,4)&amp;RIGHT('EASI AFR Detail'!$J$5:$J$699,8)="ins0300)Rigo6 (3227)",'EASI AFR Detail'!$O$5:$O$699))</f>
        <v>0</v>
      </c>
      <c r="N54" s="49" cm="1">
        <f t="array" ref="N54">+SUM(IF(LEFT('EASI AFR Detail'!$F$5:$F$699,3)&amp;RIGHT('EASI AFR Detail'!$F$5:$F$699,5)&amp;LEFT('EASI AFR Detail'!$G$5:$G$699,9)&amp;RIGHT('EASI AFR Detail'!$J$5:$J$699,8)="ins0300)School Tr6 (3227)",'EASI AFR Detail'!$O$5:$O$699))</f>
        <v>0</v>
      </c>
      <c r="O54" s="49" cm="1">
        <f t="array" ref="O54">+SUM(IF(LEFT('EASI AFR Detail'!$F$5:$F$699,3)&amp;RIGHT('EASI AFR Detail'!$F$5:$F$699,5)&amp;LEFT('EASI AFR Detail'!$G$5:$G$699,9)&amp;RIGHT('EASI AFR Detail'!$J$5:$J$699,8)="ins0300)School Tu6 (3227)",'EASI AFR Detail'!$O$5:$O$699))</f>
        <v>0</v>
      </c>
      <c r="P54" s="53">
        <f t="shared" si="10"/>
        <v>0</v>
      </c>
    </row>
    <row r="55" spans="1:16" x14ac:dyDescent="0.3">
      <c r="A55" s="188"/>
      <c r="B55" s="51">
        <v>4</v>
      </c>
      <c r="C55" s="52" t="s">
        <v>6548</v>
      </c>
      <c r="D55" s="49" cm="1">
        <f t="array" ref="D55">+SUM(IF(LEFT('EASI AFR Detail'!$F$5:$F$699,3)&amp;RIGHT('EASI AFR Detail'!$F$5:$F$699,5)&amp;LEFT('EASI AFR Detail'!$G$5:$G$699,4)&amp;RIGHT('EASI AFR Detail'!$J$5:$J$699,8)="ins0500)Acco6 (3227)",'EASI AFR Detail'!$O$5:$O$699))</f>
        <v>0</v>
      </c>
      <c r="E55" s="49" cm="1">
        <f t="array" ref="E55">+SUM(IF(LEFT('EASI AFR Detail'!$F$5:$F$699,3)&amp;RIGHT('EASI AFR Detail'!$F$5:$F$699,5)&amp;LEFT('EASI AFR Detail'!$G$5:$G$699,4)&amp;RIGHT('EASI AFR Detail'!$J$5:$J$699,8)="ins0500)Colo6 (3227)",'EASI AFR Detail'!$O$5:$O$699))</f>
        <v>0</v>
      </c>
      <c r="F55" s="49" cm="1">
        <f t="array" ref="F55">+SUM(IF(LEFT('EASI AFR Detail'!$F$5:$F$699,3)&amp;RIGHT('EASI AFR Detail'!$F$5:$F$699,5)&amp;LEFT('EASI AFR Detail'!$G$5:$G$699,4)&amp;RIGHT('EASI AFR Detail'!$J$5:$J$699,8)="ins0500)Conn6 (3227)",'EASI AFR Detail'!$O$5:$O$699))</f>
        <v>0</v>
      </c>
      <c r="G55" s="49" cm="1">
        <f t="array" ref="G55">+SUM(IF(LEFT('EASI AFR Detail'!$F$5:$F$699,3)&amp;RIGHT('EASI AFR Detail'!$F$5:$F$699,5)&amp;LEFT('EASI AFR Detail'!$G$5:$G$699,12)&amp;RIGHT('EASI AFR Detail'!$J$5:$J$699,8)="ins0500)Diagnostic a6 (3227)",'EASI AFR Detail'!$O$5:$O$699))</f>
        <v>0</v>
      </c>
      <c r="H55" s="49" cm="1">
        <f t="array" ref="H55">+SUM(IF(LEFT('EASI AFR Detail'!$F$5:$F$699,3)&amp;RIGHT('EASI AFR Detail'!$F$5:$F$699,5)&amp;LEFT('EASI AFR Detail'!$G$5:$G$699,10)&amp;RIGHT('EASI AFR Detail'!$J$5:$J$699,8)="ins0500)District D6 (3227)",'EASI AFR Detail'!$O$5:$O$699))</f>
        <v>0</v>
      </c>
      <c r="I55" s="49" cm="1">
        <f t="array" ref="I55">+SUM(IF(LEFT('EASI AFR Detail'!$F$5:$F$699,3)&amp;RIGHT('EASI AFR Detail'!$F$5:$F$699,5)&amp;LEFT('EASI AFR Detail'!$G$5:$G$699,10)&amp;RIGHT('EASI AFR Detail'!$J$5:$J$699,8)="ins0500)District S6 (3227)",'EASI AFR Detail'!$O$5:$O$699))</f>
        <v>0</v>
      </c>
      <c r="J55" s="49" cm="1">
        <f t="array" ref="J55">+SUM(IF(LEFT('EASI AFR Detail'!$F$5:$F$699,3)&amp;RIGHT('EASI AFR Detail'!$F$5:$F$699,5)&amp;LEFT('EASI AFR Detail'!$G$5:$G$699,4)&amp;RIGHT('EASI AFR Detail'!$J$5:$J$699,8)="ins0500)Expl6 (3227)",'EASI AFR Detail'!$O$5:$O$699))</f>
        <v>0</v>
      </c>
      <c r="K55" s="49" cm="1">
        <f t="array" ref="K55">+SUM(IF(LEFT('EASI AFR Detail'!$F$5:$F$699,3)&amp;RIGHT('EASI AFR Detail'!$F$5:$F$699,5)&amp;LEFT('EASI AFR Detail'!$G$5:$G$699,4)&amp;RIGHT('EASI AFR Detail'!$J$5:$J$699,8)="ins0500)Faci6 (3227)",'EASI AFR Detail'!$O$5:$O$699))</f>
        <v>0</v>
      </c>
      <c r="L55" s="49" cm="1">
        <f t="array" ref="L55">+SUM(IF(LEFT('EASI AFR Detail'!$F$5:$F$699,3)&amp;RIGHT('EASI AFR Detail'!$F$5:$F$699,5)&amp;LEFT('EASI AFR Detail'!$G$5:$G$699,4)&amp;RIGHT('EASI AFR Detail'!$J$5:$J$699,8)="ins0500)MTSS6 (3227)",'EASI AFR Detail'!$O$5:$O$699))</f>
        <v>0</v>
      </c>
      <c r="M55" s="49" cm="1">
        <f t="array" ref="M55">+SUM(IF(LEFT('EASI AFR Detail'!$F$5:$F$699,3)&amp;RIGHT('EASI AFR Detail'!$F$5:$F$699,5)&amp;LEFT('EASI AFR Detail'!$G$5:$G$699,4)&amp;RIGHT('EASI AFR Detail'!$J$5:$J$699,8)="ins0500)Rigo6 (3227)",'EASI AFR Detail'!$O$5:$O$699))</f>
        <v>0</v>
      </c>
      <c r="N55" s="49" cm="1">
        <f t="array" ref="N55">+SUM(IF(LEFT('EASI AFR Detail'!$F$5:$F$699,3)&amp;RIGHT('EASI AFR Detail'!$F$5:$F$699,5)&amp;LEFT('EASI AFR Detail'!$G$5:$G$699,9)&amp;RIGHT('EASI AFR Detail'!$J$5:$J$699,8)="ins0500)School Tr6 (3227)",'EASI AFR Detail'!$O$5:$O$699))</f>
        <v>0</v>
      </c>
      <c r="O55" s="49" cm="1">
        <f t="array" ref="O55">+SUM(IF(LEFT('EASI AFR Detail'!$F$5:$F$699,3)&amp;RIGHT('EASI AFR Detail'!$F$5:$F$699,5)&amp;LEFT('EASI AFR Detail'!$G$5:$G$699,9)&amp;RIGHT('EASI AFR Detail'!$J$5:$J$699,8)="ins0500)School Tu6 (3227)",'EASI AFR Detail'!$O$5:$O$699))</f>
        <v>0</v>
      </c>
      <c r="P55" s="53">
        <f t="shared" si="10"/>
        <v>0</v>
      </c>
    </row>
    <row r="56" spans="1:16" x14ac:dyDescent="0.3">
      <c r="A56" s="188"/>
      <c r="B56" s="51">
        <v>5</v>
      </c>
      <c r="C56" s="52" t="s">
        <v>6549</v>
      </c>
      <c r="D56" s="49" cm="1">
        <f t="array" ref="D56">+SUM(IF(LEFT('EASI AFR Detail'!$F$5:$F$699,3)&amp;RIGHT('EASI AFR Detail'!$F$5:$F$699,5)&amp;LEFT('EASI AFR Detail'!$G$5:$G$699,4)&amp;RIGHT('EASI AFR Detail'!$J$5:$J$699,8)="ins0580)Acco6 (3227)",'EASI AFR Detail'!$O$5:$O$699))</f>
        <v>0</v>
      </c>
      <c r="E56" s="49" cm="1">
        <f t="array" ref="E56">+SUM(IF(LEFT('EASI AFR Detail'!$F$5:$F$699,3)&amp;RIGHT('EASI AFR Detail'!$F$5:$F$699,5)&amp;LEFT('EASI AFR Detail'!$G$5:$G$699,4)&amp;RIGHT('EASI AFR Detail'!$J$5:$J$699,8)="ins0580)Colo6 (3227)",'EASI AFR Detail'!$O$5:$O$699))</f>
        <v>0</v>
      </c>
      <c r="F56" s="49" cm="1">
        <f t="array" ref="F56">+SUM(IF(LEFT('EASI AFR Detail'!$F$5:$F$699,3)&amp;RIGHT('EASI AFR Detail'!$F$5:$F$699,5)&amp;LEFT('EASI AFR Detail'!$G$5:$G$699,4)&amp;RIGHT('EASI AFR Detail'!$J$5:$J$699,8)="ins0580)Conn6 (3227)",'EASI AFR Detail'!$O$5:$O$699))</f>
        <v>0</v>
      </c>
      <c r="G56" s="49" cm="1">
        <f t="array" ref="G56">+SUM(IF(LEFT('EASI AFR Detail'!$F$5:$F$699,3)&amp;RIGHT('EASI AFR Detail'!$F$5:$F$699,5)&amp;LEFT('EASI AFR Detail'!$G$5:$G$699,12)&amp;RIGHT('EASI AFR Detail'!$J$5:$J$699,8)="ins0580)Diagnostic a6 (3227)",'EASI AFR Detail'!$O$5:$O$699))</f>
        <v>0</v>
      </c>
      <c r="H56" s="49" cm="1">
        <f t="array" ref="H56">+SUM(IF(LEFT('EASI AFR Detail'!$F$5:$F$699,3)&amp;RIGHT('EASI AFR Detail'!$F$5:$F$699,5)&amp;LEFT('EASI AFR Detail'!$G$5:$G$699,10)&amp;RIGHT('EASI AFR Detail'!$J$5:$J$699,8)="ins0580)District D6 (3227)",'EASI AFR Detail'!$O$5:$O$699))</f>
        <v>0</v>
      </c>
      <c r="I56" s="49" cm="1">
        <f t="array" ref="I56">+SUM(IF(LEFT('EASI AFR Detail'!$F$5:$F$699,3)&amp;RIGHT('EASI AFR Detail'!$F$5:$F$699,5)&amp;LEFT('EASI AFR Detail'!$G$5:$G$699,10)&amp;RIGHT('EASI AFR Detail'!$J$5:$J$699,8)="ins0580)District S6 (3227)",'EASI AFR Detail'!$O$5:$O$699))</f>
        <v>0</v>
      </c>
      <c r="J56" s="49" cm="1">
        <f t="array" ref="J56">+SUM(IF(LEFT('EASI AFR Detail'!$F$5:$F$699,3)&amp;RIGHT('EASI AFR Detail'!$F$5:$F$699,5)&amp;LEFT('EASI AFR Detail'!$G$5:$G$699,4)&amp;RIGHT('EASI AFR Detail'!$J$5:$J$699,8)="ins0580)Expl6 (3227)",'EASI AFR Detail'!$O$5:$O$699))</f>
        <v>0</v>
      </c>
      <c r="K56" s="49" cm="1">
        <f t="array" ref="K56">+SUM(IF(LEFT('EASI AFR Detail'!$F$5:$F$699,3)&amp;RIGHT('EASI AFR Detail'!$F$5:$F$699,5)&amp;LEFT('EASI AFR Detail'!$G$5:$G$699,4)&amp;RIGHT('EASI AFR Detail'!$J$5:$J$699,8)="ins0580)Faci6 (3227)",'EASI AFR Detail'!$O$5:$O$699))</f>
        <v>0</v>
      </c>
      <c r="L56" s="49" cm="1">
        <f t="array" ref="L56">+SUM(IF(LEFT('EASI AFR Detail'!$F$5:$F$699,3)&amp;RIGHT('EASI AFR Detail'!$F$5:$F$699,5)&amp;LEFT('EASI AFR Detail'!$G$5:$G$699,4)&amp;RIGHT('EASI AFR Detail'!$J$5:$J$699,8)="ins0580)MTSS6 (3227)",'EASI AFR Detail'!$O$5:$O$699))</f>
        <v>0</v>
      </c>
      <c r="M56" s="49" cm="1">
        <f t="array" ref="M56">+SUM(IF(LEFT('EASI AFR Detail'!$F$5:$F$699,3)&amp;RIGHT('EASI AFR Detail'!$F$5:$F$699,5)&amp;LEFT('EASI AFR Detail'!$G$5:$G$699,4)&amp;RIGHT('EASI AFR Detail'!$J$5:$J$699,8)="ins0580)Rigo6 (3227)",'EASI AFR Detail'!$O$5:$O$699))</f>
        <v>0</v>
      </c>
      <c r="N56" s="49" cm="1">
        <f t="array" ref="N56">+SUM(IF(LEFT('EASI AFR Detail'!$F$5:$F$699,3)&amp;RIGHT('EASI AFR Detail'!$F$5:$F$699,5)&amp;LEFT('EASI AFR Detail'!$G$5:$G$699,9)&amp;RIGHT('EASI AFR Detail'!$J$5:$J$699,8)="ins0580)School Tr6 (3227)",'EASI AFR Detail'!$O$5:$O$699))</f>
        <v>0</v>
      </c>
      <c r="O56" s="49" cm="1">
        <f t="array" ref="O56">+SUM(IF(LEFT('EASI AFR Detail'!$F$5:$F$699,3)&amp;RIGHT('EASI AFR Detail'!$F$5:$F$699,5)&amp;LEFT('EASI AFR Detail'!$G$5:$G$699,9)&amp;RIGHT('EASI AFR Detail'!$J$5:$J$699,8)="ins0580)School Tu6 (3227)",'EASI AFR Detail'!$O$5:$O$699))</f>
        <v>0</v>
      </c>
      <c r="P56" s="53">
        <f t="shared" si="10"/>
        <v>0</v>
      </c>
    </row>
    <row r="57" spans="1:16" x14ac:dyDescent="0.3">
      <c r="A57" s="188"/>
      <c r="B57" s="54">
        <v>6</v>
      </c>
      <c r="C57" s="55" t="s">
        <v>6550</v>
      </c>
      <c r="D57" s="49" cm="1">
        <f t="array" ref="D57">+SUM(IF(LEFT('EASI AFR Detail'!$F$5:$F$699,3)&amp;RIGHT('EASI AFR Detail'!$F$5:$F$699,5)&amp;LEFT('EASI AFR Detail'!$G$5:$G$699,4)&amp;RIGHT('EASI AFR Detail'!$J$5:$J$699,8)="ins0600)Acco6 (3227)",'EASI AFR Detail'!$O$5:$O$699))</f>
        <v>0</v>
      </c>
      <c r="E57" s="49" cm="1">
        <f t="array" ref="E57">+SUM(IF(LEFT('EASI AFR Detail'!$F$5:$F$699,3)&amp;RIGHT('EASI AFR Detail'!$F$5:$F$699,5)&amp;LEFT('EASI AFR Detail'!$G$5:$G$699,4)&amp;RIGHT('EASI AFR Detail'!$J$5:$J$699,8)="ins0600)Colo6 (3227)",'EASI AFR Detail'!$O$5:$O$699))</f>
        <v>0</v>
      </c>
      <c r="F57" s="49" cm="1">
        <f t="array" ref="F57">+SUM(IF(LEFT('EASI AFR Detail'!$F$5:$F$699,3)&amp;RIGHT('EASI AFR Detail'!$F$5:$F$699,5)&amp;LEFT('EASI AFR Detail'!$G$5:$G$699,4)&amp;RIGHT('EASI AFR Detail'!$J$5:$J$699,8)="ins0600)Conn6 (3227)",'EASI AFR Detail'!$O$5:$O$699))</f>
        <v>0</v>
      </c>
      <c r="G57" s="49" cm="1">
        <f t="array" ref="G57">+SUM(IF(LEFT('EASI AFR Detail'!$F$5:$F$699,3)&amp;RIGHT('EASI AFR Detail'!$F$5:$F$699,5)&amp;LEFT('EASI AFR Detail'!$G$5:$G$699,12)&amp;RIGHT('EASI AFR Detail'!$J$5:$J$699,8)="ins0600)Diagnostic a6 (3227)",'EASI AFR Detail'!$O$5:$O$699))</f>
        <v>0</v>
      </c>
      <c r="H57" s="49" cm="1">
        <f t="array" ref="H57">+SUM(IF(LEFT('EASI AFR Detail'!$F$5:$F$699,3)&amp;RIGHT('EASI AFR Detail'!$F$5:$F$699,5)&amp;LEFT('EASI AFR Detail'!$G$5:$G$699,10)&amp;RIGHT('EASI AFR Detail'!$J$5:$J$699,8)="ins0600)District D6 (3227)",'EASI AFR Detail'!$O$5:$O$699))</f>
        <v>0</v>
      </c>
      <c r="I57" s="49" cm="1">
        <f t="array" ref="I57">+SUM(IF(LEFT('EASI AFR Detail'!$F$5:$F$699,3)&amp;RIGHT('EASI AFR Detail'!$F$5:$F$699,5)&amp;LEFT('EASI AFR Detail'!$G$5:$G$699,10)&amp;RIGHT('EASI AFR Detail'!$J$5:$J$699,8)="ins0600)District S6 (3227)",'EASI AFR Detail'!$O$5:$O$699))</f>
        <v>0</v>
      </c>
      <c r="J57" s="49" cm="1">
        <f t="array" ref="J57">+SUM(IF(LEFT('EASI AFR Detail'!$F$5:$F$699,3)&amp;RIGHT('EASI AFR Detail'!$F$5:$F$699,5)&amp;LEFT('EASI AFR Detail'!$G$5:$G$699,4)&amp;RIGHT('EASI AFR Detail'!$J$5:$J$699,8)="ins0600)Expl6 (3227)",'EASI AFR Detail'!$O$5:$O$699))</f>
        <v>0</v>
      </c>
      <c r="K57" s="49" cm="1">
        <f t="array" ref="K57">+SUM(IF(LEFT('EASI AFR Detail'!$F$5:$F$699,3)&amp;RIGHT('EASI AFR Detail'!$F$5:$F$699,5)&amp;LEFT('EASI AFR Detail'!$G$5:$G$699,4)&amp;RIGHT('EASI AFR Detail'!$J$5:$J$699,8)="ins0600)Faci6 (3227)",'EASI AFR Detail'!$O$5:$O$699))</f>
        <v>0</v>
      </c>
      <c r="L57" s="49" cm="1">
        <f t="array" ref="L57">+SUM(IF(LEFT('EASI AFR Detail'!$F$5:$F$699,3)&amp;RIGHT('EASI AFR Detail'!$F$5:$F$699,5)&amp;LEFT('EASI AFR Detail'!$G$5:$G$699,4)&amp;RIGHT('EASI AFR Detail'!$J$5:$J$699,8)="ins0600)MTSS6 (3227)",'EASI AFR Detail'!$O$5:$O$699))</f>
        <v>0</v>
      </c>
      <c r="M57" s="49" cm="1">
        <f t="array" ref="M57">+SUM(IF(LEFT('EASI AFR Detail'!$F$5:$F$699,3)&amp;RIGHT('EASI AFR Detail'!$F$5:$F$699,5)&amp;LEFT('EASI AFR Detail'!$G$5:$G$699,4)&amp;RIGHT('EASI AFR Detail'!$J$5:$J$699,8)="ins0600)Rigo6 (3227)",'EASI AFR Detail'!$O$5:$O$699))</f>
        <v>0</v>
      </c>
      <c r="N57" s="49" cm="1">
        <f t="array" ref="N57">+SUM(IF(LEFT('EASI AFR Detail'!$F$5:$F$699,3)&amp;RIGHT('EASI AFR Detail'!$F$5:$F$699,5)&amp;LEFT('EASI AFR Detail'!$G$5:$G$699,9)&amp;RIGHT('EASI AFR Detail'!$J$5:$J$699,8)="ins0600)School Tr6 (3227)",'EASI AFR Detail'!$O$5:$O$699))</f>
        <v>0</v>
      </c>
      <c r="O57" s="49" cm="1">
        <f t="array" ref="O57">+SUM(IF(LEFT('EASI AFR Detail'!$F$5:$F$699,3)&amp;RIGHT('EASI AFR Detail'!$F$5:$F$699,5)&amp;LEFT('EASI AFR Detail'!$G$5:$G$699,9)&amp;RIGHT('EASI AFR Detail'!$J$5:$J$699,8)="ins0600)School Tu6 (3227)",'EASI AFR Detail'!$O$5:$O$699))</f>
        <v>0</v>
      </c>
      <c r="P57" s="53">
        <f t="shared" si="10"/>
        <v>0</v>
      </c>
    </row>
    <row r="58" spans="1:16" ht="15" thickBot="1" x14ac:dyDescent="0.35">
      <c r="A58" s="188"/>
      <c r="B58" s="51">
        <v>7</v>
      </c>
      <c r="C58" s="56" t="s">
        <v>6551</v>
      </c>
      <c r="D58" s="49">
        <f>SUM(D52:D57)</f>
        <v>0</v>
      </c>
      <c r="E58" s="57">
        <f t="shared" ref="E58:P58" si="11">SUM(E52:E57)</f>
        <v>0</v>
      </c>
      <c r="F58" s="57">
        <f t="shared" si="11"/>
        <v>0</v>
      </c>
      <c r="G58" s="57">
        <f t="shared" si="11"/>
        <v>0</v>
      </c>
      <c r="H58" s="57">
        <f t="shared" si="11"/>
        <v>0</v>
      </c>
      <c r="I58" s="57">
        <f t="shared" si="11"/>
        <v>0</v>
      </c>
      <c r="J58" s="57">
        <f t="shared" si="11"/>
        <v>0</v>
      </c>
      <c r="K58" s="57">
        <f t="shared" si="11"/>
        <v>0</v>
      </c>
      <c r="L58" s="57">
        <f t="shared" si="11"/>
        <v>0</v>
      </c>
      <c r="M58" s="57">
        <f t="shared" si="11"/>
        <v>0</v>
      </c>
      <c r="N58" s="57">
        <f t="shared" si="11"/>
        <v>0</v>
      </c>
      <c r="O58" s="57">
        <f t="shared" si="11"/>
        <v>0</v>
      </c>
      <c r="P58" s="53">
        <f t="shared" si="11"/>
        <v>0</v>
      </c>
    </row>
    <row r="59" spans="1:16" ht="15" thickBot="1" x14ac:dyDescent="0.35">
      <c r="A59" s="188"/>
      <c r="C59" s="58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60"/>
    </row>
    <row r="60" spans="1:16" ht="15" thickBot="1" x14ac:dyDescent="0.35">
      <c r="A60" s="188"/>
      <c r="B60" s="190" t="s">
        <v>6552</v>
      </c>
      <c r="C60" s="190"/>
      <c r="D60" s="45" t="s">
        <v>6544</v>
      </c>
      <c r="E60" s="45" t="s">
        <v>6544</v>
      </c>
      <c r="F60" s="45" t="s">
        <v>6544</v>
      </c>
      <c r="G60" s="45" t="s">
        <v>6544</v>
      </c>
      <c r="H60" s="45" t="s">
        <v>6544</v>
      </c>
      <c r="I60" s="45" t="s">
        <v>6544</v>
      </c>
      <c r="J60" s="45" t="s">
        <v>6544</v>
      </c>
      <c r="K60" s="45" t="s">
        <v>6544</v>
      </c>
      <c r="L60" s="45" t="s">
        <v>6544</v>
      </c>
      <c r="M60" s="45" t="s">
        <v>6544</v>
      </c>
      <c r="N60" s="45" t="s">
        <v>6544</v>
      </c>
      <c r="O60" s="45" t="s">
        <v>6544</v>
      </c>
      <c r="P60" s="45" t="s">
        <v>6544</v>
      </c>
    </row>
    <row r="61" spans="1:16" x14ac:dyDescent="0.3">
      <c r="A61" s="188"/>
      <c r="B61" s="61">
        <v>8</v>
      </c>
      <c r="C61" s="62" t="s">
        <v>6545</v>
      </c>
      <c r="D61" s="49" cm="1">
        <f t="array" ref="D61">+SUM(IF(LEFT('EASI AFR Detail'!$F$5:$F$699,3)&amp;RIGHT('EASI AFR Detail'!$F$5:$F$699,5)&amp;LEFT('EASI AFR Detail'!$G$5:$G$699,4)&amp;RIGHT('EASI AFR Detail'!$J$5:$J$699,8)="sup0100)Acco6 (3227)",'EASI AFR Detail'!$O$5:$O$699))</f>
        <v>0</v>
      </c>
      <c r="E61" s="49" cm="1">
        <f t="array" ref="E61">+SUM(IF(LEFT('EASI AFR Detail'!$F$5:$F$699,3)&amp;RIGHT('EASI AFR Detail'!$F$5:$F$699,5)&amp;LEFT('EASI AFR Detail'!$G$5:$G$699,4)&amp;RIGHT('EASI AFR Detail'!$J$5:$J$699,8)="sup0100)Colo6 (3227)",'EASI AFR Detail'!$O$5:$O$699))</f>
        <v>0</v>
      </c>
      <c r="F61" s="49" cm="1">
        <f t="array" ref="F61">+SUM(IF(LEFT('EASI AFR Detail'!$F$5:$F$699,3)&amp;RIGHT('EASI AFR Detail'!$F$5:$F$699,5)&amp;LEFT('EASI AFR Detail'!$G$5:$G$699,4)&amp;RIGHT('EASI AFR Detail'!$J$5:$J$699,8)="sup0100)Conn6 (3227)",'EASI AFR Detail'!$O$5:$O$699))</f>
        <v>0</v>
      </c>
      <c r="G61" s="49" cm="1">
        <f t="array" ref="G61">+SUM(IF(LEFT('EASI AFR Detail'!$F$5:$F$699,3)&amp;RIGHT('EASI AFR Detail'!$F$5:$F$699,5)&amp;LEFT('EASI AFR Detail'!$G$5:$G$699,12)&amp;RIGHT('EASI AFR Detail'!$J$5:$J$699,8)="sup0100)Diagnostic a6 (3227)",'EASI AFR Detail'!$O$5:$O$699))</f>
        <v>0</v>
      </c>
      <c r="H61" s="49" cm="1">
        <f t="array" ref="H61">+SUM(IF(LEFT('EASI AFR Detail'!$F$5:$F$699,3)&amp;RIGHT('EASI AFR Detail'!$F$5:$F$699,5)&amp;LEFT('EASI AFR Detail'!$G$5:$G$699,10)&amp;RIGHT('EASI AFR Detail'!$J$5:$J$699,8)="sup0100)District D6 (3227)",'EASI AFR Detail'!$O$5:$O$699))</f>
        <v>0</v>
      </c>
      <c r="I61" s="49" cm="1">
        <f t="array" ref="I61">+SUM(IF(LEFT('EASI AFR Detail'!$F$5:$F$699,3)&amp;RIGHT('EASI AFR Detail'!$F$5:$F$699,5)&amp;LEFT('EASI AFR Detail'!$G$5:$G$699,10)&amp;RIGHT('EASI AFR Detail'!$J$5:$J$699,8)="sup0100)District S6 (3227)",'EASI AFR Detail'!$O$5:$O$699))</f>
        <v>0</v>
      </c>
      <c r="J61" s="49" cm="1">
        <f t="array" ref="J61">+SUM(IF(LEFT('EASI AFR Detail'!$F$5:$F$699,3)&amp;RIGHT('EASI AFR Detail'!$F$5:$F$699,5)&amp;LEFT('EASI AFR Detail'!$G$5:$G$699,4)&amp;RIGHT('EASI AFR Detail'!$J$5:$J$699,8)="sup0100)Expl6 (3227)",'EASI AFR Detail'!$O$5:$O$699))</f>
        <v>0</v>
      </c>
      <c r="K61" s="49" cm="1">
        <f t="array" ref="K61">+SUM(IF(LEFT('EASI AFR Detail'!$F$5:$F$699,3)&amp;RIGHT('EASI AFR Detail'!$F$5:$F$699,5)&amp;LEFT('EASI AFR Detail'!$G$5:$G$699,4)&amp;RIGHT('EASI AFR Detail'!$J$5:$J$699,8)="sup0100)Faci6 (3227)",'EASI AFR Detail'!$O$5:$O$699))</f>
        <v>0</v>
      </c>
      <c r="L61" s="49" cm="1">
        <f t="array" ref="L61">+SUM(IF(LEFT('EASI AFR Detail'!$F$5:$F$699,3)&amp;RIGHT('EASI AFR Detail'!$F$5:$F$699,5)&amp;LEFT('EASI AFR Detail'!$G$5:$G$699,4)&amp;RIGHT('EASI AFR Detail'!$J$5:$J$699,8)="sup0100)MTSS6 (3227)",'EASI AFR Detail'!$O$5:$O$699))</f>
        <v>0</v>
      </c>
      <c r="M61" s="49" cm="1">
        <f t="array" ref="M61">+SUM(IF(LEFT('EASI AFR Detail'!$F$5:$F$699,3)&amp;RIGHT('EASI AFR Detail'!$F$5:$F$699,5)&amp;LEFT('EASI AFR Detail'!$G$5:$G$699,4)&amp;RIGHT('EASI AFR Detail'!$J$5:$J$699,8)="sup0100)Rigo6 (3227)",'EASI AFR Detail'!$O$5:$O$699))</f>
        <v>0</v>
      </c>
      <c r="N61" s="49" cm="1">
        <f t="array" ref="N61">+SUM(IF(LEFT('EASI AFR Detail'!$F$5:$F$699,3)&amp;RIGHT('EASI AFR Detail'!$F$5:$F$699,5)&amp;LEFT('EASI AFR Detail'!$G$5:$G$699,9)&amp;RIGHT('EASI AFR Detail'!$J$5:$J$699,8)="sup0100)School Tr6 (3227)",'EASI AFR Detail'!$O$5:$O$699))</f>
        <v>0</v>
      </c>
      <c r="O61" s="49" cm="1">
        <f t="array" ref="O61">+SUM(IF(LEFT('EASI AFR Detail'!$F$5:$F$699,3)&amp;RIGHT('EASI AFR Detail'!$F$5:$F$699,5)&amp;LEFT('EASI AFR Detail'!$G$5:$G$699,9)&amp;RIGHT('EASI AFR Detail'!$J$5:$J$699,8)="sup0100)School Tu6 (3227)",'EASI AFR Detail'!$O$5:$O$699))</f>
        <v>0</v>
      </c>
      <c r="P61" s="50">
        <f t="shared" ref="P61:P66" si="12">SUM(D61:O61)</f>
        <v>0</v>
      </c>
    </row>
    <row r="62" spans="1:16" x14ac:dyDescent="0.3">
      <c r="A62" s="188"/>
      <c r="B62" s="63">
        <v>9</v>
      </c>
      <c r="C62" s="64" t="s">
        <v>6546</v>
      </c>
      <c r="D62" s="49" cm="1">
        <f t="array" ref="D62">+SUM(IF(LEFT('EASI AFR Detail'!$F$5:$F$699,3)&amp;RIGHT('EASI AFR Detail'!$F$5:$F$699,5)&amp;LEFT('EASI AFR Detail'!$G$5:$G$699,4)&amp;RIGHT('EASI AFR Detail'!$J$5:$J$699,8)="sup0200)Acco6 (3227)",'EASI AFR Detail'!$O$5:$O$699))</f>
        <v>0</v>
      </c>
      <c r="E62" s="49" cm="1">
        <f t="array" ref="E62">+SUM(IF(LEFT('EASI AFR Detail'!$F$5:$F$699,3)&amp;RIGHT('EASI AFR Detail'!$F$5:$F$699,5)&amp;LEFT('EASI AFR Detail'!$G$5:$G$699,4)&amp;RIGHT('EASI AFR Detail'!$J$5:$J$699,8)="sup0200)Colo6 (3227)",'EASI AFR Detail'!$O$5:$O$699))</f>
        <v>0</v>
      </c>
      <c r="F62" s="49" cm="1">
        <f t="array" ref="F62">+SUM(IF(LEFT('EASI AFR Detail'!$F$5:$F$699,3)&amp;RIGHT('EASI AFR Detail'!$F$5:$F$699,5)&amp;LEFT('EASI AFR Detail'!$G$5:$G$699,4)&amp;RIGHT('EASI AFR Detail'!$J$5:$J$699,8)="sup0200)Conn6 (3227)",'EASI AFR Detail'!$O$5:$O$699))</f>
        <v>0</v>
      </c>
      <c r="G62" s="49" cm="1">
        <f t="array" ref="G62">+SUM(IF(LEFT('EASI AFR Detail'!$F$5:$F$699,3)&amp;RIGHT('EASI AFR Detail'!$F$5:$F$699,5)&amp;LEFT('EASI AFR Detail'!$G$5:$G$699,12)&amp;RIGHT('EASI AFR Detail'!$J$5:$J$699,8)="sup0200)Diagnostic a6 (3227)",'EASI AFR Detail'!$O$5:$O$699))</f>
        <v>0</v>
      </c>
      <c r="H62" s="49" cm="1">
        <f t="array" ref="H62">+SUM(IF(LEFT('EASI AFR Detail'!$F$5:$F$699,3)&amp;RIGHT('EASI AFR Detail'!$F$5:$F$699,5)&amp;LEFT('EASI AFR Detail'!$G$5:$G$699,10)&amp;RIGHT('EASI AFR Detail'!$J$5:$J$699,8)="sup0200)District D6 (3227)",'EASI AFR Detail'!$O$5:$O$699))</f>
        <v>0</v>
      </c>
      <c r="I62" s="49" cm="1">
        <f t="array" ref="I62">+SUM(IF(LEFT('EASI AFR Detail'!$F$5:$F$699,3)&amp;RIGHT('EASI AFR Detail'!$F$5:$F$699,5)&amp;LEFT('EASI AFR Detail'!$G$5:$G$699,10)&amp;RIGHT('EASI AFR Detail'!$J$5:$J$699,8)="sup0200)District S6 (3227)",'EASI AFR Detail'!$O$5:$O$699))</f>
        <v>0</v>
      </c>
      <c r="J62" s="49" cm="1">
        <f t="array" ref="J62">+SUM(IF(LEFT('EASI AFR Detail'!$F$5:$F$699,3)&amp;RIGHT('EASI AFR Detail'!$F$5:$F$699,5)&amp;LEFT('EASI AFR Detail'!$G$5:$G$699,4)&amp;RIGHT('EASI AFR Detail'!$J$5:$J$699,8)="sup0200)Expl6 (3227)",'EASI AFR Detail'!$O$5:$O$699))</f>
        <v>0</v>
      </c>
      <c r="K62" s="49" cm="1">
        <f t="array" ref="K62">+SUM(IF(LEFT('EASI AFR Detail'!$F$5:$F$699,3)&amp;RIGHT('EASI AFR Detail'!$F$5:$F$699,5)&amp;LEFT('EASI AFR Detail'!$G$5:$G$699,4)&amp;RIGHT('EASI AFR Detail'!$J$5:$J$699,8)="sup0200)Faci6 (3227)",'EASI AFR Detail'!$O$5:$O$699))</f>
        <v>0</v>
      </c>
      <c r="L62" s="49" cm="1">
        <f t="array" ref="L62">+SUM(IF(LEFT('EASI AFR Detail'!$F$5:$F$699,3)&amp;RIGHT('EASI AFR Detail'!$F$5:$F$699,5)&amp;LEFT('EASI AFR Detail'!$G$5:$G$699,4)&amp;RIGHT('EASI AFR Detail'!$J$5:$J$699,8)="sup0200)MTSS6 (3227)",'EASI AFR Detail'!$O$5:$O$699))</f>
        <v>0</v>
      </c>
      <c r="M62" s="49" cm="1">
        <f t="array" ref="M62">+SUM(IF(LEFT('EASI AFR Detail'!$F$5:$F$699,3)&amp;RIGHT('EASI AFR Detail'!$F$5:$F$699,5)&amp;LEFT('EASI AFR Detail'!$G$5:$G$699,4)&amp;RIGHT('EASI AFR Detail'!$J$5:$J$699,8)="sup0200)Rigo6 (3227)",'EASI AFR Detail'!$O$5:$O$699))</f>
        <v>0</v>
      </c>
      <c r="N62" s="49" cm="1">
        <f t="array" ref="N62">+SUM(IF(LEFT('EASI AFR Detail'!$F$5:$F$699,3)&amp;RIGHT('EASI AFR Detail'!$F$5:$F$699,5)&amp;LEFT('EASI AFR Detail'!$G$5:$G$699,9)&amp;RIGHT('EASI AFR Detail'!$J$5:$J$699,8)="sup0200)School Tr6 (3227)",'EASI AFR Detail'!$O$5:$O$699))</f>
        <v>0</v>
      </c>
      <c r="O62" s="49" cm="1">
        <f t="array" ref="O62">+SUM(IF(LEFT('EASI AFR Detail'!$F$5:$F$699,3)&amp;RIGHT('EASI AFR Detail'!$F$5:$F$699,5)&amp;LEFT('EASI AFR Detail'!$G$5:$G$699,9)&amp;RIGHT('EASI AFR Detail'!$J$5:$J$699,8)="sup0200)School Tu6 (3227)",'EASI AFR Detail'!$O$5:$O$699))</f>
        <v>0</v>
      </c>
      <c r="P62" s="53">
        <f t="shared" si="12"/>
        <v>0</v>
      </c>
    </row>
    <row r="63" spans="1:16" x14ac:dyDescent="0.3">
      <c r="A63" s="188"/>
      <c r="B63" s="63">
        <v>10</v>
      </c>
      <c r="C63" s="64" t="s">
        <v>6547</v>
      </c>
      <c r="D63" s="49" cm="1">
        <f t="array" ref="D63">+SUM(IF(LEFT('EASI AFR Detail'!$F$5:$F$699,3)&amp;RIGHT('EASI AFR Detail'!$F$5:$F$699,5)&amp;LEFT('EASI AFR Detail'!$G$5:$G$699,4)&amp;RIGHT('EASI AFR Detail'!$J$5:$J$699,8)="sup0300)Acco6 (3227)",'EASI AFR Detail'!$O$5:$O$699))</f>
        <v>0</v>
      </c>
      <c r="E63" s="49" cm="1">
        <f t="array" ref="E63">+SUM(IF(LEFT('EASI AFR Detail'!$F$5:$F$699,3)&amp;RIGHT('EASI AFR Detail'!$F$5:$F$699,5)&amp;LEFT('EASI AFR Detail'!$G$5:$G$699,4)&amp;RIGHT('EASI AFR Detail'!$J$5:$J$699,8)="sup0300)Colo6 (3227)",'EASI AFR Detail'!$O$5:$O$699))</f>
        <v>0</v>
      </c>
      <c r="F63" s="49" cm="1">
        <f t="array" ref="F63">+SUM(IF(LEFT('EASI AFR Detail'!$F$5:$F$699,3)&amp;RIGHT('EASI AFR Detail'!$F$5:$F$699,5)&amp;LEFT('EASI AFR Detail'!$G$5:$G$699,4)&amp;RIGHT('EASI AFR Detail'!$J$5:$J$699,8)="sup0300)Conn6 (3227)",'EASI AFR Detail'!$O$5:$O$699))</f>
        <v>0</v>
      </c>
      <c r="G63" s="49" cm="1">
        <f t="array" ref="G63">+SUM(IF(LEFT('EASI AFR Detail'!$F$5:$F$699,3)&amp;RIGHT('EASI AFR Detail'!$F$5:$F$699,5)&amp;LEFT('EASI AFR Detail'!$G$5:$G$699,12)&amp;RIGHT('EASI AFR Detail'!$J$5:$J$699,8)="sup0300)Diagnostic a6 (3227)",'EASI AFR Detail'!$O$5:$O$699))</f>
        <v>0</v>
      </c>
      <c r="H63" s="49" cm="1">
        <f t="array" ref="H63">+SUM(IF(LEFT('EASI AFR Detail'!$F$5:$F$699,3)&amp;RIGHT('EASI AFR Detail'!$F$5:$F$699,5)&amp;LEFT('EASI AFR Detail'!$G$5:$G$699,10)&amp;RIGHT('EASI AFR Detail'!$J$5:$J$699,8)="sup0300)District D6 (3227)",'EASI AFR Detail'!$O$5:$O$699))</f>
        <v>0</v>
      </c>
      <c r="I63" s="49" cm="1">
        <f t="array" ref="I63">+SUM(IF(LEFT('EASI AFR Detail'!$F$5:$F$699,3)&amp;RIGHT('EASI AFR Detail'!$F$5:$F$699,5)&amp;LEFT('EASI AFR Detail'!$G$5:$G$699,10)&amp;RIGHT('EASI AFR Detail'!$J$5:$J$699,8)="sup0300)District S6 (3227)",'EASI AFR Detail'!$O$5:$O$699))</f>
        <v>0</v>
      </c>
      <c r="J63" s="49" cm="1">
        <f t="array" ref="J63">+SUM(IF(LEFT('EASI AFR Detail'!$F$5:$F$699,3)&amp;RIGHT('EASI AFR Detail'!$F$5:$F$699,5)&amp;LEFT('EASI AFR Detail'!$G$5:$G$699,4)&amp;RIGHT('EASI AFR Detail'!$J$5:$J$699,8)="sup0300)Expl6 (3227)",'EASI AFR Detail'!$O$5:$O$699))</f>
        <v>0</v>
      </c>
      <c r="K63" s="49" cm="1">
        <f t="array" ref="K63">+SUM(IF(LEFT('EASI AFR Detail'!$F$5:$F$699,3)&amp;RIGHT('EASI AFR Detail'!$F$5:$F$699,5)&amp;LEFT('EASI AFR Detail'!$G$5:$G$699,4)&amp;RIGHT('EASI AFR Detail'!$J$5:$J$699,8)="sup0300)Faci6 (3227)",'EASI AFR Detail'!$O$5:$O$699))</f>
        <v>0</v>
      </c>
      <c r="L63" s="49" cm="1">
        <f t="array" ref="L63">+SUM(IF(LEFT('EASI AFR Detail'!$F$5:$F$699,3)&amp;RIGHT('EASI AFR Detail'!$F$5:$F$699,5)&amp;LEFT('EASI AFR Detail'!$G$5:$G$699,4)&amp;RIGHT('EASI AFR Detail'!$J$5:$J$699,8)="sup0300)MTSS6 (3227)",'EASI AFR Detail'!$O$5:$O$699))</f>
        <v>0</v>
      </c>
      <c r="M63" s="49" cm="1">
        <f t="array" ref="M63">+SUM(IF(LEFT('EASI AFR Detail'!$F$5:$F$699,3)&amp;RIGHT('EASI AFR Detail'!$F$5:$F$699,5)&amp;LEFT('EASI AFR Detail'!$G$5:$G$699,4)&amp;RIGHT('EASI AFR Detail'!$J$5:$J$699,8)="sup0300)Rigo6 (3227)",'EASI AFR Detail'!$O$5:$O$699))</f>
        <v>0</v>
      </c>
      <c r="N63" s="49" cm="1">
        <f t="array" ref="N63">+SUM(IF(LEFT('EASI AFR Detail'!$F$5:$F$699,3)&amp;RIGHT('EASI AFR Detail'!$F$5:$F$699,5)&amp;LEFT('EASI AFR Detail'!$G$5:$G$699,9)&amp;RIGHT('EASI AFR Detail'!$J$5:$J$699,8)="sup0300)School Tr6 (3227)",'EASI AFR Detail'!$O$5:$O$699))</f>
        <v>0</v>
      </c>
      <c r="O63" s="49" cm="1">
        <f t="array" ref="O63">+SUM(IF(LEFT('EASI AFR Detail'!$F$5:$F$699,3)&amp;RIGHT('EASI AFR Detail'!$F$5:$F$699,5)&amp;LEFT('EASI AFR Detail'!$G$5:$G$699,9)&amp;RIGHT('EASI AFR Detail'!$J$5:$J$699,8)="sup0300)School Tu6 (3227)",'EASI AFR Detail'!$O$5:$O$699))</f>
        <v>0</v>
      </c>
      <c r="P63" s="53">
        <f t="shared" si="12"/>
        <v>0</v>
      </c>
    </row>
    <row r="64" spans="1:16" x14ac:dyDescent="0.3">
      <c r="A64" s="188"/>
      <c r="B64" s="63">
        <v>11</v>
      </c>
      <c r="C64" s="64" t="s">
        <v>6548</v>
      </c>
      <c r="D64" s="49" cm="1">
        <f t="array" ref="D64">+SUM(IF(LEFT('EASI AFR Detail'!$F$5:$F$699,3)&amp;RIGHT('EASI AFR Detail'!$F$5:$F$699,5)&amp;LEFT('EASI AFR Detail'!$G$5:$G$699,4)&amp;RIGHT('EASI AFR Detail'!$J$5:$J$699,8)="sup0500)Acco6 (3227)",'EASI AFR Detail'!$O$5:$O$699))</f>
        <v>0</v>
      </c>
      <c r="E64" s="49" cm="1">
        <f t="array" ref="E64">+SUM(IF(LEFT('EASI AFR Detail'!$F$5:$F$699,3)&amp;RIGHT('EASI AFR Detail'!$F$5:$F$699,5)&amp;LEFT('EASI AFR Detail'!$G$5:$G$699,4)&amp;RIGHT('EASI AFR Detail'!$J$5:$J$699,8)="sup0500)Colo6 (3227)",'EASI AFR Detail'!$O$5:$O$699))</f>
        <v>0</v>
      </c>
      <c r="F64" s="49" cm="1">
        <f t="array" ref="F64">+SUM(IF(LEFT('EASI AFR Detail'!$F$5:$F$699,3)&amp;RIGHT('EASI AFR Detail'!$F$5:$F$699,5)&amp;LEFT('EASI AFR Detail'!$G$5:$G$699,4)&amp;RIGHT('EASI AFR Detail'!$J$5:$J$699,8)="sup0500)Conn6 (3227)",'EASI AFR Detail'!$O$5:$O$699))</f>
        <v>0</v>
      </c>
      <c r="G64" s="49" cm="1">
        <f t="array" ref="G64">+SUM(IF(LEFT('EASI AFR Detail'!$F$5:$F$699,3)&amp;RIGHT('EASI AFR Detail'!$F$5:$F$699,5)&amp;LEFT('EASI AFR Detail'!$G$5:$G$699,12)&amp;RIGHT('EASI AFR Detail'!$J$5:$J$699,8)="sup0500)Diagnostic a6 (3227)",'EASI AFR Detail'!$O$5:$O$699))</f>
        <v>0</v>
      </c>
      <c r="H64" s="49" cm="1">
        <f t="array" ref="H64">+SUM(IF(LEFT('EASI AFR Detail'!$F$5:$F$699,3)&amp;RIGHT('EASI AFR Detail'!$F$5:$F$699,5)&amp;LEFT('EASI AFR Detail'!$G$5:$G$699,10)&amp;RIGHT('EASI AFR Detail'!$J$5:$J$699,8)="sup0500)District D6 (3227)",'EASI AFR Detail'!$O$5:$O$699))</f>
        <v>0</v>
      </c>
      <c r="I64" s="49" cm="1">
        <f t="array" ref="I64">+SUM(IF(LEFT('EASI AFR Detail'!$F$5:$F$699,3)&amp;RIGHT('EASI AFR Detail'!$F$5:$F$699,5)&amp;LEFT('EASI AFR Detail'!$G$5:$G$699,10)&amp;RIGHT('EASI AFR Detail'!$J$5:$J$699,8)="sup0500)District S6 (3227)",'EASI AFR Detail'!$O$5:$O$699))</f>
        <v>0</v>
      </c>
      <c r="J64" s="49" cm="1">
        <f t="array" ref="J64">+SUM(IF(LEFT('EASI AFR Detail'!$F$5:$F$699,3)&amp;RIGHT('EASI AFR Detail'!$F$5:$F$699,5)&amp;LEFT('EASI AFR Detail'!$G$5:$G$699,4)&amp;RIGHT('EASI AFR Detail'!$J$5:$J$699,8)="sup0500)Expl6 (3227)",'EASI AFR Detail'!$O$5:$O$699))</f>
        <v>0</v>
      </c>
      <c r="K64" s="49" cm="1">
        <f t="array" ref="K64">+SUM(IF(LEFT('EASI AFR Detail'!$F$5:$F$699,3)&amp;RIGHT('EASI AFR Detail'!$F$5:$F$699,5)&amp;LEFT('EASI AFR Detail'!$G$5:$G$699,4)&amp;RIGHT('EASI AFR Detail'!$J$5:$J$699,8)="sup0500)Faci6 (3227)",'EASI AFR Detail'!$O$5:$O$699))</f>
        <v>0</v>
      </c>
      <c r="L64" s="49" cm="1">
        <f t="array" ref="L64">+SUM(IF(LEFT('EASI AFR Detail'!$F$5:$F$699,3)&amp;RIGHT('EASI AFR Detail'!$F$5:$F$699,5)&amp;LEFT('EASI AFR Detail'!$G$5:$G$699,4)&amp;RIGHT('EASI AFR Detail'!$J$5:$J$699,8)="sup0500)MTSS6 (3227)",'EASI AFR Detail'!$O$5:$O$699))</f>
        <v>0</v>
      </c>
      <c r="M64" s="49" cm="1">
        <f t="array" ref="M64">+SUM(IF(LEFT('EASI AFR Detail'!$F$5:$F$699,3)&amp;RIGHT('EASI AFR Detail'!$F$5:$F$699,5)&amp;LEFT('EASI AFR Detail'!$G$5:$G$699,4)&amp;RIGHT('EASI AFR Detail'!$J$5:$J$699,8)="sup0500)Rigo6 (3227)",'EASI AFR Detail'!$O$5:$O$699))</f>
        <v>0</v>
      </c>
      <c r="N64" s="49" cm="1">
        <f t="array" ref="N64">+SUM(IF(LEFT('EASI AFR Detail'!$F$5:$F$699,3)&amp;RIGHT('EASI AFR Detail'!$F$5:$F$699,5)&amp;LEFT('EASI AFR Detail'!$G$5:$G$699,9)&amp;RIGHT('EASI AFR Detail'!$J$5:$J$699,8)="sup0500)School Tr6 (3227)",'EASI AFR Detail'!$O$5:$O$699))</f>
        <v>0</v>
      </c>
      <c r="O64" s="49" cm="1">
        <f t="array" ref="O64">+SUM(IF(LEFT('EASI AFR Detail'!$F$5:$F$699,3)&amp;RIGHT('EASI AFR Detail'!$F$5:$F$699,5)&amp;LEFT('EASI AFR Detail'!$G$5:$G$699,9)&amp;RIGHT('EASI AFR Detail'!$J$5:$J$699,8)="sup0500)School Tu6 (3227)",'EASI AFR Detail'!$O$5:$O$699))</f>
        <v>0</v>
      </c>
      <c r="P64" s="53">
        <f t="shared" si="12"/>
        <v>0</v>
      </c>
    </row>
    <row r="65" spans="1:16" x14ac:dyDescent="0.3">
      <c r="A65" s="188"/>
      <c r="B65" s="63">
        <v>12</v>
      </c>
      <c r="C65" s="64" t="s">
        <v>6549</v>
      </c>
      <c r="D65" s="49" cm="1">
        <f t="array" ref="D65">+SUM(IF(LEFT('EASI AFR Detail'!$F$5:$F$699,3)&amp;RIGHT('EASI AFR Detail'!$F$5:$F$699,5)&amp;LEFT('EASI AFR Detail'!$G$5:$G$699,4)&amp;RIGHT('EASI AFR Detail'!$J$5:$J$699,8)="sup0580)Acco6 (3227)",'EASI AFR Detail'!$O$5:$O$699))</f>
        <v>0</v>
      </c>
      <c r="E65" s="49" cm="1">
        <f t="array" ref="E65">+SUM(IF(LEFT('EASI AFR Detail'!$F$5:$F$699,3)&amp;RIGHT('EASI AFR Detail'!$F$5:$F$699,5)&amp;LEFT('EASI AFR Detail'!$G$5:$G$699,4)&amp;RIGHT('EASI AFR Detail'!$J$5:$J$699,8)="sup0580)Colo6 (3227)",'EASI AFR Detail'!$O$5:$O$699))</f>
        <v>0</v>
      </c>
      <c r="F65" s="49" cm="1">
        <f t="array" ref="F65">+SUM(IF(LEFT('EASI AFR Detail'!$F$5:$F$699,3)&amp;RIGHT('EASI AFR Detail'!$F$5:$F$699,5)&amp;LEFT('EASI AFR Detail'!$G$5:$G$699,4)&amp;RIGHT('EASI AFR Detail'!$J$5:$J$699,8)="sup0580)Conn6 (3227)",'EASI AFR Detail'!$O$5:$O$699))</f>
        <v>0</v>
      </c>
      <c r="G65" s="49" cm="1">
        <f t="array" ref="G65">+SUM(IF(LEFT('EASI AFR Detail'!$F$5:$F$699,3)&amp;RIGHT('EASI AFR Detail'!$F$5:$F$699,5)&amp;LEFT('EASI AFR Detail'!$G$5:$G$699,12)&amp;RIGHT('EASI AFR Detail'!$J$5:$J$699,8)="sup0580)Diagnostic a6 (3227)",'EASI AFR Detail'!$O$5:$O$699))</f>
        <v>0</v>
      </c>
      <c r="H65" s="49" cm="1">
        <f t="array" ref="H65">+SUM(IF(LEFT('EASI AFR Detail'!$F$5:$F$699,3)&amp;RIGHT('EASI AFR Detail'!$F$5:$F$699,5)&amp;LEFT('EASI AFR Detail'!$G$5:$G$699,10)&amp;RIGHT('EASI AFR Detail'!$J$5:$J$699,8)="sup0580)District D6 (3227)",'EASI AFR Detail'!$O$5:$O$699))</f>
        <v>0</v>
      </c>
      <c r="I65" s="49" cm="1">
        <f t="array" ref="I65">+SUM(IF(LEFT('EASI AFR Detail'!$F$5:$F$699,3)&amp;RIGHT('EASI AFR Detail'!$F$5:$F$699,5)&amp;LEFT('EASI AFR Detail'!$G$5:$G$699,10)&amp;RIGHT('EASI AFR Detail'!$J$5:$J$699,8)="sup0580)District S6 (3227)",'EASI AFR Detail'!$O$5:$O$699))</f>
        <v>0</v>
      </c>
      <c r="J65" s="49" cm="1">
        <f t="array" ref="J65">+SUM(IF(LEFT('EASI AFR Detail'!$F$5:$F$699,3)&amp;RIGHT('EASI AFR Detail'!$F$5:$F$699,5)&amp;LEFT('EASI AFR Detail'!$G$5:$G$699,4)&amp;RIGHT('EASI AFR Detail'!$J$5:$J$699,8)="sup0580)Expl6 (3227)",'EASI AFR Detail'!$O$5:$O$699))</f>
        <v>0</v>
      </c>
      <c r="K65" s="49" cm="1">
        <f t="array" ref="K65">+SUM(IF(LEFT('EASI AFR Detail'!$F$5:$F$699,3)&amp;RIGHT('EASI AFR Detail'!$F$5:$F$699,5)&amp;LEFT('EASI AFR Detail'!$G$5:$G$699,4)&amp;RIGHT('EASI AFR Detail'!$J$5:$J$699,8)="sup0580)Faci6 (3227)",'EASI AFR Detail'!$O$5:$O$699))</f>
        <v>0</v>
      </c>
      <c r="L65" s="49" cm="1">
        <f t="array" ref="L65">+SUM(IF(LEFT('EASI AFR Detail'!$F$5:$F$699,3)&amp;RIGHT('EASI AFR Detail'!$F$5:$F$699,5)&amp;LEFT('EASI AFR Detail'!$G$5:$G$699,4)&amp;RIGHT('EASI AFR Detail'!$J$5:$J$699,8)="sup0580)MTSS6 (3227)",'EASI AFR Detail'!$O$5:$O$699))</f>
        <v>0</v>
      </c>
      <c r="M65" s="49" cm="1">
        <f t="array" ref="M65">+SUM(IF(LEFT('EASI AFR Detail'!$F$5:$F$699,3)&amp;RIGHT('EASI AFR Detail'!$F$5:$F$699,5)&amp;LEFT('EASI AFR Detail'!$G$5:$G$699,4)&amp;RIGHT('EASI AFR Detail'!$J$5:$J$699,8)="sup0580)Rigo6 (3227)",'EASI AFR Detail'!$O$5:$O$699))</f>
        <v>0</v>
      </c>
      <c r="N65" s="49" cm="1">
        <f t="array" ref="N65">+SUM(IF(LEFT('EASI AFR Detail'!$F$5:$F$699,3)&amp;RIGHT('EASI AFR Detail'!$F$5:$F$699,5)&amp;LEFT('EASI AFR Detail'!$G$5:$G$699,9)&amp;RIGHT('EASI AFR Detail'!$J$5:$J$699,8)="sup0580)School Tr6 (3227)",'EASI AFR Detail'!$O$5:$O$699))</f>
        <v>0</v>
      </c>
      <c r="O65" s="49" cm="1">
        <f t="array" ref="O65">+SUM(IF(LEFT('EASI AFR Detail'!$F$5:$F$699,3)&amp;RIGHT('EASI AFR Detail'!$F$5:$F$699,5)&amp;LEFT('EASI AFR Detail'!$G$5:$G$699,9)&amp;RIGHT('EASI AFR Detail'!$J$5:$J$699,8)="sup0580)School Tu6 (3227)",'EASI AFR Detail'!$O$5:$O$699))</f>
        <v>0</v>
      </c>
      <c r="P65" s="53">
        <f t="shared" si="12"/>
        <v>0</v>
      </c>
    </row>
    <row r="66" spans="1:16" x14ac:dyDescent="0.3">
      <c r="A66" s="188"/>
      <c r="B66" s="63">
        <v>13</v>
      </c>
      <c r="C66" s="64" t="s">
        <v>6550</v>
      </c>
      <c r="D66" s="49" cm="1">
        <f t="array" ref="D66">+SUM(IF(LEFT('EASI AFR Detail'!$F$5:$F$699,3)&amp;RIGHT('EASI AFR Detail'!$F$5:$F$699,5)&amp;LEFT('EASI AFR Detail'!$G$5:$G$699,4)&amp;RIGHT('EASI AFR Detail'!$J$5:$J$699,8)="sup0600)Acco6 (3227)",'EASI AFR Detail'!$O$5:$O$699))</f>
        <v>0</v>
      </c>
      <c r="E66" s="49" cm="1">
        <f t="array" ref="E66">+SUM(IF(LEFT('EASI AFR Detail'!$F$5:$F$699,3)&amp;RIGHT('EASI AFR Detail'!$F$5:$F$699,5)&amp;LEFT('EASI AFR Detail'!$G$5:$G$699,4)&amp;RIGHT('EASI AFR Detail'!$J$5:$J$699,8)="sup0600)Colo6 (3227)",'EASI AFR Detail'!$O$5:$O$699))</f>
        <v>0</v>
      </c>
      <c r="F66" s="49" cm="1">
        <f t="array" ref="F66">+SUM(IF(LEFT('EASI AFR Detail'!$F$5:$F$699,3)&amp;RIGHT('EASI AFR Detail'!$F$5:$F$699,5)&amp;LEFT('EASI AFR Detail'!$G$5:$G$699,4)&amp;RIGHT('EASI AFR Detail'!$J$5:$J$699,8)="sup0600)Conn6 (3227)",'EASI AFR Detail'!$O$5:$O$699))</f>
        <v>0</v>
      </c>
      <c r="G66" s="49" cm="1">
        <f t="array" ref="G66">+SUM(IF(LEFT('EASI AFR Detail'!$F$5:$F$699,3)&amp;RIGHT('EASI AFR Detail'!$F$5:$F$699,5)&amp;LEFT('EASI AFR Detail'!$G$5:$G$699,12)&amp;RIGHT('EASI AFR Detail'!$J$5:$J$699,8)="sup0600)Diagnostic a6 (3227)",'EASI AFR Detail'!$O$5:$O$699))</f>
        <v>0</v>
      </c>
      <c r="H66" s="49" cm="1">
        <f t="array" ref="H66">+SUM(IF(LEFT('EASI AFR Detail'!$F$5:$F$699,3)&amp;RIGHT('EASI AFR Detail'!$F$5:$F$699,5)&amp;LEFT('EASI AFR Detail'!$G$5:$G$699,10)&amp;RIGHT('EASI AFR Detail'!$J$5:$J$699,8)="sup0600)District D6 (3227)",'EASI AFR Detail'!$O$5:$O$699))</f>
        <v>0</v>
      </c>
      <c r="I66" s="49" cm="1">
        <f t="array" ref="I66">+SUM(IF(LEFT('EASI AFR Detail'!$F$5:$F$699,3)&amp;RIGHT('EASI AFR Detail'!$F$5:$F$699,5)&amp;LEFT('EASI AFR Detail'!$G$5:$G$699,10)&amp;RIGHT('EASI AFR Detail'!$J$5:$J$699,8)="sup0600)District S6 (3227)",'EASI AFR Detail'!$O$5:$O$699))</f>
        <v>0</v>
      </c>
      <c r="J66" s="49" cm="1">
        <f t="array" ref="J66">+SUM(IF(LEFT('EASI AFR Detail'!$F$5:$F$699,3)&amp;RIGHT('EASI AFR Detail'!$F$5:$F$699,5)&amp;LEFT('EASI AFR Detail'!$G$5:$G$699,4)&amp;RIGHT('EASI AFR Detail'!$J$5:$J$699,8)="sup0600)Expl6 (3227)",'EASI AFR Detail'!$O$5:$O$699))</f>
        <v>0</v>
      </c>
      <c r="K66" s="49" cm="1">
        <f t="array" ref="K66">+SUM(IF(LEFT('EASI AFR Detail'!$F$5:$F$699,3)&amp;RIGHT('EASI AFR Detail'!$F$5:$F$699,5)&amp;LEFT('EASI AFR Detail'!$G$5:$G$699,4)&amp;RIGHT('EASI AFR Detail'!$J$5:$J$699,8)="sup0600)Faci6 (3227)",'EASI AFR Detail'!$O$5:$O$699))</f>
        <v>0</v>
      </c>
      <c r="L66" s="49" cm="1">
        <f t="array" ref="L66">+SUM(IF(LEFT('EASI AFR Detail'!$F$5:$F$699,3)&amp;RIGHT('EASI AFR Detail'!$F$5:$F$699,5)&amp;LEFT('EASI AFR Detail'!$G$5:$G$699,4)&amp;RIGHT('EASI AFR Detail'!$J$5:$J$699,8)="sup0600)MTSS6 (3227)",'EASI AFR Detail'!$O$5:$O$699))</f>
        <v>0</v>
      </c>
      <c r="M66" s="49" cm="1">
        <f t="array" ref="M66">+SUM(IF(LEFT('EASI AFR Detail'!$F$5:$F$699,3)&amp;RIGHT('EASI AFR Detail'!$F$5:$F$699,5)&amp;LEFT('EASI AFR Detail'!$G$5:$G$699,4)&amp;RIGHT('EASI AFR Detail'!$J$5:$J$699,8)="sup0600)Rigo6 (3227)",'EASI AFR Detail'!$O$5:$O$699))</f>
        <v>0</v>
      </c>
      <c r="N66" s="49" cm="1">
        <f t="array" ref="N66">+SUM(IF(LEFT('EASI AFR Detail'!$F$5:$F$699,3)&amp;RIGHT('EASI AFR Detail'!$F$5:$F$699,5)&amp;LEFT('EASI AFR Detail'!$G$5:$G$699,9)&amp;RIGHT('EASI AFR Detail'!$J$5:$J$699,8)="sup0600)School Tr6 (3227)",'EASI AFR Detail'!$O$5:$O$699))</f>
        <v>0</v>
      </c>
      <c r="O66" s="49" cm="1">
        <f t="array" ref="O66">+SUM(IF(LEFT('EASI AFR Detail'!$F$5:$F$699,3)&amp;RIGHT('EASI AFR Detail'!$F$5:$F$699,5)&amp;LEFT('EASI AFR Detail'!$G$5:$G$699,9)&amp;RIGHT('EASI AFR Detail'!$J$5:$J$699,8)="sup0600)School Tu6 (3227)",'EASI AFR Detail'!$O$5:$O$699))</f>
        <v>0</v>
      </c>
      <c r="P66" s="53">
        <f t="shared" si="12"/>
        <v>0</v>
      </c>
    </row>
    <row r="67" spans="1:16" x14ac:dyDescent="0.3">
      <c r="A67" s="188"/>
      <c r="B67" s="63">
        <v>14</v>
      </c>
      <c r="C67" s="65" t="s">
        <v>6553</v>
      </c>
      <c r="D67" s="49">
        <f>SUM(D61:D66)</f>
        <v>0</v>
      </c>
      <c r="E67" s="57">
        <f t="shared" ref="E67:P67" si="13">SUM(E61:E66)</f>
        <v>0</v>
      </c>
      <c r="F67" s="57">
        <f t="shared" si="13"/>
        <v>0</v>
      </c>
      <c r="G67" s="57">
        <f t="shared" si="13"/>
        <v>0</v>
      </c>
      <c r="H67" s="57">
        <f t="shared" si="13"/>
        <v>0</v>
      </c>
      <c r="I67" s="57">
        <f t="shared" si="13"/>
        <v>0</v>
      </c>
      <c r="J67" s="57">
        <f t="shared" si="13"/>
        <v>0</v>
      </c>
      <c r="K67" s="57">
        <f t="shared" si="13"/>
        <v>0</v>
      </c>
      <c r="L67" s="57">
        <f t="shared" si="13"/>
        <v>0</v>
      </c>
      <c r="M67" s="57">
        <f t="shared" si="13"/>
        <v>0</v>
      </c>
      <c r="N67" s="57">
        <f t="shared" si="13"/>
        <v>0</v>
      </c>
      <c r="O67" s="57">
        <f t="shared" si="13"/>
        <v>0</v>
      </c>
      <c r="P67" s="53">
        <f t="shared" si="13"/>
        <v>0</v>
      </c>
    </row>
    <row r="68" spans="1:16" x14ac:dyDescent="0.3">
      <c r="A68" s="188"/>
      <c r="B68" s="66"/>
      <c r="C68" s="67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9"/>
    </row>
    <row r="69" spans="1:16" x14ac:dyDescent="0.3">
      <c r="A69" s="188"/>
      <c r="B69" s="63">
        <v>15</v>
      </c>
      <c r="C69" s="64" t="s">
        <v>6554</v>
      </c>
      <c r="D69" s="39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1">
        <f>SUM(D69:O69)</f>
        <v>0</v>
      </c>
    </row>
    <row r="70" spans="1:16" x14ac:dyDescent="0.3">
      <c r="A70" s="188"/>
      <c r="B70" s="66"/>
      <c r="C70" s="70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9"/>
    </row>
    <row r="71" spans="1:16" ht="15" thickBot="1" x14ac:dyDescent="0.35">
      <c r="A71" s="189"/>
      <c r="B71" s="71">
        <v>16</v>
      </c>
      <c r="C71" s="72" t="s">
        <v>6517</v>
      </c>
      <c r="D71" s="73">
        <f>D58+D67+D69</f>
        <v>0</v>
      </c>
      <c r="E71" s="74">
        <f t="shared" ref="E71:O71" si="14">E58+E67+E69</f>
        <v>0</v>
      </c>
      <c r="F71" s="74">
        <f t="shared" si="14"/>
        <v>0</v>
      </c>
      <c r="G71" s="74">
        <f t="shared" si="14"/>
        <v>0</v>
      </c>
      <c r="H71" s="74">
        <f t="shared" si="14"/>
        <v>0</v>
      </c>
      <c r="I71" s="74">
        <f t="shared" si="14"/>
        <v>0</v>
      </c>
      <c r="J71" s="74">
        <f t="shared" si="14"/>
        <v>0</v>
      </c>
      <c r="K71" s="74">
        <f t="shared" si="14"/>
        <v>0</v>
      </c>
      <c r="L71" s="74">
        <f t="shared" si="14"/>
        <v>0</v>
      </c>
      <c r="M71" s="74">
        <f t="shared" si="14"/>
        <v>0</v>
      </c>
      <c r="N71" s="74">
        <f t="shared" si="14"/>
        <v>0</v>
      </c>
      <c r="O71" s="74">
        <f t="shared" si="14"/>
        <v>0</v>
      </c>
      <c r="P71" s="75">
        <f>P58+P67+P69</f>
        <v>0</v>
      </c>
    </row>
    <row r="72" spans="1:16" x14ac:dyDescent="0.3">
      <c r="C72" s="77"/>
    </row>
    <row r="73" spans="1:16" ht="15" thickBot="1" x14ac:dyDescent="0.35">
      <c r="C73" s="77"/>
    </row>
    <row r="74" spans="1:16" ht="15" thickBot="1" x14ac:dyDescent="0.35">
      <c r="A74" s="187" t="s">
        <v>6585</v>
      </c>
      <c r="B74" s="194" t="s">
        <v>6543</v>
      </c>
      <c r="C74" s="196"/>
      <c r="D74" s="45" t="s">
        <v>6544</v>
      </c>
      <c r="E74" s="45" t="s">
        <v>6544</v>
      </c>
      <c r="F74" s="45" t="s">
        <v>6544</v>
      </c>
      <c r="G74" s="45" t="s">
        <v>6544</v>
      </c>
      <c r="H74" s="45" t="s">
        <v>6544</v>
      </c>
      <c r="I74" s="45" t="s">
        <v>6544</v>
      </c>
      <c r="J74" s="45" t="s">
        <v>6544</v>
      </c>
      <c r="K74" s="45" t="s">
        <v>6544</v>
      </c>
      <c r="L74" s="45" t="s">
        <v>6544</v>
      </c>
      <c r="M74" s="45" t="s">
        <v>6544</v>
      </c>
      <c r="N74" s="45" t="s">
        <v>6544</v>
      </c>
      <c r="O74" s="45" t="s">
        <v>6544</v>
      </c>
      <c r="P74" s="45" t="s">
        <v>6544</v>
      </c>
    </row>
    <row r="75" spans="1:16" x14ac:dyDescent="0.3">
      <c r="A75" s="188"/>
      <c r="B75" s="47">
        <v>1</v>
      </c>
      <c r="C75" s="48" t="s">
        <v>6545</v>
      </c>
      <c r="D75" s="49" cm="1">
        <f t="array" ref="D75">+SUM(IF(LEFT('EASI AFR Detail'!$F$5:$F$699,3)&amp;RIGHT('EASI AFR Detail'!$F$5:$F$699,5)&amp;LEFT('EASI AFR Detail'!$G$5:$G$699,4)&amp;RIGHT('EASI AFR Detail'!$J$5:$J$699,8)="ins0100)Acco7 (3227)",'EASI AFR Detail'!$O$5:$O$699))</f>
        <v>0</v>
      </c>
      <c r="E75" s="49" cm="1">
        <f t="array" ref="E75">+SUM(IF(LEFT('EASI AFR Detail'!$F$5:$F$699,3)&amp;RIGHT('EASI AFR Detail'!$F$5:$F$699,5)&amp;LEFT('EASI AFR Detail'!$G$5:$G$699,4)&amp;RIGHT('EASI AFR Detail'!$J$5:$J$699,8)="ins0100)Colo7 (3227)",'EASI AFR Detail'!$O$5:$O$699))</f>
        <v>0</v>
      </c>
      <c r="F75" s="49" cm="1">
        <f t="array" ref="F75">+SUM(IF(LEFT('EASI AFR Detail'!$F$5:$F$699,3)&amp;RIGHT('EASI AFR Detail'!$F$5:$F$699,5)&amp;LEFT('EASI AFR Detail'!$G$5:$G$699,4)&amp;RIGHT('EASI AFR Detail'!$J$5:$J$699,8)="ins0100)Conn7 (3227)",'EASI AFR Detail'!$O$5:$O$699))</f>
        <v>0</v>
      </c>
      <c r="G75" s="49" cm="1">
        <f t="array" ref="G75">+SUM(IF(LEFT('EASI AFR Detail'!$F$5:$F$699,3)&amp;RIGHT('EASI AFR Detail'!$F$5:$F$699,5)&amp;LEFT('EASI AFR Detail'!$G$5:$G$699,12)&amp;RIGHT('EASI AFR Detail'!$J$5:$J$699,8)="ins0100)Diagnostic a7 (3227)",'EASI AFR Detail'!$O$5:$O$699))</f>
        <v>0</v>
      </c>
      <c r="H75" s="49" cm="1">
        <f t="array" ref="H75">+SUM(IF(LEFT('EASI AFR Detail'!$F$5:$F$699,3)&amp;RIGHT('EASI AFR Detail'!$F$5:$F$699,5)&amp;LEFT('EASI AFR Detail'!$G$5:$G$699,10)&amp;RIGHT('EASI AFR Detail'!$J$5:$J$699,8)="ins0100)District D7 (3227)",'EASI AFR Detail'!$O$5:$O$699))</f>
        <v>0</v>
      </c>
      <c r="I75" s="49" cm="1">
        <f t="array" ref="I75">+SUM(IF(LEFT('EASI AFR Detail'!$F$5:$F$699,3)&amp;RIGHT('EASI AFR Detail'!$F$5:$F$699,5)&amp;LEFT('EASI AFR Detail'!$G$5:$G$699,10)&amp;RIGHT('EASI AFR Detail'!$J$5:$J$699,8)="ins0100)District S7 (3227)",'EASI AFR Detail'!$O$5:$O$699))</f>
        <v>0</v>
      </c>
      <c r="J75" s="49" cm="1">
        <f t="array" ref="J75">+SUM(IF(LEFT('EASI AFR Detail'!$F$5:$F$699,3)&amp;RIGHT('EASI AFR Detail'!$F$5:$F$699,5)&amp;LEFT('EASI AFR Detail'!$G$5:$G$699,4)&amp;RIGHT('EASI AFR Detail'!$J$5:$J$699,8)="ins0100)Expl7 (3227)",'EASI AFR Detail'!$O$5:$O$699))</f>
        <v>0</v>
      </c>
      <c r="K75" s="49" cm="1">
        <f t="array" ref="K75">+SUM(IF(LEFT('EASI AFR Detail'!$F$5:$F$699,3)&amp;RIGHT('EASI AFR Detail'!$F$5:$F$699,5)&amp;LEFT('EASI AFR Detail'!$G$5:$G$699,4)&amp;RIGHT('EASI AFR Detail'!$J$5:$J$699,8)="ins0100)Faci7 (3227)",'EASI AFR Detail'!$O$5:$O$699))</f>
        <v>0</v>
      </c>
      <c r="L75" s="49" cm="1">
        <f t="array" ref="L75">+SUM(IF(LEFT('EASI AFR Detail'!$F$5:$F$699,3)&amp;RIGHT('EASI AFR Detail'!$F$5:$F$699,5)&amp;LEFT('EASI AFR Detail'!$G$5:$G$699,4)&amp;RIGHT('EASI AFR Detail'!$J$5:$J$699,8)="ins0100)MTSS7 (3227)",'EASI AFR Detail'!$O$5:$O$699))</f>
        <v>0</v>
      </c>
      <c r="M75" s="49" cm="1">
        <f t="array" ref="M75">+SUM(IF(LEFT('EASI AFR Detail'!$F$5:$F$699,3)&amp;RIGHT('EASI AFR Detail'!$F$5:$F$699,5)&amp;LEFT('EASI AFR Detail'!$G$5:$G$699,4)&amp;RIGHT('EASI AFR Detail'!$J$5:$J$699,8)="ins0100)Rigo7 (3227)",'EASI AFR Detail'!$O$5:$O$699))</f>
        <v>0</v>
      </c>
      <c r="N75" s="49" cm="1">
        <f t="array" ref="N75">+SUM(IF(LEFT('EASI AFR Detail'!$F$5:$F$699,3)&amp;RIGHT('EASI AFR Detail'!$F$5:$F$699,5)&amp;LEFT('EASI AFR Detail'!$G$5:$G$699,9)&amp;RIGHT('EASI AFR Detail'!$J$5:$J$699,8)="ins0100)School Tr7 (3227)",'EASI AFR Detail'!$O$5:$O$699))</f>
        <v>0</v>
      </c>
      <c r="O75" s="49" cm="1">
        <f t="array" ref="O75">+SUM(IF(LEFT('EASI AFR Detail'!$F$5:$F$699,3)&amp;RIGHT('EASI AFR Detail'!$F$5:$F$699,5)&amp;LEFT('EASI AFR Detail'!$G$5:$G$699,9)&amp;RIGHT('EASI AFR Detail'!$J$5:$J$699,8)="ins0100)School Tu7 (3227)",'EASI AFR Detail'!$O$5:$O$699))</f>
        <v>0</v>
      </c>
      <c r="P75" s="50">
        <f t="shared" ref="P75:P80" si="15">SUM(D75:O75)</f>
        <v>0</v>
      </c>
    </row>
    <row r="76" spans="1:16" x14ac:dyDescent="0.3">
      <c r="A76" s="188"/>
      <c r="B76" s="51">
        <v>2</v>
      </c>
      <c r="C76" s="52" t="s">
        <v>6546</v>
      </c>
      <c r="D76" s="49" cm="1">
        <f t="array" ref="D76">+SUM(IF(LEFT('EASI AFR Detail'!$F$5:$F$699,3)&amp;RIGHT('EASI AFR Detail'!$F$5:$F$699,5)&amp;LEFT('EASI AFR Detail'!$G$5:$G$699,4)&amp;RIGHT('EASI AFR Detail'!$J$5:$J$699,8)="ins0200)Acco7 (3227)",'EASI AFR Detail'!$O$5:$O$699))</f>
        <v>0</v>
      </c>
      <c r="E76" s="49" cm="1">
        <f t="array" ref="E76">+SUM(IF(LEFT('EASI AFR Detail'!$F$5:$F$699,3)&amp;RIGHT('EASI AFR Detail'!$F$5:$F$699,5)&amp;LEFT('EASI AFR Detail'!$G$5:$G$699,4)&amp;RIGHT('EASI AFR Detail'!$J$5:$J$699,8)="ins0200)Colo7 (3227)",'EASI AFR Detail'!$O$5:$O$699))</f>
        <v>0</v>
      </c>
      <c r="F76" s="49" cm="1">
        <f t="array" ref="F76">+SUM(IF(LEFT('EASI AFR Detail'!$F$5:$F$699,3)&amp;RIGHT('EASI AFR Detail'!$F$5:$F$699,5)&amp;LEFT('EASI AFR Detail'!$G$5:$G$699,4)&amp;RIGHT('EASI AFR Detail'!$J$5:$J$699,8)="ins0200)Conn7 (3227)",'EASI AFR Detail'!$O$5:$O$699))</f>
        <v>0</v>
      </c>
      <c r="G76" s="49" cm="1">
        <f t="array" ref="G76">+SUM(IF(LEFT('EASI AFR Detail'!$F$5:$F$699,3)&amp;RIGHT('EASI AFR Detail'!$F$5:$F$699,5)&amp;LEFT('EASI AFR Detail'!$G$5:$G$699,12)&amp;RIGHT('EASI AFR Detail'!$J$5:$J$699,8)="ins0200)Diagnostic a7 (3227)",'EASI AFR Detail'!$O$5:$O$699))</f>
        <v>0</v>
      </c>
      <c r="H76" s="49" cm="1">
        <f t="array" ref="H76">+SUM(IF(LEFT('EASI AFR Detail'!$F$5:$F$699,3)&amp;RIGHT('EASI AFR Detail'!$F$5:$F$699,5)&amp;LEFT('EASI AFR Detail'!$G$5:$G$699,10)&amp;RIGHT('EASI AFR Detail'!$J$5:$J$699,8)="ins0200)District D7 (3227)",'EASI AFR Detail'!$O$5:$O$699))</f>
        <v>0</v>
      </c>
      <c r="I76" s="49" cm="1">
        <f t="array" ref="I76">+SUM(IF(LEFT('EASI AFR Detail'!$F$5:$F$699,3)&amp;RIGHT('EASI AFR Detail'!$F$5:$F$699,5)&amp;LEFT('EASI AFR Detail'!$G$5:$G$699,10)&amp;RIGHT('EASI AFR Detail'!$J$5:$J$699,8)="ins0200)District S7 (3227)",'EASI AFR Detail'!$O$5:$O$699))</f>
        <v>0</v>
      </c>
      <c r="J76" s="49" cm="1">
        <f t="array" ref="J76">+SUM(IF(LEFT('EASI AFR Detail'!$F$5:$F$699,3)&amp;RIGHT('EASI AFR Detail'!$F$5:$F$699,5)&amp;LEFT('EASI AFR Detail'!$G$5:$G$699,4)&amp;RIGHT('EASI AFR Detail'!$J$5:$J$699,8)="ins0200)Expl7 (3227)",'EASI AFR Detail'!$O$5:$O$699))</f>
        <v>0</v>
      </c>
      <c r="K76" s="49" cm="1">
        <f t="array" ref="K76">+SUM(IF(LEFT('EASI AFR Detail'!$F$5:$F$699,3)&amp;RIGHT('EASI AFR Detail'!$F$5:$F$699,5)&amp;LEFT('EASI AFR Detail'!$G$5:$G$699,4)&amp;RIGHT('EASI AFR Detail'!$J$5:$J$699,8)="ins0200)Faci7 (3227)",'EASI AFR Detail'!$O$5:$O$699))</f>
        <v>0</v>
      </c>
      <c r="L76" s="49" cm="1">
        <f t="array" ref="L76">+SUM(IF(LEFT('EASI AFR Detail'!$F$5:$F$699,3)&amp;RIGHT('EASI AFR Detail'!$F$5:$F$699,5)&amp;LEFT('EASI AFR Detail'!$G$5:$G$699,4)&amp;RIGHT('EASI AFR Detail'!$J$5:$J$699,8)="ins0200)MTSS7 (3227)",'EASI AFR Detail'!$O$5:$O$699))</f>
        <v>0</v>
      </c>
      <c r="M76" s="49" cm="1">
        <f t="array" ref="M76">+SUM(IF(LEFT('EASI AFR Detail'!$F$5:$F$699,3)&amp;RIGHT('EASI AFR Detail'!$F$5:$F$699,5)&amp;LEFT('EASI AFR Detail'!$G$5:$G$699,4)&amp;RIGHT('EASI AFR Detail'!$J$5:$J$699,8)="ins0200)Rigo7 (3227)",'EASI AFR Detail'!$O$5:$O$699))</f>
        <v>0</v>
      </c>
      <c r="N76" s="49" cm="1">
        <f t="array" ref="N76">+SUM(IF(LEFT('EASI AFR Detail'!$F$5:$F$699,3)&amp;RIGHT('EASI AFR Detail'!$F$5:$F$699,5)&amp;LEFT('EASI AFR Detail'!$G$5:$G$699,9)&amp;RIGHT('EASI AFR Detail'!$J$5:$J$699,8)="ins0200)School Tr7 (3227)",'EASI AFR Detail'!$O$5:$O$699))</f>
        <v>0</v>
      </c>
      <c r="O76" s="49" cm="1">
        <f t="array" ref="O76">+SUM(IF(LEFT('EASI AFR Detail'!$F$5:$F$699,3)&amp;RIGHT('EASI AFR Detail'!$F$5:$F$699,5)&amp;LEFT('EASI AFR Detail'!$G$5:$G$699,9)&amp;RIGHT('EASI AFR Detail'!$J$5:$J$699,8)="ins0200)School Tu7 (3227)",'EASI AFR Detail'!$O$5:$O$699))</f>
        <v>0</v>
      </c>
      <c r="P76" s="53">
        <f t="shared" si="15"/>
        <v>0</v>
      </c>
    </row>
    <row r="77" spans="1:16" x14ac:dyDescent="0.3">
      <c r="A77" s="188"/>
      <c r="B77" s="51">
        <v>3</v>
      </c>
      <c r="C77" s="52" t="s">
        <v>6547</v>
      </c>
      <c r="D77" s="49" cm="1">
        <f t="array" ref="D77">+SUM(IF(LEFT('EASI AFR Detail'!$F$5:$F$699,3)&amp;RIGHT('EASI AFR Detail'!$F$5:$F$699,5)&amp;LEFT('EASI AFR Detail'!$G$5:$G$699,4)&amp;RIGHT('EASI AFR Detail'!$J$5:$J$699,8)="ins0300)Acco7 (3227)",'EASI AFR Detail'!$O$5:$O$699))</f>
        <v>0</v>
      </c>
      <c r="E77" s="49" cm="1">
        <f t="array" ref="E77">+SUM(IF(LEFT('EASI AFR Detail'!$F$5:$F$699,3)&amp;RIGHT('EASI AFR Detail'!$F$5:$F$699,5)&amp;LEFT('EASI AFR Detail'!$G$5:$G$699,4)&amp;RIGHT('EASI AFR Detail'!$J$5:$J$699,8)="ins0300)Colo7 (3227)",'EASI AFR Detail'!$O$5:$O$699))</f>
        <v>0</v>
      </c>
      <c r="F77" s="49" cm="1">
        <f t="array" ref="F77">+SUM(IF(LEFT('EASI AFR Detail'!$F$5:$F$699,3)&amp;RIGHT('EASI AFR Detail'!$F$5:$F$699,5)&amp;LEFT('EASI AFR Detail'!$G$5:$G$699,4)&amp;RIGHT('EASI AFR Detail'!$J$5:$J$699,8)="ins0300)Conn7 (3227)",'EASI AFR Detail'!$O$5:$O$699))</f>
        <v>0</v>
      </c>
      <c r="G77" s="49" cm="1">
        <f t="array" ref="G77">+SUM(IF(LEFT('EASI AFR Detail'!$F$5:$F$699,3)&amp;RIGHT('EASI AFR Detail'!$F$5:$F$699,5)&amp;LEFT('EASI AFR Detail'!$G$5:$G$699,12)&amp;RIGHT('EASI AFR Detail'!$J$5:$J$699,8)="ins0300)Diagnostic a7 (3227)",'EASI AFR Detail'!$O$5:$O$699))</f>
        <v>0</v>
      </c>
      <c r="H77" s="49" cm="1">
        <f t="array" ref="H77">+SUM(IF(LEFT('EASI AFR Detail'!$F$5:$F$699,3)&amp;RIGHT('EASI AFR Detail'!$F$5:$F$699,5)&amp;LEFT('EASI AFR Detail'!$G$5:$G$699,10)&amp;RIGHT('EASI AFR Detail'!$J$5:$J$699,8)="ins0300)District D7 (3227)",'EASI AFR Detail'!$O$5:$O$699))</f>
        <v>0</v>
      </c>
      <c r="I77" s="49" cm="1">
        <f t="array" ref="I77">+SUM(IF(LEFT('EASI AFR Detail'!$F$5:$F$699,3)&amp;RIGHT('EASI AFR Detail'!$F$5:$F$699,5)&amp;LEFT('EASI AFR Detail'!$G$5:$G$699,10)&amp;RIGHT('EASI AFR Detail'!$J$5:$J$699,8)="ins0300)District S7 (3227)",'EASI AFR Detail'!$O$5:$O$699))</f>
        <v>0</v>
      </c>
      <c r="J77" s="49" cm="1">
        <f t="array" ref="J77">+SUM(IF(LEFT('EASI AFR Detail'!$F$5:$F$699,3)&amp;RIGHT('EASI AFR Detail'!$F$5:$F$699,5)&amp;LEFT('EASI AFR Detail'!$G$5:$G$699,4)&amp;RIGHT('EASI AFR Detail'!$J$5:$J$699,8)="ins0300)Expl7 (3227)",'EASI AFR Detail'!$O$5:$O$699))</f>
        <v>0</v>
      </c>
      <c r="K77" s="49" cm="1">
        <f t="array" ref="K77">+SUM(IF(LEFT('EASI AFR Detail'!$F$5:$F$699,3)&amp;RIGHT('EASI AFR Detail'!$F$5:$F$699,5)&amp;LEFT('EASI AFR Detail'!$G$5:$G$699,4)&amp;RIGHT('EASI AFR Detail'!$J$5:$J$699,8)="ins0300)Faci7 (3227)",'EASI AFR Detail'!$O$5:$O$699))</f>
        <v>0</v>
      </c>
      <c r="L77" s="49" cm="1">
        <f t="array" ref="L77">+SUM(IF(LEFT('EASI AFR Detail'!$F$5:$F$699,3)&amp;RIGHT('EASI AFR Detail'!$F$5:$F$699,5)&amp;LEFT('EASI AFR Detail'!$G$5:$G$699,4)&amp;RIGHT('EASI AFR Detail'!$J$5:$J$699,8)="ins0300)MTSS7 (3227)",'EASI AFR Detail'!$O$5:$O$699))</f>
        <v>0</v>
      </c>
      <c r="M77" s="49" cm="1">
        <f t="array" ref="M77">+SUM(IF(LEFT('EASI AFR Detail'!$F$5:$F$699,3)&amp;RIGHT('EASI AFR Detail'!$F$5:$F$699,5)&amp;LEFT('EASI AFR Detail'!$G$5:$G$699,4)&amp;RIGHT('EASI AFR Detail'!$J$5:$J$699,8)="ins0300)Rigo7 (3227)",'EASI AFR Detail'!$O$5:$O$699))</f>
        <v>0</v>
      </c>
      <c r="N77" s="49" cm="1">
        <f t="array" ref="N77">+SUM(IF(LEFT('EASI AFR Detail'!$F$5:$F$699,3)&amp;RIGHT('EASI AFR Detail'!$F$5:$F$699,5)&amp;LEFT('EASI AFR Detail'!$G$5:$G$699,9)&amp;RIGHT('EASI AFR Detail'!$J$5:$J$699,8)="ins0300)School Tr7 (3227)",'EASI AFR Detail'!$O$5:$O$699))</f>
        <v>0</v>
      </c>
      <c r="O77" s="49" cm="1">
        <f t="array" ref="O77">+SUM(IF(LEFT('EASI AFR Detail'!$F$5:$F$699,3)&amp;RIGHT('EASI AFR Detail'!$F$5:$F$699,5)&amp;LEFT('EASI AFR Detail'!$G$5:$G$699,9)&amp;RIGHT('EASI AFR Detail'!$J$5:$J$699,8)="ins0300)School Tu7 (3227)",'EASI AFR Detail'!$O$5:$O$699))</f>
        <v>0</v>
      </c>
      <c r="P77" s="53">
        <f t="shared" si="15"/>
        <v>0</v>
      </c>
    </row>
    <row r="78" spans="1:16" x14ac:dyDescent="0.3">
      <c r="A78" s="188"/>
      <c r="B78" s="51">
        <v>4</v>
      </c>
      <c r="C78" s="52" t="s">
        <v>6548</v>
      </c>
      <c r="D78" s="49" cm="1">
        <f t="array" ref="D78">+SUM(IF(LEFT('EASI AFR Detail'!$F$5:$F$699,3)&amp;RIGHT('EASI AFR Detail'!$F$5:$F$699,5)&amp;LEFT('EASI AFR Detail'!$G$5:$G$699,4)&amp;RIGHT('EASI AFR Detail'!$J$5:$J$699,8)="ins0500)Acco7 (3227)",'EASI AFR Detail'!$O$5:$O$699))</f>
        <v>0</v>
      </c>
      <c r="E78" s="49" cm="1">
        <f t="array" ref="E78">+SUM(IF(LEFT('EASI AFR Detail'!$F$5:$F$699,3)&amp;RIGHT('EASI AFR Detail'!$F$5:$F$699,5)&amp;LEFT('EASI AFR Detail'!$G$5:$G$699,4)&amp;RIGHT('EASI AFR Detail'!$J$5:$J$699,8)="ins0500)Colo7 (3227)",'EASI AFR Detail'!$O$5:$O$699))</f>
        <v>0</v>
      </c>
      <c r="F78" s="49" cm="1">
        <f t="array" ref="F78">+SUM(IF(LEFT('EASI AFR Detail'!$F$5:$F$699,3)&amp;RIGHT('EASI AFR Detail'!$F$5:$F$699,5)&amp;LEFT('EASI AFR Detail'!$G$5:$G$699,4)&amp;RIGHT('EASI AFR Detail'!$J$5:$J$699,8)="ins0500)Conn7 (3227)",'EASI AFR Detail'!$O$5:$O$699))</f>
        <v>0</v>
      </c>
      <c r="G78" s="49" cm="1">
        <f t="array" ref="G78">+SUM(IF(LEFT('EASI AFR Detail'!$F$5:$F$699,3)&amp;RIGHT('EASI AFR Detail'!$F$5:$F$699,5)&amp;LEFT('EASI AFR Detail'!$G$5:$G$699,12)&amp;RIGHT('EASI AFR Detail'!$J$5:$J$699,8)="ins0500)Diagnostic a7 (3227)",'EASI AFR Detail'!$O$5:$O$699))</f>
        <v>0</v>
      </c>
      <c r="H78" s="49" cm="1">
        <f t="array" ref="H78">+SUM(IF(LEFT('EASI AFR Detail'!$F$5:$F$699,3)&amp;RIGHT('EASI AFR Detail'!$F$5:$F$699,5)&amp;LEFT('EASI AFR Detail'!$G$5:$G$699,10)&amp;RIGHT('EASI AFR Detail'!$J$5:$J$699,8)="ins0500)District D7 (3227)",'EASI AFR Detail'!$O$5:$O$699))</f>
        <v>0</v>
      </c>
      <c r="I78" s="49" cm="1">
        <f t="array" ref="I78">+SUM(IF(LEFT('EASI AFR Detail'!$F$5:$F$699,3)&amp;RIGHT('EASI AFR Detail'!$F$5:$F$699,5)&amp;LEFT('EASI AFR Detail'!$G$5:$G$699,10)&amp;RIGHT('EASI AFR Detail'!$J$5:$J$699,8)="ins0500)District S7 (3227)",'EASI AFR Detail'!$O$5:$O$699))</f>
        <v>0</v>
      </c>
      <c r="J78" s="49" cm="1">
        <f t="array" ref="J78">+SUM(IF(LEFT('EASI AFR Detail'!$F$5:$F$699,3)&amp;RIGHT('EASI AFR Detail'!$F$5:$F$699,5)&amp;LEFT('EASI AFR Detail'!$G$5:$G$699,4)&amp;RIGHT('EASI AFR Detail'!$J$5:$J$699,8)="ins0500)Expl7 (3227)",'EASI AFR Detail'!$O$5:$O$699))</f>
        <v>0</v>
      </c>
      <c r="K78" s="49" cm="1">
        <f t="array" ref="K78">+SUM(IF(LEFT('EASI AFR Detail'!$F$5:$F$699,3)&amp;RIGHT('EASI AFR Detail'!$F$5:$F$699,5)&amp;LEFT('EASI AFR Detail'!$G$5:$G$699,4)&amp;RIGHT('EASI AFR Detail'!$J$5:$J$699,8)="ins0500)Faci7 (3227)",'EASI AFR Detail'!$O$5:$O$699))</f>
        <v>0</v>
      </c>
      <c r="L78" s="49" cm="1">
        <f t="array" ref="L78">+SUM(IF(LEFT('EASI AFR Detail'!$F$5:$F$699,3)&amp;RIGHT('EASI AFR Detail'!$F$5:$F$699,5)&amp;LEFT('EASI AFR Detail'!$G$5:$G$699,4)&amp;RIGHT('EASI AFR Detail'!$J$5:$J$699,8)="ins0500)MTSS7 (3227)",'EASI AFR Detail'!$O$5:$O$699))</f>
        <v>0</v>
      </c>
      <c r="M78" s="49" cm="1">
        <f t="array" ref="M78">+SUM(IF(LEFT('EASI AFR Detail'!$F$5:$F$699,3)&amp;RIGHT('EASI AFR Detail'!$F$5:$F$699,5)&amp;LEFT('EASI AFR Detail'!$G$5:$G$699,4)&amp;RIGHT('EASI AFR Detail'!$J$5:$J$699,8)="ins0500)Rigo7 (3227)",'EASI AFR Detail'!$O$5:$O$699))</f>
        <v>0</v>
      </c>
      <c r="N78" s="49" cm="1">
        <f t="array" ref="N78">+SUM(IF(LEFT('EASI AFR Detail'!$F$5:$F$699,3)&amp;RIGHT('EASI AFR Detail'!$F$5:$F$699,5)&amp;LEFT('EASI AFR Detail'!$G$5:$G$699,9)&amp;RIGHT('EASI AFR Detail'!$J$5:$J$699,8)="ins0500)School Tr7 (3227)",'EASI AFR Detail'!$O$5:$O$699))</f>
        <v>0</v>
      </c>
      <c r="O78" s="49" cm="1">
        <f t="array" ref="O78">+SUM(IF(LEFT('EASI AFR Detail'!$F$5:$F$699,3)&amp;RIGHT('EASI AFR Detail'!$F$5:$F$699,5)&amp;LEFT('EASI AFR Detail'!$G$5:$G$699,9)&amp;RIGHT('EASI AFR Detail'!$J$5:$J$699,8)="ins0500)School Tu7 (3227)",'EASI AFR Detail'!$O$5:$O$699))</f>
        <v>0</v>
      </c>
      <c r="P78" s="53">
        <f t="shared" si="15"/>
        <v>0</v>
      </c>
    </row>
    <row r="79" spans="1:16" x14ac:dyDescent="0.3">
      <c r="A79" s="188"/>
      <c r="B79" s="51">
        <v>5</v>
      </c>
      <c r="C79" s="52" t="s">
        <v>6549</v>
      </c>
      <c r="D79" s="49" cm="1">
        <f t="array" ref="D79">+SUM(IF(LEFT('EASI AFR Detail'!$F$5:$F$699,3)&amp;RIGHT('EASI AFR Detail'!$F$5:$F$699,5)&amp;LEFT('EASI AFR Detail'!$G$5:$G$699,4)&amp;RIGHT('EASI AFR Detail'!$J$5:$J$699,8)="ins0580)Acco7 (3227)",'EASI AFR Detail'!$O$5:$O$699))</f>
        <v>0</v>
      </c>
      <c r="E79" s="49" cm="1">
        <f t="array" ref="E79">+SUM(IF(LEFT('EASI AFR Detail'!$F$5:$F$699,3)&amp;RIGHT('EASI AFR Detail'!$F$5:$F$699,5)&amp;LEFT('EASI AFR Detail'!$G$5:$G$699,4)&amp;RIGHT('EASI AFR Detail'!$J$5:$J$699,8)="ins0580)Colo7 (3227)",'EASI AFR Detail'!$O$5:$O$699))</f>
        <v>0</v>
      </c>
      <c r="F79" s="49" cm="1">
        <f t="array" ref="F79">+SUM(IF(LEFT('EASI AFR Detail'!$F$5:$F$699,3)&amp;RIGHT('EASI AFR Detail'!$F$5:$F$699,5)&amp;LEFT('EASI AFR Detail'!$G$5:$G$699,4)&amp;RIGHT('EASI AFR Detail'!$J$5:$J$699,8)="ins0580)Conn7 (3227)",'EASI AFR Detail'!$O$5:$O$699))</f>
        <v>0</v>
      </c>
      <c r="G79" s="49" cm="1">
        <f t="array" ref="G79">+SUM(IF(LEFT('EASI AFR Detail'!$F$5:$F$699,3)&amp;RIGHT('EASI AFR Detail'!$F$5:$F$699,5)&amp;LEFT('EASI AFR Detail'!$G$5:$G$699,12)&amp;RIGHT('EASI AFR Detail'!$J$5:$J$699,8)="ins0580)Diagnostic a7 (3227)",'EASI AFR Detail'!$O$5:$O$699))</f>
        <v>0</v>
      </c>
      <c r="H79" s="49" cm="1">
        <f t="array" ref="H79">+SUM(IF(LEFT('EASI AFR Detail'!$F$5:$F$699,3)&amp;RIGHT('EASI AFR Detail'!$F$5:$F$699,5)&amp;LEFT('EASI AFR Detail'!$G$5:$G$699,10)&amp;RIGHT('EASI AFR Detail'!$J$5:$J$699,8)="ins0580)District D7 (3227)",'EASI AFR Detail'!$O$5:$O$699))</f>
        <v>0</v>
      </c>
      <c r="I79" s="49" cm="1">
        <f t="array" ref="I79">+SUM(IF(LEFT('EASI AFR Detail'!$F$5:$F$699,3)&amp;RIGHT('EASI AFR Detail'!$F$5:$F$699,5)&amp;LEFT('EASI AFR Detail'!$G$5:$G$699,10)&amp;RIGHT('EASI AFR Detail'!$J$5:$J$699,8)="ins0580)District S7 (3227)",'EASI AFR Detail'!$O$5:$O$699))</f>
        <v>0</v>
      </c>
      <c r="J79" s="49" cm="1">
        <f t="array" ref="J79">+SUM(IF(LEFT('EASI AFR Detail'!$F$5:$F$699,3)&amp;RIGHT('EASI AFR Detail'!$F$5:$F$699,5)&amp;LEFT('EASI AFR Detail'!$G$5:$G$699,4)&amp;RIGHT('EASI AFR Detail'!$J$5:$J$699,8)="ins0580)Expl7 (3227)",'EASI AFR Detail'!$O$5:$O$699))</f>
        <v>0</v>
      </c>
      <c r="K79" s="49" cm="1">
        <f t="array" ref="K79">+SUM(IF(LEFT('EASI AFR Detail'!$F$5:$F$699,3)&amp;RIGHT('EASI AFR Detail'!$F$5:$F$699,5)&amp;LEFT('EASI AFR Detail'!$G$5:$G$699,4)&amp;RIGHT('EASI AFR Detail'!$J$5:$J$699,8)="ins0580)Faci7 (3227)",'EASI AFR Detail'!$O$5:$O$699))</f>
        <v>0</v>
      </c>
      <c r="L79" s="49" cm="1">
        <f t="array" ref="L79">+SUM(IF(LEFT('EASI AFR Detail'!$F$5:$F$699,3)&amp;RIGHT('EASI AFR Detail'!$F$5:$F$699,5)&amp;LEFT('EASI AFR Detail'!$G$5:$G$699,4)&amp;RIGHT('EASI AFR Detail'!$J$5:$J$699,8)="ins0580)MTSS7 (3227)",'EASI AFR Detail'!$O$5:$O$699))</f>
        <v>0</v>
      </c>
      <c r="M79" s="49" cm="1">
        <f t="array" ref="M79">+SUM(IF(LEFT('EASI AFR Detail'!$F$5:$F$699,3)&amp;RIGHT('EASI AFR Detail'!$F$5:$F$699,5)&amp;LEFT('EASI AFR Detail'!$G$5:$G$699,4)&amp;RIGHT('EASI AFR Detail'!$J$5:$J$699,8)="ins0580)Rigo7 (3227)",'EASI AFR Detail'!$O$5:$O$699))</f>
        <v>0</v>
      </c>
      <c r="N79" s="49" cm="1">
        <f t="array" ref="N79">+SUM(IF(LEFT('EASI AFR Detail'!$F$5:$F$699,3)&amp;RIGHT('EASI AFR Detail'!$F$5:$F$699,5)&amp;LEFT('EASI AFR Detail'!$G$5:$G$699,9)&amp;RIGHT('EASI AFR Detail'!$J$5:$J$699,8)="ins0580)School Tr7 (3227)",'EASI AFR Detail'!$O$5:$O$699))</f>
        <v>0</v>
      </c>
      <c r="O79" s="49" cm="1">
        <f t="array" ref="O79">+SUM(IF(LEFT('EASI AFR Detail'!$F$5:$F$699,3)&amp;RIGHT('EASI AFR Detail'!$F$5:$F$699,5)&amp;LEFT('EASI AFR Detail'!$G$5:$G$699,9)&amp;RIGHT('EASI AFR Detail'!$J$5:$J$699,8)="ins0580)School Tu7 (3227)",'EASI AFR Detail'!$O$5:$O$699))</f>
        <v>0</v>
      </c>
      <c r="P79" s="53">
        <f t="shared" si="15"/>
        <v>0</v>
      </c>
    </row>
    <row r="80" spans="1:16" x14ac:dyDescent="0.3">
      <c r="A80" s="188"/>
      <c r="B80" s="54">
        <v>6</v>
      </c>
      <c r="C80" s="55" t="s">
        <v>6550</v>
      </c>
      <c r="D80" s="49" cm="1">
        <f t="array" ref="D80">+SUM(IF(LEFT('EASI AFR Detail'!$F$5:$F$699,3)&amp;RIGHT('EASI AFR Detail'!$F$5:$F$699,5)&amp;LEFT('EASI AFR Detail'!$G$5:$G$699,4)&amp;RIGHT('EASI AFR Detail'!$J$5:$J$699,8)="ins0600)Acco7 (3227)",'EASI AFR Detail'!$O$5:$O$699))</f>
        <v>0</v>
      </c>
      <c r="E80" s="49" cm="1">
        <f t="array" ref="E80">+SUM(IF(LEFT('EASI AFR Detail'!$F$5:$F$699,3)&amp;RIGHT('EASI AFR Detail'!$F$5:$F$699,5)&amp;LEFT('EASI AFR Detail'!$G$5:$G$699,4)&amp;RIGHT('EASI AFR Detail'!$J$5:$J$699,8)="ins0600)Colo7 (3227)",'EASI AFR Detail'!$O$5:$O$699))</f>
        <v>0</v>
      </c>
      <c r="F80" s="49" cm="1">
        <f t="array" ref="F80">+SUM(IF(LEFT('EASI AFR Detail'!$F$5:$F$699,3)&amp;RIGHT('EASI AFR Detail'!$F$5:$F$699,5)&amp;LEFT('EASI AFR Detail'!$G$5:$G$699,4)&amp;RIGHT('EASI AFR Detail'!$J$5:$J$699,8)="ins0600)Conn7 (3227)",'EASI AFR Detail'!$O$5:$O$699))</f>
        <v>0</v>
      </c>
      <c r="G80" s="49" cm="1">
        <f t="array" ref="G80">+SUM(IF(LEFT('EASI AFR Detail'!$F$5:$F$699,3)&amp;RIGHT('EASI AFR Detail'!$F$5:$F$699,5)&amp;LEFT('EASI AFR Detail'!$G$5:$G$699,12)&amp;RIGHT('EASI AFR Detail'!$J$5:$J$699,8)="ins0600)Diagnostic a7 (3227)",'EASI AFR Detail'!$O$5:$O$699))</f>
        <v>0</v>
      </c>
      <c r="H80" s="49" cm="1">
        <f t="array" ref="H80">+SUM(IF(LEFT('EASI AFR Detail'!$F$5:$F$699,3)&amp;RIGHT('EASI AFR Detail'!$F$5:$F$699,5)&amp;LEFT('EASI AFR Detail'!$G$5:$G$699,10)&amp;RIGHT('EASI AFR Detail'!$J$5:$J$699,8)="ins0600)District D7 (3227)",'EASI AFR Detail'!$O$5:$O$699))</f>
        <v>0</v>
      </c>
      <c r="I80" s="49" cm="1">
        <f t="array" ref="I80">+SUM(IF(LEFT('EASI AFR Detail'!$F$5:$F$699,3)&amp;RIGHT('EASI AFR Detail'!$F$5:$F$699,5)&amp;LEFT('EASI AFR Detail'!$G$5:$G$699,10)&amp;RIGHT('EASI AFR Detail'!$J$5:$J$699,8)="ins0600)District S7 (3227)",'EASI AFR Detail'!$O$5:$O$699))</f>
        <v>0</v>
      </c>
      <c r="J80" s="49" cm="1">
        <f t="array" ref="J80">+SUM(IF(LEFT('EASI AFR Detail'!$F$5:$F$699,3)&amp;RIGHT('EASI AFR Detail'!$F$5:$F$699,5)&amp;LEFT('EASI AFR Detail'!$G$5:$G$699,4)&amp;RIGHT('EASI AFR Detail'!$J$5:$J$699,8)="ins0600)Expl7 (3227)",'EASI AFR Detail'!$O$5:$O$699))</f>
        <v>0</v>
      </c>
      <c r="K80" s="49" cm="1">
        <f t="array" ref="K80">+SUM(IF(LEFT('EASI AFR Detail'!$F$5:$F$699,3)&amp;RIGHT('EASI AFR Detail'!$F$5:$F$699,5)&amp;LEFT('EASI AFR Detail'!$G$5:$G$699,4)&amp;RIGHT('EASI AFR Detail'!$J$5:$J$699,8)="ins0600)Faci7 (3227)",'EASI AFR Detail'!$O$5:$O$699))</f>
        <v>0</v>
      </c>
      <c r="L80" s="49" cm="1">
        <f t="array" ref="L80">+SUM(IF(LEFT('EASI AFR Detail'!$F$5:$F$699,3)&amp;RIGHT('EASI AFR Detail'!$F$5:$F$699,5)&amp;LEFT('EASI AFR Detail'!$G$5:$G$699,4)&amp;RIGHT('EASI AFR Detail'!$J$5:$J$699,8)="ins0600)MTSS7 (3227)",'EASI AFR Detail'!$O$5:$O$699))</f>
        <v>0</v>
      </c>
      <c r="M80" s="49" cm="1">
        <f t="array" ref="M80">+SUM(IF(LEFT('EASI AFR Detail'!$F$5:$F$699,3)&amp;RIGHT('EASI AFR Detail'!$F$5:$F$699,5)&amp;LEFT('EASI AFR Detail'!$G$5:$G$699,4)&amp;RIGHT('EASI AFR Detail'!$J$5:$J$699,8)="ins0600)Rigo7 (3227)",'EASI AFR Detail'!$O$5:$O$699))</f>
        <v>0</v>
      </c>
      <c r="N80" s="49" cm="1">
        <f t="array" ref="N80">+SUM(IF(LEFT('EASI AFR Detail'!$F$5:$F$699,3)&amp;RIGHT('EASI AFR Detail'!$F$5:$F$699,5)&amp;LEFT('EASI AFR Detail'!$G$5:$G$699,9)&amp;RIGHT('EASI AFR Detail'!$J$5:$J$699,8)="ins0600)School Tr7 (3227)",'EASI AFR Detail'!$O$5:$O$699))</f>
        <v>0</v>
      </c>
      <c r="O80" s="49" cm="1">
        <f t="array" ref="O80">+SUM(IF(LEFT('EASI AFR Detail'!$F$5:$F$699,3)&amp;RIGHT('EASI AFR Detail'!$F$5:$F$699,5)&amp;LEFT('EASI AFR Detail'!$G$5:$G$699,9)&amp;RIGHT('EASI AFR Detail'!$J$5:$J$699,8)="ins0600)School Tu7 (3227)",'EASI AFR Detail'!$O$5:$O$699))</f>
        <v>0</v>
      </c>
      <c r="P80" s="53">
        <f t="shared" si="15"/>
        <v>0</v>
      </c>
    </row>
    <row r="81" spans="1:16" ht="15" thickBot="1" x14ac:dyDescent="0.35">
      <c r="A81" s="188"/>
      <c r="B81" s="51">
        <v>7</v>
      </c>
      <c r="C81" s="56" t="s">
        <v>6551</v>
      </c>
      <c r="D81" s="49">
        <f>SUM(D75:D80)</f>
        <v>0</v>
      </c>
      <c r="E81" s="57">
        <f t="shared" ref="E81:P81" si="16">SUM(E75:E80)</f>
        <v>0</v>
      </c>
      <c r="F81" s="57">
        <f t="shared" si="16"/>
        <v>0</v>
      </c>
      <c r="G81" s="57">
        <f t="shared" si="16"/>
        <v>0</v>
      </c>
      <c r="H81" s="57">
        <f t="shared" si="16"/>
        <v>0</v>
      </c>
      <c r="I81" s="57">
        <f t="shared" si="16"/>
        <v>0</v>
      </c>
      <c r="J81" s="57">
        <f t="shared" si="16"/>
        <v>0</v>
      </c>
      <c r="K81" s="57">
        <f t="shared" si="16"/>
        <v>0</v>
      </c>
      <c r="L81" s="57">
        <f t="shared" si="16"/>
        <v>0</v>
      </c>
      <c r="M81" s="57">
        <f t="shared" si="16"/>
        <v>0</v>
      </c>
      <c r="N81" s="57">
        <f t="shared" si="16"/>
        <v>0</v>
      </c>
      <c r="O81" s="57">
        <f t="shared" si="16"/>
        <v>0</v>
      </c>
      <c r="P81" s="53">
        <f t="shared" si="16"/>
        <v>0</v>
      </c>
    </row>
    <row r="82" spans="1:16" ht="15" thickBot="1" x14ac:dyDescent="0.35">
      <c r="A82" s="188"/>
      <c r="C82" s="58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60"/>
    </row>
    <row r="83" spans="1:16" ht="15" thickBot="1" x14ac:dyDescent="0.35">
      <c r="A83" s="188"/>
      <c r="B83" s="194" t="s">
        <v>6552</v>
      </c>
      <c r="C83" s="196"/>
      <c r="D83" s="45" t="s">
        <v>6544</v>
      </c>
      <c r="E83" s="45" t="s">
        <v>6544</v>
      </c>
      <c r="F83" s="45" t="s">
        <v>6544</v>
      </c>
      <c r="G83" s="45" t="s">
        <v>6544</v>
      </c>
      <c r="H83" s="45" t="s">
        <v>6544</v>
      </c>
      <c r="I83" s="45" t="s">
        <v>6544</v>
      </c>
      <c r="J83" s="45" t="s">
        <v>6544</v>
      </c>
      <c r="K83" s="45" t="s">
        <v>6544</v>
      </c>
      <c r="L83" s="45" t="s">
        <v>6544</v>
      </c>
      <c r="M83" s="45" t="s">
        <v>6544</v>
      </c>
      <c r="N83" s="45" t="s">
        <v>6544</v>
      </c>
      <c r="O83" s="45" t="s">
        <v>6544</v>
      </c>
      <c r="P83" s="45" t="s">
        <v>6544</v>
      </c>
    </row>
    <row r="84" spans="1:16" x14ac:dyDescent="0.3">
      <c r="A84" s="188"/>
      <c r="B84" s="61">
        <v>8</v>
      </c>
      <c r="C84" s="62" t="s">
        <v>6545</v>
      </c>
      <c r="D84" s="49" cm="1">
        <f t="array" ref="D84">+SUM(IF(LEFT('EASI AFR Detail'!$F$5:$F$699,3)&amp;RIGHT('EASI AFR Detail'!$F$5:$F$699,5)&amp;LEFT('EASI AFR Detail'!$G$5:$G$699,4)&amp;RIGHT('EASI AFR Detail'!$J$5:$J$699,8)="sup0100)Acco7 (3227)",'EASI AFR Detail'!$O$5:$O$699))</f>
        <v>0</v>
      </c>
      <c r="E84" s="49" cm="1">
        <f t="array" ref="E84">+SUM(IF(LEFT('EASI AFR Detail'!$F$5:$F$699,3)&amp;RIGHT('EASI AFR Detail'!$F$5:$F$699,5)&amp;LEFT('EASI AFR Detail'!$G$5:$G$699,4)&amp;RIGHT('EASI AFR Detail'!$J$5:$J$699,8)="sup0100)Colo7 (3227)",'EASI AFR Detail'!$O$5:$O$699))</f>
        <v>0</v>
      </c>
      <c r="F84" s="49" cm="1">
        <f t="array" ref="F84">+SUM(IF(LEFT('EASI AFR Detail'!$F$5:$F$699,3)&amp;RIGHT('EASI AFR Detail'!$F$5:$F$699,5)&amp;LEFT('EASI AFR Detail'!$G$5:$G$699,4)&amp;RIGHT('EASI AFR Detail'!$J$5:$J$699,8)="sup0100)Conn7 (3227)",'EASI AFR Detail'!$O$5:$O$699))</f>
        <v>0</v>
      </c>
      <c r="G84" s="49" cm="1">
        <f t="array" ref="G84">+SUM(IF(LEFT('EASI AFR Detail'!$F$5:$F$699,3)&amp;RIGHT('EASI AFR Detail'!$F$5:$F$699,5)&amp;LEFT('EASI AFR Detail'!$G$5:$G$699,12)&amp;RIGHT('EASI AFR Detail'!$J$5:$J$699,8)="sup0100)Diagnostic a7 (3227)",'EASI AFR Detail'!$O$5:$O$699))</f>
        <v>0</v>
      </c>
      <c r="H84" s="49" cm="1">
        <f t="array" ref="H84">+SUM(IF(LEFT('EASI AFR Detail'!$F$5:$F$699,3)&amp;RIGHT('EASI AFR Detail'!$F$5:$F$699,5)&amp;LEFT('EASI AFR Detail'!$G$5:$G$699,10)&amp;RIGHT('EASI AFR Detail'!$J$5:$J$699,8)="sup0100)District D7 (3227)",'EASI AFR Detail'!$O$5:$O$699))</f>
        <v>0</v>
      </c>
      <c r="I84" s="49" cm="1">
        <f t="array" ref="I84">+SUM(IF(LEFT('EASI AFR Detail'!$F$5:$F$699,3)&amp;RIGHT('EASI AFR Detail'!$F$5:$F$699,5)&amp;LEFT('EASI AFR Detail'!$G$5:$G$699,10)&amp;RIGHT('EASI AFR Detail'!$J$5:$J$699,8)="sup0100)District S7 (3227)",'EASI AFR Detail'!$O$5:$O$699))</f>
        <v>0</v>
      </c>
      <c r="J84" s="49" cm="1">
        <f t="array" ref="J84">+SUM(IF(LEFT('EASI AFR Detail'!$F$5:$F$699,3)&amp;RIGHT('EASI AFR Detail'!$F$5:$F$699,5)&amp;LEFT('EASI AFR Detail'!$G$5:$G$699,4)&amp;RIGHT('EASI AFR Detail'!$J$5:$J$699,8)="sup0100)Expl7 (3227)",'EASI AFR Detail'!$O$5:$O$699))</f>
        <v>0</v>
      </c>
      <c r="K84" s="49" cm="1">
        <f t="array" ref="K84">+SUM(IF(LEFT('EASI AFR Detail'!$F$5:$F$699,3)&amp;RIGHT('EASI AFR Detail'!$F$5:$F$699,5)&amp;LEFT('EASI AFR Detail'!$G$5:$G$699,4)&amp;RIGHT('EASI AFR Detail'!$J$5:$J$699,8)="sup0100)Faci7 (3227)",'EASI AFR Detail'!$O$5:$O$699))</f>
        <v>0</v>
      </c>
      <c r="L84" s="49" cm="1">
        <f t="array" ref="L84">+SUM(IF(LEFT('EASI AFR Detail'!$F$5:$F$699,3)&amp;RIGHT('EASI AFR Detail'!$F$5:$F$699,5)&amp;LEFT('EASI AFR Detail'!$G$5:$G$699,4)&amp;RIGHT('EASI AFR Detail'!$J$5:$J$699,8)="sup0100)MTSS7 (3227)",'EASI AFR Detail'!$O$5:$O$699))</f>
        <v>0</v>
      </c>
      <c r="M84" s="49" cm="1">
        <f t="array" ref="M84">+SUM(IF(LEFT('EASI AFR Detail'!$F$5:$F$699,3)&amp;RIGHT('EASI AFR Detail'!$F$5:$F$699,5)&amp;LEFT('EASI AFR Detail'!$G$5:$G$699,4)&amp;RIGHT('EASI AFR Detail'!$J$5:$J$699,8)="sup0100)Rigo7 (3227)",'EASI AFR Detail'!$O$5:$O$699))</f>
        <v>0</v>
      </c>
      <c r="N84" s="49" cm="1">
        <f t="array" ref="N84">+SUM(IF(LEFT('EASI AFR Detail'!$F$5:$F$699,3)&amp;RIGHT('EASI AFR Detail'!$F$5:$F$699,5)&amp;LEFT('EASI AFR Detail'!$G$5:$G$699,9)&amp;RIGHT('EASI AFR Detail'!$J$5:$J$699,8)="sup0100)School Tr7 (3227)",'EASI AFR Detail'!$O$5:$O$699))</f>
        <v>0</v>
      </c>
      <c r="O84" s="49" cm="1">
        <f t="array" ref="O84">+SUM(IF(LEFT('EASI AFR Detail'!$F$5:$F$699,3)&amp;RIGHT('EASI AFR Detail'!$F$5:$F$699,5)&amp;LEFT('EASI AFR Detail'!$G$5:$G$699,9)&amp;RIGHT('EASI AFR Detail'!$J$5:$J$699,8)="sup0100)School Tu7 (3227)",'EASI AFR Detail'!$O$5:$O$699))</f>
        <v>0</v>
      </c>
      <c r="P84" s="50">
        <f t="shared" ref="P84:P89" si="17">SUM(D84:O84)</f>
        <v>0</v>
      </c>
    </row>
    <row r="85" spans="1:16" x14ac:dyDescent="0.3">
      <c r="A85" s="188"/>
      <c r="B85" s="63">
        <v>9</v>
      </c>
      <c r="C85" s="64" t="s">
        <v>6546</v>
      </c>
      <c r="D85" s="49" cm="1">
        <f t="array" ref="D85">+SUM(IF(LEFT('EASI AFR Detail'!$F$5:$F$699,3)&amp;RIGHT('EASI AFR Detail'!$F$5:$F$699,5)&amp;LEFT('EASI AFR Detail'!$G$5:$G$699,4)&amp;RIGHT('EASI AFR Detail'!$J$5:$J$699,8)="sup0200)Acco7 (3227)",'EASI AFR Detail'!$O$5:$O$699))</f>
        <v>0</v>
      </c>
      <c r="E85" s="49" cm="1">
        <f t="array" ref="E85">+SUM(IF(LEFT('EASI AFR Detail'!$F$5:$F$699,3)&amp;RIGHT('EASI AFR Detail'!$F$5:$F$699,5)&amp;LEFT('EASI AFR Detail'!$G$5:$G$699,4)&amp;RIGHT('EASI AFR Detail'!$J$5:$J$699,8)="sup0200)Colo7 (3227)",'EASI AFR Detail'!$O$5:$O$699))</f>
        <v>0</v>
      </c>
      <c r="F85" s="49" cm="1">
        <f t="array" ref="F85">+SUM(IF(LEFT('EASI AFR Detail'!$F$5:$F$699,3)&amp;RIGHT('EASI AFR Detail'!$F$5:$F$699,5)&amp;LEFT('EASI AFR Detail'!$G$5:$G$699,4)&amp;RIGHT('EASI AFR Detail'!$J$5:$J$699,8)="sup0200)Conn7 (3227)",'EASI AFR Detail'!$O$5:$O$699))</f>
        <v>0</v>
      </c>
      <c r="G85" s="49" cm="1">
        <f t="array" ref="G85">+SUM(IF(LEFT('EASI AFR Detail'!$F$5:$F$699,3)&amp;RIGHT('EASI AFR Detail'!$F$5:$F$699,5)&amp;LEFT('EASI AFR Detail'!$G$5:$G$699,12)&amp;RIGHT('EASI AFR Detail'!$J$5:$J$699,8)="sup0200)Diagnostic a7 (3227)",'EASI AFR Detail'!$O$5:$O$699))</f>
        <v>0</v>
      </c>
      <c r="H85" s="49" cm="1">
        <f t="array" ref="H85">+SUM(IF(LEFT('EASI AFR Detail'!$F$5:$F$699,3)&amp;RIGHT('EASI AFR Detail'!$F$5:$F$699,5)&amp;LEFT('EASI AFR Detail'!$G$5:$G$699,10)&amp;RIGHT('EASI AFR Detail'!$J$5:$J$699,8)="sup0200)District D7 (3227)",'EASI AFR Detail'!$O$5:$O$699))</f>
        <v>0</v>
      </c>
      <c r="I85" s="49" cm="1">
        <f t="array" ref="I85">+SUM(IF(LEFT('EASI AFR Detail'!$F$5:$F$699,3)&amp;RIGHT('EASI AFR Detail'!$F$5:$F$699,5)&amp;LEFT('EASI AFR Detail'!$G$5:$G$699,10)&amp;RIGHT('EASI AFR Detail'!$J$5:$J$699,8)="sup0200)District S7 (3227)",'EASI AFR Detail'!$O$5:$O$699))</f>
        <v>0</v>
      </c>
      <c r="J85" s="49" cm="1">
        <f t="array" ref="J85">+SUM(IF(LEFT('EASI AFR Detail'!$F$5:$F$699,3)&amp;RIGHT('EASI AFR Detail'!$F$5:$F$699,5)&amp;LEFT('EASI AFR Detail'!$G$5:$G$699,4)&amp;RIGHT('EASI AFR Detail'!$J$5:$J$699,8)="sup0200)Expl7 (3227)",'EASI AFR Detail'!$O$5:$O$699))</f>
        <v>0</v>
      </c>
      <c r="K85" s="49" cm="1">
        <f t="array" ref="K85">+SUM(IF(LEFT('EASI AFR Detail'!$F$5:$F$699,3)&amp;RIGHT('EASI AFR Detail'!$F$5:$F$699,5)&amp;LEFT('EASI AFR Detail'!$G$5:$G$699,4)&amp;RIGHT('EASI AFR Detail'!$J$5:$J$699,8)="sup0200)Faci7 (3227)",'EASI AFR Detail'!$O$5:$O$699))</f>
        <v>0</v>
      </c>
      <c r="L85" s="49" cm="1">
        <f t="array" ref="L85">+SUM(IF(LEFT('EASI AFR Detail'!$F$5:$F$699,3)&amp;RIGHT('EASI AFR Detail'!$F$5:$F$699,5)&amp;LEFT('EASI AFR Detail'!$G$5:$G$699,4)&amp;RIGHT('EASI AFR Detail'!$J$5:$J$699,8)="sup0200)MTSS7 (3227)",'EASI AFR Detail'!$O$5:$O$699))</f>
        <v>0</v>
      </c>
      <c r="M85" s="49" cm="1">
        <f t="array" ref="M85">+SUM(IF(LEFT('EASI AFR Detail'!$F$5:$F$699,3)&amp;RIGHT('EASI AFR Detail'!$F$5:$F$699,5)&amp;LEFT('EASI AFR Detail'!$G$5:$G$699,4)&amp;RIGHT('EASI AFR Detail'!$J$5:$J$699,8)="sup0200)Rigo7 (3227)",'EASI AFR Detail'!$O$5:$O$699))</f>
        <v>0</v>
      </c>
      <c r="N85" s="49" cm="1">
        <f t="array" ref="N85">+SUM(IF(LEFT('EASI AFR Detail'!$F$5:$F$699,3)&amp;RIGHT('EASI AFR Detail'!$F$5:$F$699,5)&amp;LEFT('EASI AFR Detail'!$G$5:$G$699,9)&amp;RIGHT('EASI AFR Detail'!$J$5:$J$699,8)="sup0200)School Tr7 (3227)",'EASI AFR Detail'!$O$5:$O$699))</f>
        <v>0</v>
      </c>
      <c r="O85" s="49" cm="1">
        <f t="array" ref="O85">+SUM(IF(LEFT('EASI AFR Detail'!$F$5:$F$699,3)&amp;RIGHT('EASI AFR Detail'!$F$5:$F$699,5)&amp;LEFT('EASI AFR Detail'!$G$5:$G$699,9)&amp;RIGHT('EASI AFR Detail'!$J$5:$J$699,8)="sup0200)School Tu7 (3227)",'EASI AFR Detail'!$O$5:$O$699))</f>
        <v>0</v>
      </c>
      <c r="P85" s="53">
        <f t="shared" si="17"/>
        <v>0</v>
      </c>
    </row>
    <row r="86" spans="1:16" x14ac:dyDescent="0.3">
      <c r="A86" s="188"/>
      <c r="B86" s="63">
        <v>10</v>
      </c>
      <c r="C86" s="64" t="s">
        <v>6547</v>
      </c>
      <c r="D86" s="49" cm="1">
        <f t="array" ref="D86">+SUM(IF(LEFT('EASI AFR Detail'!$F$5:$F$699,3)&amp;RIGHT('EASI AFR Detail'!$F$5:$F$699,5)&amp;LEFT('EASI AFR Detail'!$G$5:$G$699,4)&amp;RIGHT('EASI AFR Detail'!$J$5:$J$699,8)="sup0300)Acco7 (3227)",'EASI AFR Detail'!$O$5:$O$699))</f>
        <v>0</v>
      </c>
      <c r="E86" s="49" cm="1">
        <f t="array" ref="E86">+SUM(IF(LEFT('EASI AFR Detail'!$F$5:$F$699,3)&amp;RIGHT('EASI AFR Detail'!$F$5:$F$699,5)&amp;LEFT('EASI AFR Detail'!$G$5:$G$699,4)&amp;RIGHT('EASI AFR Detail'!$J$5:$J$699,8)="sup0300)Colo7 (3227)",'EASI AFR Detail'!$O$5:$O$699))</f>
        <v>0</v>
      </c>
      <c r="F86" s="49" cm="1">
        <f t="array" ref="F86">+SUM(IF(LEFT('EASI AFR Detail'!$F$5:$F$699,3)&amp;RIGHT('EASI AFR Detail'!$F$5:$F$699,5)&amp;LEFT('EASI AFR Detail'!$G$5:$G$699,4)&amp;RIGHT('EASI AFR Detail'!$J$5:$J$699,8)="sup0300)Conn7 (3227)",'EASI AFR Detail'!$O$5:$O$699))</f>
        <v>0</v>
      </c>
      <c r="G86" s="49" cm="1">
        <f t="array" ref="G86">+SUM(IF(LEFT('EASI AFR Detail'!$F$5:$F$699,3)&amp;RIGHT('EASI AFR Detail'!$F$5:$F$699,5)&amp;LEFT('EASI AFR Detail'!$G$5:$G$699,12)&amp;RIGHT('EASI AFR Detail'!$J$5:$J$699,8)="sup0300)Diagnostic a7 (3227)",'EASI AFR Detail'!$O$5:$O$699))</f>
        <v>0</v>
      </c>
      <c r="H86" s="49" cm="1">
        <f t="array" ref="H86">+SUM(IF(LEFT('EASI AFR Detail'!$F$5:$F$699,3)&amp;RIGHT('EASI AFR Detail'!$F$5:$F$699,5)&amp;LEFT('EASI AFR Detail'!$G$5:$G$699,10)&amp;RIGHT('EASI AFR Detail'!$J$5:$J$699,8)="sup0300)District D7 (3227)",'EASI AFR Detail'!$O$5:$O$699))</f>
        <v>0</v>
      </c>
      <c r="I86" s="49" cm="1">
        <f t="array" ref="I86">+SUM(IF(LEFT('EASI AFR Detail'!$F$5:$F$699,3)&amp;RIGHT('EASI AFR Detail'!$F$5:$F$699,5)&amp;LEFT('EASI AFR Detail'!$G$5:$G$699,10)&amp;RIGHT('EASI AFR Detail'!$J$5:$J$699,8)="sup0300)District S7 (3227)",'EASI AFR Detail'!$O$5:$O$699))</f>
        <v>0</v>
      </c>
      <c r="J86" s="49" cm="1">
        <f t="array" ref="J86">+SUM(IF(LEFT('EASI AFR Detail'!$F$5:$F$699,3)&amp;RIGHT('EASI AFR Detail'!$F$5:$F$699,5)&amp;LEFT('EASI AFR Detail'!$G$5:$G$699,4)&amp;RIGHT('EASI AFR Detail'!$J$5:$J$699,8)="sup0300)Expl7 (3227)",'EASI AFR Detail'!$O$5:$O$699))</f>
        <v>0</v>
      </c>
      <c r="K86" s="49" cm="1">
        <f t="array" ref="K86">+SUM(IF(LEFT('EASI AFR Detail'!$F$5:$F$699,3)&amp;RIGHT('EASI AFR Detail'!$F$5:$F$699,5)&amp;LEFT('EASI AFR Detail'!$G$5:$G$699,4)&amp;RIGHT('EASI AFR Detail'!$J$5:$J$699,8)="sup0300)Faci7 (3227)",'EASI AFR Detail'!$O$5:$O$699))</f>
        <v>0</v>
      </c>
      <c r="L86" s="49" cm="1">
        <f t="array" ref="L86">+SUM(IF(LEFT('EASI AFR Detail'!$F$5:$F$699,3)&amp;RIGHT('EASI AFR Detail'!$F$5:$F$699,5)&amp;LEFT('EASI AFR Detail'!$G$5:$G$699,4)&amp;RIGHT('EASI AFR Detail'!$J$5:$J$699,8)="sup0300)MTSS7 (3227)",'EASI AFR Detail'!$O$5:$O$699))</f>
        <v>0</v>
      </c>
      <c r="M86" s="49" cm="1">
        <f t="array" ref="M86">+SUM(IF(LEFT('EASI AFR Detail'!$F$5:$F$699,3)&amp;RIGHT('EASI AFR Detail'!$F$5:$F$699,5)&amp;LEFT('EASI AFR Detail'!$G$5:$G$699,4)&amp;RIGHT('EASI AFR Detail'!$J$5:$J$699,8)="sup0300)Rigo7 (3227)",'EASI AFR Detail'!$O$5:$O$699))</f>
        <v>0</v>
      </c>
      <c r="N86" s="49" cm="1">
        <f t="array" ref="N86">+SUM(IF(LEFT('EASI AFR Detail'!$F$5:$F$699,3)&amp;RIGHT('EASI AFR Detail'!$F$5:$F$699,5)&amp;LEFT('EASI AFR Detail'!$G$5:$G$699,9)&amp;RIGHT('EASI AFR Detail'!$J$5:$J$699,8)="sup0300)School Tr7 (3227)",'EASI AFR Detail'!$O$5:$O$699))</f>
        <v>0</v>
      </c>
      <c r="O86" s="49" cm="1">
        <f t="array" ref="O86">+SUM(IF(LEFT('EASI AFR Detail'!$F$5:$F$699,3)&amp;RIGHT('EASI AFR Detail'!$F$5:$F$699,5)&amp;LEFT('EASI AFR Detail'!$G$5:$G$699,9)&amp;RIGHT('EASI AFR Detail'!$J$5:$J$699,8)="sup0300)School Tu7 (3227)",'EASI AFR Detail'!$O$5:$O$699))</f>
        <v>0</v>
      </c>
      <c r="P86" s="53">
        <f t="shared" si="17"/>
        <v>0</v>
      </c>
    </row>
    <row r="87" spans="1:16" x14ac:dyDescent="0.3">
      <c r="A87" s="188"/>
      <c r="B87" s="63">
        <v>11</v>
      </c>
      <c r="C87" s="64" t="s">
        <v>6548</v>
      </c>
      <c r="D87" s="49" cm="1">
        <f t="array" ref="D87">+SUM(IF(LEFT('EASI AFR Detail'!$F$5:$F$699,3)&amp;RIGHT('EASI AFR Detail'!$F$5:$F$699,5)&amp;LEFT('EASI AFR Detail'!$G$5:$G$699,4)&amp;RIGHT('EASI AFR Detail'!$J$5:$J$699,8)="sup0500)Acco7 (3227)",'EASI AFR Detail'!$O$5:$O$699))</f>
        <v>0</v>
      </c>
      <c r="E87" s="49" cm="1">
        <f t="array" ref="E87">+SUM(IF(LEFT('EASI AFR Detail'!$F$5:$F$699,3)&amp;RIGHT('EASI AFR Detail'!$F$5:$F$699,5)&amp;LEFT('EASI AFR Detail'!$G$5:$G$699,4)&amp;RIGHT('EASI AFR Detail'!$J$5:$J$699,8)="sup0500)Colo7 (3227)",'EASI AFR Detail'!$O$5:$O$699))</f>
        <v>0</v>
      </c>
      <c r="F87" s="49" cm="1">
        <f t="array" ref="F87">+SUM(IF(LEFT('EASI AFR Detail'!$F$5:$F$699,3)&amp;RIGHT('EASI AFR Detail'!$F$5:$F$699,5)&amp;LEFT('EASI AFR Detail'!$G$5:$G$699,4)&amp;RIGHT('EASI AFR Detail'!$J$5:$J$699,8)="sup0500)Conn7 (3227)",'EASI AFR Detail'!$O$5:$O$699))</f>
        <v>0</v>
      </c>
      <c r="G87" s="49" cm="1">
        <f t="array" ref="G87">+SUM(IF(LEFT('EASI AFR Detail'!$F$5:$F$699,3)&amp;RIGHT('EASI AFR Detail'!$F$5:$F$699,5)&amp;LEFT('EASI AFR Detail'!$G$5:$G$699,12)&amp;RIGHT('EASI AFR Detail'!$J$5:$J$699,8)="sup0500)Diagnostic a7 (3227)",'EASI AFR Detail'!$O$5:$O$699))</f>
        <v>0</v>
      </c>
      <c r="H87" s="49" cm="1">
        <f t="array" ref="H87">+SUM(IF(LEFT('EASI AFR Detail'!$F$5:$F$699,3)&amp;RIGHT('EASI AFR Detail'!$F$5:$F$699,5)&amp;LEFT('EASI AFR Detail'!$G$5:$G$699,10)&amp;RIGHT('EASI AFR Detail'!$J$5:$J$699,8)="sup0500)District D7 (3227)",'EASI AFR Detail'!$O$5:$O$699))</f>
        <v>0</v>
      </c>
      <c r="I87" s="49" cm="1">
        <f t="array" ref="I87">+SUM(IF(LEFT('EASI AFR Detail'!$F$5:$F$699,3)&amp;RIGHT('EASI AFR Detail'!$F$5:$F$699,5)&amp;LEFT('EASI AFR Detail'!$G$5:$G$699,10)&amp;RIGHT('EASI AFR Detail'!$J$5:$J$699,8)="sup0500)District S7 (3227)",'EASI AFR Detail'!$O$5:$O$699))</f>
        <v>0</v>
      </c>
      <c r="J87" s="49" cm="1">
        <f t="array" ref="J87">+SUM(IF(LEFT('EASI AFR Detail'!$F$5:$F$699,3)&amp;RIGHT('EASI AFR Detail'!$F$5:$F$699,5)&amp;LEFT('EASI AFR Detail'!$G$5:$G$699,4)&amp;RIGHT('EASI AFR Detail'!$J$5:$J$699,8)="sup0500)Expl7 (3227)",'EASI AFR Detail'!$O$5:$O$699))</f>
        <v>0</v>
      </c>
      <c r="K87" s="49" cm="1">
        <f t="array" ref="K87">+SUM(IF(LEFT('EASI AFR Detail'!$F$5:$F$699,3)&amp;RIGHT('EASI AFR Detail'!$F$5:$F$699,5)&amp;LEFT('EASI AFR Detail'!$G$5:$G$699,4)&amp;RIGHT('EASI AFR Detail'!$J$5:$J$699,8)="sup0500)Faci7 (3227)",'EASI AFR Detail'!$O$5:$O$699))</f>
        <v>0</v>
      </c>
      <c r="L87" s="49" cm="1">
        <f t="array" ref="L87">+SUM(IF(LEFT('EASI AFR Detail'!$F$5:$F$699,3)&amp;RIGHT('EASI AFR Detail'!$F$5:$F$699,5)&amp;LEFT('EASI AFR Detail'!$G$5:$G$699,4)&amp;RIGHT('EASI AFR Detail'!$J$5:$J$699,8)="sup0500)MTSS7 (3227)",'EASI AFR Detail'!$O$5:$O$699))</f>
        <v>0</v>
      </c>
      <c r="M87" s="49" cm="1">
        <f t="array" ref="M87">+SUM(IF(LEFT('EASI AFR Detail'!$F$5:$F$699,3)&amp;RIGHT('EASI AFR Detail'!$F$5:$F$699,5)&amp;LEFT('EASI AFR Detail'!$G$5:$G$699,4)&amp;RIGHT('EASI AFR Detail'!$J$5:$J$699,8)="sup0500)Rigo7 (3227)",'EASI AFR Detail'!$O$5:$O$699))</f>
        <v>0</v>
      </c>
      <c r="N87" s="49" cm="1">
        <f t="array" ref="N87">+SUM(IF(LEFT('EASI AFR Detail'!$F$5:$F$699,3)&amp;RIGHT('EASI AFR Detail'!$F$5:$F$699,5)&amp;LEFT('EASI AFR Detail'!$G$5:$G$699,9)&amp;RIGHT('EASI AFR Detail'!$J$5:$J$699,8)="sup0500)School Tr7 (3227)",'EASI AFR Detail'!$O$5:$O$699))</f>
        <v>0</v>
      </c>
      <c r="O87" s="49" cm="1">
        <f t="array" ref="O87">+SUM(IF(LEFT('EASI AFR Detail'!$F$5:$F$699,3)&amp;RIGHT('EASI AFR Detail'!$F$5:$F$699,5)&amp;LEFT('EASI AFR Detail'!$G$5:$G$699,9)&amp;RIGHT('EASI AFR Detail'!$J$5:$J$699,8)="sup0500)School Tu7 (3227)",'EASI AFR Detail'!$O$5:$O$699))</f>
        <v>0</v>
      </c>
      <c r="P87" s="53">
        <f t="shared" si="17"/>
        <v>0</v>
      </c>
    </row>
    <row r="88" spans="1:16" x14ac:dyDescent="0.3">
      <c r="A88" s="188"/>
      <c r="B88" s="63">
        <v>12</v>
      </c>
      <c r="C88" s="64" t="s">
        <v>6549</v>
      </c>
      <c r="D88" s="49" cm="1">
        <f t="array" ref="D88">+SUM(IF(LEFT('EASI AFR Detail'!$F$5:$F$699,3)&amp;RIGHT('EASI AFR Detail'!$F$5:$F$699,5)&amp;LEFT('EASI AFR Detail'!$G$5:$G$699,4)&amp;RIGHT('EASI AFR Detail'!$J$5:$J$699,8)="sup0580)Acco7 (3227)",'EASI AFR Detail'!$O$5:$O$699))</f>
        <v>0</v>
      </c>
      <c r="E88" s="49" cm="1">
        <f t="array" ref="E88">+SUM(IF(LEFT('EASI AFR Detail'!$F$5:$F$699,3)&amp;RIGHT('EASI AFR Detail'!$F$5:$F$699,5)&amp;LEFT('EASI AFR Detail'!$G$5:$G$699,4)&amp;RIGHT('EASI AFR Detail'!$J$5:$J$699,8)="sup0580)Colo7 (3227)",'EASI AFR Detail'!$O$5:$O$699))</f>
        <v>0</v>
      </c>
      <c r="F88" s="49" cm="1">
        <f t="array" ref="F88">+SUM(IF(LEFT('EASI AFR Detail'!$F$5:$F$699,3)&amp;RIGHT('EASI AFR Detail'!$F$5:$F$699,5)&amp;LEFT('EASI AFR Detail'!$G$5:$G$699,4)&amp;RIGHT('EASI AFR Detail'!$J$5:$J$699,8)="sup0580)Conn7 (3227)",'EASI AFR Detail'!$O$5:$O$699))</f>
        <v>0</v>
      </c>
      <c r="G88" s="49" cm="1">
        <f t="array" ref="G88">+SUM(IF(LEFT('EASI AFR Detail'!$F$5:$F$699,3)&amp;RIGHT('EASI AFR Detail'!$F$5:$F$699,5)&amp;LEFT('EASI AFR Detail'!$G$5:$G$699,12)&amp;RIGHT('EASI AFR Detail'!$J$5:$J$699,8)="sup0580)Diagnostic a7 (3227)",'EASI AFR Detail'!$O$5:$O$699))</f>
        <v>0</v>
      </c>
      <c r="H88" s="49" cm="1">
        <f t="array" ref="H88">+SUM(IF(LEFT('EASI AFR Detail'!$F$5:$F$699,3)&amp;RIGHT('EASI AFR Detail'!$F$5:$F$699,5)&amp;LEFT('EASI AFR Detail'!$G$5:$G$699,10)&amp;RIGHT('EASI AFR Detail'!$J$5:$J$699,8)="sup0580)District D7 (3227)",'EASI AFR Detail'!$O$5:$O$699))</f>
        <v>0</v>
      </c>
      <c r="I88" s="49" cm="1">
        <f t="array" ref="I88">+SUM(IF(LEFT('EASI AFR Detail'!$F$5:$F$699,3)&amp;RIGHT('EASI AFR Detail'!$F$5:$F$699,5)&amp;LEFT('EASI AFR Detail'!$G$5:$G$699,10)&amp;RIGHT('EASI AFR Detail'!$J$5:$J$699,8)="sup0580)District S7 (3227)",'EASI AFR Detail'!$O$5:$O$699))</f>
        <v>0</v>
      </c>
      <c r="J88" s="49" cm="1">
        <f t="array" ref="J88">+SUM(IF(LEFT('EASI AFR Detail'!$F$5:$F$699,3)&amp;RIGHT('EASI AFR Detail'!$F$5:$F$699,5)&amp;LEFT('EASI AFR Detail'!$G$5:$G$699,4)&amp;RIGHT('EASI AFR Detail'!$J$5:$J$699,8)="sup0580)Expl7 (3227)",'EASI AFR Detail'!$O$5:$O$699))</f>
        <v>0</v>
      </c>
      <c r="K88" s="49" cm="1">
        <f t="array" ref="K88">+SUM(IF(LEFT('EASI AFR Detail'!$F$5:$F$699,3)&amp;RIGHT('EASI AFR Detail'!$F$5:$F$699,5)&amp;LEFT('EASI AFR Detail'!$G$5:$G$699,4)&amp;RIGHT('EASI AFR Detail'!$J$5:$J$699,8)="sup0580)Faci7 (3227)",'EASI AFR Detail'!$O$5:$O$699))</f>
        <v>0</v>
      </c>
      <c r="L88" s="49" cm="1">
        <f t="array" ref="L88">+SUM(IF(LEFT('EASI AFR Detail'!$F$5:$F$699,3)&amp;RIGHT('EASI AFR Detail'!$F$5:$F$699,5)&amp;LEFT('EASI AFR Detail'!$G$5:$G$699,4)&amp;RIGHT('EASI AFR Detail'!$J$5:$J$699,8)="sup0580)MTSS7 (3227)",'EASI AFR Detail'!$O$5:$O$699))</f>
        <v>0</v>
      </c>
      <c r="M88" s="49" cm="1">
        <f t="array" ref="M88">+SUM(IF(LEFT('EASI AFR Detail'!$F$5:$F$699,3)&amp;RIGHT('EASI AFR Detail'!$F$5:$F$699,5)&amp;LEFT('EASI AFR Detail'!$G$5:$G$699,4)&amp;RIGHT('EASI AFR Detail'!$J$5:$J$699,8)="sup0580)Rigo7 (3227)",'EASI AFR Detail'!$O$5:$O$699))</f>
        <v>0</v>
      </c>
      <c r="N88" s="49" cm="1">
        <f t="array" ref="N88">+SUM(IF(LEFT('EASI AFR Detail'!$F$5:$F$699,3)&amp;RIGHT('EASI AFR Detail'!$F$5:$F$699,5)&amp;LEFT('EASI AFR Detail'!$G$5:$G$699,9)&amp;RIGHT('EASI AFR Detail'!$J$5:$J$699,8)="sup0580)School Tr7 (3227)",'EASI AFR Detail'!$O$5:$O$699))</f>
        <v>0</v>
      </c>
      <c r="O88" s="49" cm="1">
        <f t="array" ref="O88">+SUM(IF(LEFT('EASI AFR Detail'!$F$5:$F$699,3)&amp;RIGHT('EASI AFR Detail'!$F$5:$F$699,5)&amp;LEFT('EASI AFR Detail'!$G$5:$G$699,9)&amp;RIGHT('EASI AFR Detail'!$J$5:$J$699,8)="sup0580)School Tu7 (3227)",'EASI AFR Detail'!$O$5:$O$699))</f>
        <v>0</v>
      </c>
      <c r="P88" s="53">
        <f t="shared" si="17"/>
        <v>0</v>
      </c>
    </row>
    <row r="89" spans="1:16" x14ac:dyDescent="0.3">
      <c r="A89" s="188"/>
      <c r="B89" s="63">
        <v>13</v>
      </c>
      <c r="C89" s="64" t="s">
        <v>6550</v>
      </c>
      <c r="D89" s="49" cm="1">
        <f t="array" ref="D89">+SUM(IF(LEFT('EASI AFR Detail'!$F$5:$F$699,3)&amp;RIGHT('EASI AFR Detail'!$F$5:$F$699,5)&amp;LEFT('EASI AFR Detail'!$G$5:$G$699,4)&amp;RIGHT('EASI AFR Detail'!$J$5:$J$699,8)="sup0600)Acco7 (3227)",'EASI AFR Detail'!$O$5:$O$699))</f>
        <v>0</v>
      </c>
      <c r="E89" s="49" cm="1">
        <f t="array" ref="E89">+SUM(IF(LEFT('EASI AFR Detail'!$F$5:$F$699,3)&amp;RIGHT('EASI AFR Detail'!$F$5:$F$699,5)&amp;LEFT('EASI AFR Detail'!$G$5:$G$699,4)&amp;RIGHT('EASI AFR Detail'!$J$5:$J$699,8)="sup0600)Colo7 (3227)",'EASI AFR Detail'!$O$5:$O$699))</f>
        <v>0</v>
      </c>
      <c r="F89" s="49" cm="1">
        <f t="array" ref="F89">+SUM(IF(LEFT('EASI AFR Detail'!$F$5:$F$699,3)&amp;RIGHT('EASI AFR Detail'!$F$5:$F$699,5)&amp;LEFT('EASI AFR Detail'!$G$5:$G$699,4)&amp;RIGHT('EASI AFR Detail'!$J$5:$J$699,8)="sup0600)Conn7 (3227)",'EASI AFR Detail'!$O$5:$O$699))</f>
        <v>0</v>
      </c>
      <c r="G89" s="49" cm="1">
        <f t="array" ref="G89">+SUM(IF(LEFT('EASI AFR Detail'!$F$5:$F$699,3)&amp;RIGHT('EASI AFR Detail'!$F$5:$F$699,5)&amp;LEFT('EASI AFR Detail'!$G$5:$G$699,12)&amp;RIGHT('EASI AFR Detail'!$J$5:$J$699,8)="sup0600)Diagnostic a7 (3227)",'EASI AFR Detail'!$O$5:$O$699))</f>
        <v>0</v>
      </c>
      <c r="H89" s="49" cm="1">
        <f t="array" ref="H89">+SUM(IF(LEFT('EASI AFR Detail'!$F$5:$F$699,3)&amp;RIGHT('EASI AFR Detail'!$F$5:$F$699,5)&amp;LEFT('EASI AFR Detail'!$G$5:$G$699,10)&amp;RIGHT('EASI AFR Detail'!$J$5:$J$699,8)="sup0600)District D7 (3227)",'EASI AFR Detail'!$O$5:$O$699))</f>
        <v>0</v>
      </c>
      <c r="I89" s="49" cm="1">
        <f t="array" ref="I89">+SUM(IF(LEFT('EASI AFR Detail'!$F$5:$F$699,3)&amp;RIGHT('EASI AFR Detail'!$F$5:$F$699,5)&amp;LEFT('EASI AFR Detail'!$G$5:$G$699,10)&amp;RIGHT('EASI AFR Detail'!$J$5:$J$699,8)="sup0600)District S7 (3227)",'EASI AFR Detail'!$O$5:$O$699))</f>
        <v>0</v>
      </c>
      <c r="J89" s="49" cm="1">
        <f t="array" ref="J89">+SUM(IF(LEFT('EASI AFR Detail'!$F$5:$F$699,3)&amp;RIGHT('EASI AFR Detail'!$F$5:$F$699,5)&amp;LEFT('EASI AFR Detail'!$G$5:$G$699,4)&amp;RIGHT('EASI AFR Detail'!$J$5:$J$699,8)="sup0600)Expl7 (3227)",'EASI AFR Detail'!$O$5:$O$699))</f>
        <v>0</v>
      </c>
      <c r="K89" s="49" cm="1">
        <f t="array" ref="K89">+SUM(IF(LEFT('EASI AFR Detail'!$F$5:$F$699,3)&amp;RIGHT('EASI AFR Detail'!$F$5:$F$699,5)&amp;LEFT('EASI AFR Detail'!$G$5:$G$699,4)&amp;RIGHT('EASI AFR Detail'!$J$5:$J$699,8)="sup0600)Faci7 (3227)",'EASI AFR Detail'!$O$5:$O$699))</f>
        <v>0</v>
      </c>
      <c r="L89" s="49" cm="1">
        <f t="array" ref="L89">+SUM(IF(LEFT('EASI AFR Detail'!$F$5:$F$699,3)&amp;RIGHT('EASI AFR Detail'!$F$5:$F$699,5)&amp;LEFT('EASI AFR Detail'!$G$5:$G$699,4)&amp;RIGHT('EASI AFR Detail'!$J$5:$J$699,8)="sup0600)MTSS7 (3227)",'EASI AFR Detail'!$O$5:$O$699))</f>
        <v>0</v>
      </c>
      <c r="M89" s="49" cm="1">
        <f t="array" ref="M89">+SUM(IF(LEFT('EASI AFR Detail'!$F$5:$F$699,3)&amp;RIGHT('EASI AFR Detail'!$F$5:$F$699,5)&amp;LEFT('EASI AFR Detail'!$G$5:$G$699,4)&amp;RIGHT('EASI AFR Detail'!$J$5:$J$699,8)="sup0600)Rigo7 (3227)",'EASI AFR Detail'!$O$5:$O$699))</f>
        <v>0</v>
      </c>
      <c r="N89" s="49" cm="1">
        <f t="array" ref="N89">+SUM(IF(LEFT('EASI AFR Detail'!$F$5:$F$699,3)&amp;RIGHT('EASI AFR Detail'!$F$5:$F$699,5)&amp;LEFT('EASI AFR Detail'!$G$5:$G$699,9)&amp;RIGHT('EASI AFR Detail'!$J$5:$J$699,8)="sup0600)School Tr7 (3227)",'EASI AFR Detail'!$O$5:$O$699))</f>
        <v>0</v>
      </c>
      <c r="O89" s="49" cm="1">
        <f t="array" ref="O89">+SUM(IF(LEFT('EASI AFR Detail'!$F$5:$F$699,3)&amp;RIGHT('EASI AFR Detail'!$F$5:$F$699,5)&amp;LEFT('EASI AFR Detail'!$G$5:$G$699,9)&amp;RIGHT('EASI AFR Detail'!$J$5:$J$699,8)="sup0600)School Tu7 (3227)",'EASI AFR Detail'!$O$5:$O$699))</f>
        <v>0</v>
      </c>
      <c r="P89" s="53">
        <f t="shared" si="17"/>
        <v>0</v>
      </c>
    </row>
    <row r="90" spans="1:16" x14ac:dyDescent="0.3">
      <c r="A90" s="188"/>
      <c r="B90" s="63">
        <v>14</v>
      </c>
      <c r="C90" s="65" t="s">
        <v>6553</v>
      </c>
      <c r="D90" s="49">
        <f>SUM(D84:D89)</f>
        <v>0</v>
      </c>
      <c r="E90" s="57">
        <f t="shared" ref="E90:P90" si="18">SUM(E84:E89)</f>
        <v>0</v>
      </c>
      <c r="F90" s="57">
        <f t="shared" si="18"/>
        <v>0</v>
      </c>
      <c r="G90" s="57">
        <f t="shared" si="18"/>
        <v>0</v>
      </c>
      <c r="H90" s="57">
        <f t="shared" si="18"/>
        <v>0</v>
      </c>
      <c r="I90" s="57">
        <f t="shared" si="18"/>
        <v>0</v>
      </c>
      <c r="J90" s="57">
        <f t="shared" si="18"/>
        <v>0</v>
      </c>
      <c r="K90" s="57">
        <f t="shared" si="18"/>
        <v>0</v>
      </c>
      <c r="L90" s="57">
        <f t="shared" si="18"/>
        <v>0</v>
      </c>
      <c r="M90" s="57">
        <f t="shared" si="18"/>
        <v>0</v>
      </c>
      <c r="N90" s="57">
        <f t="shared" si="18"/>
        <v>0</v>
      </c>
      <c r="O90" s="57">
        <f t="shared" si="18"/>
        <v>0</v>
      </c>
      <c r="P90" s="53">
        <f t="shared" si="18"/>
        <v>0</v>
      </c>
    </row>
    <row r="91" spans="1:16" x14ac:dyDescent="0.3">
      <c r="A91" s="188"/>
      <c r="B91" s="66"/>
      <c r="C91" s="67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9"/>
    </row>
    <row r="92" spans="1:16" x14ac:dyDescent="0.3">
      <c r="A92" s="188"/>
      <c r="B92" s="63">
        <v>15</v>
      </c>
      <c r="C92" s="64" t="s">
        <v>6554</v>
      </c>
      <c r="D92" s="39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1">
        <f>SUM(D92:O92)</f>
        <v>0</v>
      </c>
    </row>
    <row r="93" spans="1:16" x14ac:dyDescent="0.3">
      <c r="A93" s="188"/>
      <c r="B93" s="66"/>
      <c r="C93" s="70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9"/>
    </row>
    <row r="94" spans="1:16" ht="15" thickBot="1" x14ac:dyDescent="0.35">
      <c r="A94" s="189"/>
      <c r="B94" s="71">
        <v>16</v>
      </c>
      <c r="C94" s="72" t="s">
        <v>6517</v>
      </c>
      <c r="D94" s="73">
        <f>D81+D90+D92</f>
        <v>0</v>
      </c>
      <c r="E94" s="73">
        <f t="shared" ref="E94:O94" si="19">E81+E90+E92</f>
        <v>0</v>
      </c>
      <c r="F94" s="73">
        <f t="shared" si="19"/>
        <v>0</v>
      </c>
      <c r="G94" s="73">
        <f t="shared" si="19"/>
        <v>0</v>
      </c>
      <c r="H94" s="73">
        <f t="shared" si="19"/>
        <v>0</v>
      </c>
      <c r="I94" s="73">
        <f t="shared" si="19"/>
        <v>0</v>
      </c>
      <c r="J94" s="73">
        <f t="shared" si="19"/>
        <v>0</v>
      </c>
      <c r="K94" s="73">
        <f t="shared" si="19"/>
        <v>0</v>
      </c>
      <c r="L94" s="73">
        <f t="shared" si="19"/>
        <v>0</v>
      </c>
      <c r="M94" s="73">
        <f t="shared" si="19"/>
        <v>0</v>
      </c>
      <c r="N94" s="73">
        <f t="shared" si="19"/>
        <v>0</v>
      </c>
      <c r="O94" s="73">
        <f t="shared" si="19"/>
        <v>0</v>
      </c>
      <c r="P94" s="75">
        <f>P81+P90+P92</f>
        <v>0</v>
      </c>
    </row>
    <row r="95" spans="1:16" x14ac:dyDescent="0.3">
      <c r="C95" s="77"/>
    </row>
    <row r="96" spans="1:16" x14ac:dyDescent="0.3">
      <c r="C96" s="77"/>
    </row>
    <row r="97" spans="2:17" x14ac:dyDescent="0.3">
      <c r="C97" s="77"/>
    </row>
    <row r="98" spans="2:17" x14ac:dyDescent="0.3">
      <c r="C98" s="77"/>
    </row>
    <row r="99" spans="2:17" x14ac:dyDescent="0.3">
      <c r="C99" s="77"/>
    </row>
    <row r="100" spans="2:17" x14ac:dyDescent="0.3">
      <c r="C100" s="77"/>
    </row>
    <row r="101" spans="2:17" x14ac:dyDescent="0.3">
      <c r="C101" s="77"/>
    </row>
    <row r="102" spans="2:17" ht="15" thickBot="1" x14ac:dyDescent="0.35">
      <c r="C102" s="77"/>
    </row>
    <row r="103" spans="2:17" ht="15" thickBot="1" x14ac:dyDescent="0.35">
      <c r="B103" s="44">
        <v>17</v>
      </c>
      <c r="C103" s="78" t="s">
        <v>6555</v>
      </c>
      <c r="D103" s="79">
        <f>D48+D26+D71+D94</f>
        <v>0</v>
      </c>
      <c r="E103" s="79">
        <f t="shared" ref="E103:O103" si="20">E48+E26+E71+E94</f>
        <v>0</v>
      </c>
      <c r="F103" s="79">
        <f t="shared" si="20"/>
        <v>0</v>
      </c>
      <c r="G103" s="79">
        <f t="shared" si="20"/>
        <v>0</v>
      </c>
      <c r="H103" s="79">
        <f t="shared" si="20"/>
        <v>0</v>
      </c>
      <c r="I103" s="79">
        <f t="shared" si="20"/>
        <v>0</v>
      </c>
      <c r="J103" s="79">
        <f t="shared" si="20"/>
        <v>0</v>
      </c>
      <c r="K103" s="79">
        <f t="shared" si="20"/>
        <v>0</v>
      </c>
      <c r="L103" s="79">
        <f t="shared" si="20"/>
        <v>0</v>
      </c>
      <c r="M103" s="79">
        <f t="shared" si="20"/>
        <v>0</v>
      </c>
      <c r="N103" s="79">
        <f t="shared" si="20"/>
        <v>0</v>
      </c>
      <c r="O103" s="79">
        <f t="shared" si="20"/>
        <v>0</v>
      </c>
      <c r="P103" s="79">
        <f>P48+P26+P71+P94</f>
        <v>0</v>
      </c>
      <c r="Q103" s="80">
        <f>P103+'Annual Financial Report - Fed'!P125-'EASI AFR Detail'!O3</f>
        <v>0</v>
      </c>
    </row>
    <row r="104" spans="2:17" x14ac:dyDescent="0.3">
      <c r="P104" s="81"/>
    </row>
    <row r="105" spans="2:17" ht="15" thickBot="1" x14ac:dyDescent="0.35">
      <c r="C105" s="201"/>
      <c r="D105" s="201"/>
      <c r="E105" s="201"/>
      <c r="F105" s="201"/>
      <c r="P105" s="82"/>
    </row>
    <row r="106" spans="2:17" x14ac:dyDescent="0.3">
      <c r="C106" s="202" t="s">
        <v>6556</v>
      </c>
      <c r="D106" s="202"/>
      <c r="E106" s="202"/>
      <c r="F106" s="202"/>
      <c r="P106" s="82"/>
    </row>
    <row r="175" spans="12:14" x14ac:dyDescent="0.3">
      <c r="L175" s="83"/>
      <c r="M175" s="83"/>
      <c r="N175" s="83"/>
    </row>
  </sheetData>
  <sheetProtection algorithmName="SHA-512" hashValue="TAiZT0YwtwyXasLf5GXtUIQVVtKMdwK6Oh0FpFpwRa/EJW75G1sWyXTrdKOMTXDy7nphLGSnHGwpAcET60xZtw==" saltValue="9fjc3i7iq3u3z4jmFGef5w==" spinCount="100000" sheet="1" objects="1" scenarios="1"/>
  <mergeCells count="19">
    <mergeCell ref="C105:F105"/>
    <mergeCell ref="C106:F106"/>
    <mergeCell ref="A74:A94"/>
    <mergeCell ref="B74:C74"/>
    <mergeCell ref="B83:C83"/>
    <mergeCell ref="A28:A48"/>
    <mergeCell ref="B28:C28"/>
    <mergeCell ref="B37:C37"/>
    <mergeCell ref="A51:A71"/>
    <mergeCell ref="B51:C51"/>
    <mergeCell ref="B60:C60"/>
    <mergeCell ref="A6:A26"/>
    <mergeCell ref="B6:C6"/>
    <mergeCell ref="B15:C15"/>
    <mergeCell ref="A1:P1"/>
    <mergeCell ref="A2:P2"/>
    <mergeCell ref="A3:P3"/>
    <mergeCell ref="A4:P4"/>
    <mergeCell ref="B5:C5"/>
  </mergeCells>
  <dataValidations count="1">
    <dataValidation allowBlank="1" showInputMessage="1" showErrorMessage="1" prompt="Enter actual indirect cost expenditures in this cell." sqref="D92:P92 D69:P69 D24:P24 D46:P46" xr:uid="{696E7BA0-F230-479A-A2C5-818E11B3CC40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6D5F-A9BD-4FE9-93BE-5790CA4DCE37}">
  <sheetPr>
    <pageSetUpPr fitToPage="1"/>
  </sheetPr>
  <dimension ref="A1:D215"/>
  <sheetViews>
    <sheetView workbookViewId="0">
      <pane ySplit="9" topLeftCell="A211" activePane="bottomLeft" state="frozen"/>
      <selection pane="bottomLeft" activeCell="F9" sqref="F9"/>
    </sheetView>
  </sheetViews>
  <sheetFormatPr defaultColWidth="8.88671875" defaultRowHeight="12.75" customHeight="1" x14ac:dyDescent="0.3"/>
  <cols>
    <col min="1" max="1" width="27.88671875" style="152" customWidth="1"/>
    <col min="2" max="2" width="43.109375" style="152" customWidth="1"/>
    <col min="3" max="4" width="27.88671875" style="152" customWidth="1"/>
    <col min="5" max="16384" width="8.88671875" style="152"/>
  </cols>
  <sheetData>
    <row r="1" spans="1:4" ht="26.25" customHeight="1" x14ac:dyDescent="0.3">
      <c r="A1" s="151" t="s">
        <v>6587</v>
      </c>
      <c r="B1" s="151"/>
      <c r="C1" s="151"/>
      <c r="D1" s="151"/>
    </row>
    <row r="2" spans="1:4" ht="26.25" customHeight="1" x14ac:dyDescent="0.3">
      <c r="A2" s="153" t="s">
        <v>6588</v>
      </c>
      <c r="B2" s="153"/>
      <c r="C2" s="153"/>
      <c r="D2" s="153"/>
    </row>
    <row r="3" spans="1:4" ht="12.75" customHeight="1" x14ac:dyDescent="0.4">
      <c r="A3" s="154"/>
      <c r="B3" s="154"/>
      <c r="C3" s="154"/>
      <c r="D3" s="154"/>
    </row>
    <row r="4" spans="1:4" ht="21" x14ac:dyDescent="0.3">
      <c r="A4" s="155" t="s">
        <v>6589</v>
      </c>
      <c r="B4" s="155"/>
      <c r="C4" s="155"/>
      <c r="D4" s="155"/>
    </row>
    <row r="5" spans="1:4" ht="12.75" customHeight="1" x14ac:dyDescent="0.4">
      <c r="A5" s="154"/>
      <c r="B5" s="154"/>
      <c r="C5" s="154"/>
      <c r="D5" s="154"/>
    </row>
    <row r="6" spans="1:4" ht="21" customHeight="1" x14ac:dyDescent="0.3">
      <c r="A6" s="156" t="s">
        <v>6590</v>
      </c>
      <c r="B6" s="156"/>
      <c r="C6" s="156"/>
      <c r="D6" s="156"/>
    </row>
    <row r="7" spans="1:4" ht="16.2" thickBot="1" x14ac:dyDescent="0.35">
      <c r="A7" s="157" t="s">
        <v>6591</v>
      </c>
      <c r="B7" s="157"/>
      <c r="C7" s="157"/>
      <c r="D7" s="157"/>
    </row>
    <row r="8" spans="1:4" ht="6.6" customHeight="1" x14ac:dyDescent="0.3">
      <c r="A8" s="158"/>
      <c r="B8" s="158"/>
      <c r="C8" s="158"/>
      <c r="D8" s="158"/>
    </row>
    <row r="9" spans="1:4" ht="15.6" x14ac:dyDescent="0.3">
      <c r="A9" s="159" t="s">
        <v>6592</v>
      </c>
      <c r="B9" s="159" t="s">
        <v>6474</v>
      </c>
      <c r="C9" s="160" t="s">
        <v>6593</v>
      </c>
      <c r="D9" s="160" t="s">
        <v>6594</v>
      </c>
    </row>
    <row r="10" spans="1:4" ht="15.6" x14ac:dyDescent="0.3">
      <c r="A10" s="161" t="s">
        <v>461</v>
      </c>
      <c r="B10" s="161" t="s">
        <v>462</v>
      </c>
      <c r="C10" s="162">
        <v>10.5</v>
      </c>
      <c r="D10" s="162">
        <v>30</v>
      </c>
    </row>
    <row r="11" spans="1:4" ht="15.6" x14ac:dyDescent="0.3">
      <c r="A11" s="161" t="s">
        <v>469</v>
      </c>
      <c r="B11" s="161" t="s">
        <v>470</v>
      </c>
      <c r="C11" s="162">
        <v>8.5399999999999991</v>
      </c>
      <c r="D11" s="162">
        <v>20.51</v>
      </c>
    </row>
    <row r="12" spans="1:4" ht="15.6" x14ac:dyDescent="0.3">
      <c r="A12" s="161" t="s">
        <v>1646</v>
      </c>
      <c r="B12" s="161" t="s">
        <v>1647</v>
      </c>
      <c r="C12" s="162">
        <v>10.5</v>
      </c>
      <c r="D12" s="162">
        <v>28.57</v>
      </c>
    </row>
    <row r="13" spans="1:4" ht="15.6" x14ac:dyDescent="0.3">
      <c r="A13" s="161" t="s">
        <v>473</v>
      </c>
      <c r="B13" s="161" t="s">
        <v>474</v>
      </c>
      <c r="C13" s="162">
        <v>8.1</v>
      </c>
      <c r="D13" s="162">
        <v>17.920000000000002</v>
      </c>
    </row>
    <row r="14" spans="1:4" ht="15.6" x14ac:dyDescent="0.3">
      <c r="A14" s="161" t="s">
        <v>477</v>
      </c>
      <c r="B14" s="161" t="s">
        <v>478</v>
      </c>
      <c r="C14" s="162">
        <v>10.5</v>
      </c>
      <c r="D14" s="162">
        <v>30</v>
      </c>
    </row>
    <row r="15" spans="1:4" ht="15.6" x14ac:dyDescent="0.3">
      <c r="A15" s="161" t="s">
        <v>1405</v>
      </c>
      <c r="B15" s="161" t="s">
        <v>1406</v>
      </c>
      <c r="C15" s="162">
        <v>10.5</v>
      </c>
      <c r="D15" s="162">
        <v>30</v>
      </c>
    </row>
    <row r="16" spans="1:4" ht="15.6" x14ac:dyDescent="0.3">
      <c r="A16" s="161" t="s">
        <v>743</v>
      </c>
      <c r="B16" s="161" t="s">
        <v>744</v>
      </c>
      <c r="C16" s="162">
        <v>10.5</v>
      </c>
      <c r="D16" s="162">
        <v>30</v>
      </c>
    </row>
    <row r="17" spans="1:4" ht="15.6" x14ac:dyDescent="0.3">
      <c r="A17" s="161" t="s">
        <v>1522</v>
      </c>
      <c r="B17" s="161" t="s">
        <v>1523</v>
      </c>
      <c r="C17" s="162">
        <v>10.5</v>
      </c>
      <c r="D17" s="162">
        <v>29.34</v>
      </c>
    </row>
    <row r="18" spans="1:4" ht="15.6" x14ac:dyDescent="0.3">
      <c r="A18" s="161" t="s">
        <v>2185</v>
      </c>
      <c r="B18" s="161" t="s">
        <v>2186</v>
      </c>
      <c r="C18" s="162">
        <v>1.33</v>
      </c>
      <c r="D18" s="162">
        <v>17.940000000000001</v>
      </c>
    </row>
    <row r="19" spans="1:4" ht="15.6" x14ac:dyDescent="0.3">
      <c r="A19" s="161" t="s">
        <v>1409</v>
      </c>
      <c r="B19" s="161" t="s">
        <v>1410</v>
      </c>
      <c r="C19" s="162">
        <v>10.5</v>
      </c>
      <c r="D19" s="162">
        <v>27.04</v>
      </c>
    </row>
    <row r="20" spans="1:4" ht="15.6" x14ac:dyDescent="0.3">
      <c r="A20" s="161" t="s">
        <v>1413</v>
      </c>
      <c r="B20" s="161" t="s">
        <v>1414</v>
      </c>
      <c r="C20" s="162">
        <v>10.5</v>
      </c>
      <c r="D20" s="162">
        <v>25.77</v>
      </c>
    </row>
    <row r="21" spans="1:4" ht="15.6" x14ac:dyDescent="0.3">
      <c r="A21" s="161" t="s">
        <v>409</v>
      </c>
      <c r="B21" s="161" t="s">
        <v>410</v>
      </c>
      <c r="C21" s="162">
        <v>3.55</v>
      </c>
      <c r="D21" s="162">
        <v>13.71</v>
      </c>
    </row>
    <row r="22" spans="1:4" ht="15.6" x14ac:dyDescent="0.3">
      <c r="A22" s="161" t="s">
        <v>425</v>
      </c>
      <c r="B22" s="161" t="s">
        <v>426</v>
      </c>
      <c r="C22" s="162">
        <v>9.93</v>
      </c>
      <c r="D22" s="162">
        <v>8.1300000000000008</v>
      </c>
    </row>
    <row r="23" spans="1:4" ht="15.6" x14ac:dyDescent="0.3">
      <c r="A23" s="161" t="s">
        <v>2139</v>
      </c>
      <c r="B23" s="161" t="s">
        <v>2140</v>
      </c>
      <c r="C23" s="162">
        <v>10.5</v>
      </c>
      <c r="D23" s="162">
        <v>30</v>
      </c>
    </row>
    <row r="24" spans="1:4" ht="15.6" x14ac:dyDescent="0.3">
      <c r="A24" s="161" t="s">
        <v>433</v>
      </c>
      <c r="B24" s="161" t="s">
        <v>434</v>
      </c>
      <c r="C24" s="162">
        <v>6.89</v>
      </c>
      <c r="D24" s="162">
        <v>18.96</v>
      </c>
    </row>
    <row r="25" spans="1:4" ht="15.6" x14ac:dyDescent="0.3">
      <c r="A25" s="161" t="s">
        <v>445</v>
      </c>
      <c r="B25" s="161" t="s">
        <v>446</v>
      </c>
      <c r="C25" s="162">
        <v>3.84</v>
      </c>
      <c r="D25" s="162">
        <v>6.46</v>
      </c>
    </row>
    <row r="26" spans="1:4" ht="15.6" x14ac:dyDescent="0.3">
      <c r="A26" s="161" t="s">
        <v>450</v>
      </c>
      <c r="B26" s="161" t="s">
        <v>451</v>
      </c>
      <c r="C26" s="162">
        <v>10.5</v>
      </c>
      <c r="D26" s="162">
        <v>30</v>
      </c>
    </row>
    <row r="27" spans="1:4" ht="15.6" x14ac:dyDescent="0.3">
      <c r="A27" s="161" t="s">
        <v>1380</v>
      </c>
      <c r="B27" s="161" t="s">
        <v>1381</v>
      </c>
      <c r="C27" s="162">
        <v>7.44</v>
      </c>
      <c r="D27" s="162">
        <v>30</v>
      </c>
    </row>
    <row r="28" spans="1:4" ht="15.6" x14ac:dyDescent="0.3">
      <c r="A28" s="161" t="s">
        <v>2160</v>
      </c>
      <c r="B28" s="161" t="s">
        <v>2161</v>
      </c>
      <c r="C28" s="162">
        <v>10.5</v>
      </c>
      <c r="D28" s="162">
        <v>30</v>
      </c>
    </row>
    <row r="29" spans="1:4" ht="15.6" x14ac:dyDescent="0.3">
      <c r="A29" s="161" t="s">
        <v>3809</v>
      </c>
      <c r="B29" s="161" t="s">
        <v>5303</v>
      </c>
      <c r="C29" s="162">
        <v>10.5</v>
      </c>
      <c r="D29" s="162">
        <v>30</v>
      </c>
    </row>
    <row r="30" spans="1:4" ht="15.6" x14ac:dyDescent="0.3">
      <c r="A30" s="161" t="s">
        <v>456</v>
      </c>
      <c r="B30" s="161" t="s">
        <v>457</v>
      </c>
      <c r="C30" s="162">
        <v>10.5</v>
      </c>
      <c r="D30" s="162">
        <v>30</v>
      </c>
    </row>
    <row r="31" spans="1:4" ht="15.6" x14ac:dyDescent="0.3">
      <c r="A31" s="161" t="s">
        <v>3639</v>
      </c>
      <c r="B31" s="161" t="s">
        <v>3640</v>
      </c>
      <c r="C31" s="162">
        <v>10.5</v>
      </c>
      <c r="D31" s="162">
        <v>30</v>
      </c>
    </row>
    <row r="32" spans="1:4" ht="15.6" x14ac:dyDescent="0.3">
      <c r="A32" s="161" t="s">
        <v>735</v>
      </c>
      <c r="B32" s="161" t="s">
        <v>736</v>
      </c>
      <c r="C32" s="162">
        <v>10.5</v>
      </c>
      <c r="D32" s="162">
        <v>30</v>
      </c>
    </row>
    <row r="33" spans="1:4" ht="15.6" x14ac:dyDescent="0.3">
      <c r="A33" s="161" t="s">
        <v>1640</v>
      </c>
      <c r="B33" s="161" t="s">
        <v>1641</v>
      </c>
      <c r="C33" s="162">
        <v>2.97</v>
      </c>
      <c r="D33" s="162">
        <v>29.54</v>
      </c>
    </row>
    <row r="34" spans="1:4" ht="15.6" x14ac:dyDescent="0.3">
      <c r="A34" s="161" t="s">
        <v>371</v>
      </c>
      <c r="B34" s="161" t="s">
        <v>372</v>
      </c>
      <c r="C34" s="162">
        <v>9.33</v>
      </c>
      <c r="D34" s="162">
        <v>20.62</v>
      </c>
    </row>
    <row r="35" spans="1:4" ht="15.6" x14ac:dyDescent="0.3">
      <c r="A35" s="161" t="s">
        <v>749</v>
      </c>
      <c r="B35" s="161" t="s">
        <v>750</v>
      </c>
      <c r="C35" s="162">
        <v>7.63</v>
      </c>
      <c r="D35" s="162">
        <v>11.62</v>
      </c>
    </row>
    <row r="36" spans="1:4" ht="15.6" x14ac:dyDescent="0.3">
      <c r="A36" s="161" t="s">
        <v>1314</v>
      </c>
      <c r="B36" s="161" t="s">
        <v>1315</v>
      </c>
      <c r="C36" s="162">
        <v>8.65</v>
      </c>
      <c r="D36" s="162">
        <v>28.5</v>
      </c>
    </row>
    <row r="37" spans="1:4" ht="15.6" x14ac:dyDescent="0.3">
      <c r="A37" s="161" t="s">
        <v>399</v>
      </c>
      <c r="B37" s="161" t="s">
        <v>400</v>
      </c>
      <c r="C37" s="162">
        <v>10.5</v>
      </c>
      <c r="D37" s="162">
        <v>30</v>
      </c>
    </row>
    <row r="38" spans="1:4" ht="15.6" x14ac:dyDescent="0.3">
      <c r="A38" s="161" t="s">
        <v>404</v>
      </c>
      <c r="B38" s="161" t="s">
        <v>405</v>
      </c>
      <c r="C38" s="162">
        <v>10.5</v>
      </c>
      <c r="D38" s="162">
        <v>30</v>
      </c>
    </row>
    <row r="39" spans="1:4" ht="15.6" x14ac:dyDescent="0.3">
      <c r="A39" s="161" t="s">
        <v>767</v>
      </c>
      <c r="B39" s="161" t="s">
        <v>768</v>
      </c>
      <c r="C39" s="162">
        <v>7.42</v>
      </c>
      <c r="D39" s="162">
        <v>30</v>
      </c>
    </row>
    <row r="40" spans="1:4" ht="15.6" x14ac:dyDescent="0.3">
      <c r="A40" s="161" t="s">
        <v>1323</v>
      </c>
      <c r="B40" s="161" t="s">
        <v>1324</v>
      </c>
      <c r="C40" s="162">
        <v>10.5</v>
      </c>
      <c r="D40" s="162">
        <v>30</v>
      </c>
    </row>
    <row r="41" spans="1:4" ht="15.6" x14ac:dyDescent="0.3">
      <c r="A41" s="161" t="s">
        <v>555</v>
      </c>
      <c r="B41" s="161" t="s">
        <v>556</v>
      </c>
      <c r="C41" s="162">
        <v>6.04</v>
      </c>
      <c r="D41" s="162">
        <v>19.059999999999999</v>
      </c>
    </row>
    <row r="42" spans="1:4" ht="15.6" x14ac:dyDescent="0.3">
      <c r="A42" s="161" t="s">
        <v>771</v>
      </c>
      <c r="B42" s="161" t="s">
        <v>772</v>
      </c>
      <c r="C42" s="162">
        <v>2.95</v>
      </c>
      <c r="D42" s="162">
        <v>24.11</v>
      </c>
    </row>
    <row r="43" spans="1:4" ht="15.6" x14ac:dyDescent="0.3">
      <c r="A43" s="161" t="s">
        <v>3805</v>
      </c>
      <c r="B43" s="161" t="s">
        <v>3806</v>
      </c>
      <c r="C43" s="162">
        <v>5.29</v>
      </c>
      <c r="D43" s="162">
        <v>30</v>
      </c>
    </row>
    <row r="44" spans="1:4" ht="15.6" x14ac:dyDescent="0.3">
      <c r="A44" s="161" t="s">
        <v>1859</v>
      </c>
      <c r="B44" s="161" t="s">
        <v>1860</v>
      </c>
      <c r="C44" s="162">
        <v>10.5</v>
      </c>
      <c r="D44" s="162">
        <v>30</v>
      </c>
    </row>
    <row r="45" spans="1:4" ht="15.6" x14ac:dyDescent="0.3">
      <c r="A45" s="161" t="s">
        <v>3811</v>
      </c>
      <c r="B45" s="161" t="s">
        <v>3812</v>
      </c>
      <c r="C45" s="162">
        <v>10.5</v>
      </c>
      <c r="D45" s="162">
        <v>30</v>
      </c>
    </row>
    <row r="46" spans="1:4" ht="15.6" x14ac:dyDescent="0.3">
      <c r="A46" s="161" t="s">
        <v>479</v>
      </c>
      <c r="B46" s="161" t="s">
        <v>663</v>
      </c>
      <c r="C46" s="162">
        <v>3.91</v>
      </c>
      <c r="D46" s="162">
        <v>30</v>
      </c>
    </row>
    <row r="47" spans="1:4" ht="15.6" x14ac:dyDescent="0.3">
      <c r="A47" s="161" t="s">
        <v>1914</v>
      </c>
      <c r="B47" s="161" t="s">
        <v>3818</v>
      </c>
      <c r="C47" s="162">
        <v>3.48</v>
      </c>
      <c r="D47" s="162">
        <v>27.91</v>
      </c>
    </row>
    <row r="48" spans="1:4" ht="15.6" x14ac:dyDescent="0.3">
      <c r="A48" s="161" t="s">
        <v>776</v>
      </c>
      <c r="B48" s="161" t="s">
        <v>777</v>
      </c>
      <c r="C48" s="162">
        <v>7.41</v>
      </c>
      <c r="D48" s="162">
        <v>18.170000000000002</v>
      </c>
    </row>
    <row r="49" spans="1:4" ht="15.6" x14ac:dyDescent="0.3">
      <c r="A49" s="161" t="s">
        <v>667</v>
      </c>
      <c r="B49" s="161" t="s">
        <v>668</v>
      </c>
      <c r="C49" s="162">
        <v>10.5</v>
      </c>
      <c r="D49" s="162">
        <v>27.03</v>
      </c>
    </row>
    <row r="50" spans="1:4" ht="15.6" x14ac:dyDescent="0.3">
      <c r="A50" s="161" t="s">
        <v>1628</v>
      </c>
      <c r="B50" s="161" t="s">
        <v>1629</v>
      </c>
      <c r="C50" s="162">
        <v>8.35</v>
      </c>
      <c r="D50" s="162">
        <v>30</v>
      </c>
    </row>
    <row r="51" spans="1:4" ht="15.6" x14ac:dyDescent="0.3">
      <c r="A51" s="161" t="s">
        <v>783</v>
      </c>
      <c r="B51" s="161" t="s">
        <v>784</v>
      </c>
      <c r="C51" s="162">
        <v>2.52</v>
      </c>
      <c r="D51" s="162">
        <v>13.49</v>
      </c>
    </row>
    <row r="52" spans="1:4" ht="15.6" x14ac:dyDescent="0.3">
      <c r="A52" s="161" t="s">
        <v>728</v>
      </c>
      <c r="B52" s="161" t="s">
        <v>729</v>
      </c>
      <c r="C52" s="162">
        <v>8.98</v>
      </c>
      <c r="D52" s="162">
        <v>21.32</v>
      </c>
    </row>
    <row r="53" spans="1:4" ht="15.6" x14ac:dyDescent="0.3">
      <c r="A53" s="161" t="s">
        <v>1634</v>
      </c>
      <c r="B53" s="161" t="s">
        <v>1635</v>
      </c>
      <c r="C53" s="162">
        <v>10.5</v>
      </c>
      <c r="D53" s="162">
        <v>22.87</v>
      </c>
    </row>
    <row r="54" spans="1:4" ht="15.6" x14ac:dyDescent="0.3">
      <c r="A54" s="161" t="s">
        <v>546</v>
      </c>
      <c r="B54" s="161" t="s">
        <v>547</v>
      </c>
      <c r="C54" s="162">
        <v>10.5</v>
      </c>
      <c r="D54" s="162">
        <v>30</v>
      </c>
    </row>
    <row r="55" spans="1:4" ht="15.6" x14ac:dyDescent="0.3">
      <c r="A55" s="161" t="s">
        <v>2224</v>
      </c>
      <c r="B55" s="161" t="s">
        <v>2225</v>
      </c>
      <c r="C55" s="162">
        <v>5.51</v>
      </c>
      <c r="D55" s="162">
        <v>23.71</v>
      </c>
    </row>
    <row r="56" spans="1:4" ht="15.6" x14ac:dyDescent="0.3">
      <c r="A56" s="161" t="s">
        <v>2752</v>
      </c>
      <c r="B56" s="161" t="s">
        <v>3754</v>
      </c>
      <c r="C56" s="162">
        <v>10.5</v>
      </c>
      <c r="D56" s="162">
        <v>30</v>
      </c>
    </row>
    <row r="57" spans="1:4" ht="15.6" x14ac:dyDescent="0.3">
      <c r="A57" s="161" t="s">
        <v>550</v>
      </c>
      <c r="B57" s="161" t="s">
        <v>551</v>
      </c>
      <c r="C57" s="162">
        <v>8.32</v>
      </c>
      <c r="D57" s="162">
        <v>30</v>
      </c>
    </row>
    <row r="58" spans="1:4" ht="15.6" x14ac:dyDescent="0.3">
      <c r="A58" s="161" t="s">
        <v>1552</v>
      </c>
      <c r="B58" s="161" t="s">
        <v>1553</v>
      </c>
      <c r="C58" s="162">
        <v>5.31</v>
      </c>
      <c r="D58" s="162">
        <v>21.35</v>
      </c>
    </row>
    <row r="59" spans="1:4" ht="15.6" x14ac:dyDescent="0.3">
      <c r="A59" s="161" t="s">
        <v>797</v>
      </c>
      <c r="B59" s="161" t="s">
        <v>798</v>
      </c>
      <c r="C59" s="162">
        <v>8.25</v>
      </c>
      <c r="D59" s="162">
        <v>22.68</v>
      </c>
    </row>
    <row r="60" spans="1:4" ht="15.6" x14ac:dyDescent="0.3">
      <c r="A60" s="161" t="s">
        <v>610</v>
      </c>
      <c r="B60" s="161" t="s">
        <v>611</v>
      </c>
      <c r="C60" s="162">
        <v>8.27</v>
      </c>
      <c r="D60" s="162">
        <v>22.34</v>
      </c>
    </row>
    <row r="61" spans="1:4" ht="15.6" x14ac:dyDescent="0.3">
      <c r="A61" s="161" t="s">
        <v>805</v>
      </c>
      <c r="B61" s="161" t="s">
        <v>806</v>
      </c>
      <c r="C61" s="162">
        <v>7.53</v>
      </c>
      <c r="D61" s="162">
        <v>21.21</v>
      </c>
    </row>
    <row r="62" spans="1:4" ht="15.6" x14ac:dyDescent="0.3">
      <c r="A62" s="161" t="s">
        <v>614</v>
      </c>
      <c r="B62" s="161" t="s">
        <v>615</v>
      </c>
      <c r="C62" s="162">
        <v>7.27</v>
      </c>
      <c r="D62" s="162">
        <v>21.27</v>
      </c>
    </row>
    <row r="63" spans="1:4" ht="15.6" x14ac:dyDescent="0.3">
      <c r="A63" s="161" t="s">
        <v>962</v>
      </c>
      <c r="B63" s="161" t="s">
        <v>963</v>
      </c>
      <c r="C63" s="162">
        <v>2.71</v>
      </c>
      <c r="D63" s="162">
        <v>16.13</v>
      </c>
    </row>
    <row r="64" spans="1:4" ht="15.6" x14ac:dyDescent="0.3">
      <c r="A64" s="161" t="s">
        <v>3801</v>
      </c>
      <c r="B64" s="161" t="s">
        <v>3802</v>
      </c>
      <c r="C64" s="162">
        <v>7.94</v>
      </c>
      <c r="D64" s="162">
        <v>27.59</v>
      </c>
    </row>
    <row r="65" spans="1:4" ht="15.6" x14ac:dyDescent="0.3">
      <c r="A65" s="161" t="s">
        <v>506</v>
      </c>
      <c r="B65" s="161" t="s">
        <v>507</v>
      </c>
      <c r="C65" s="162">
        <v>5.03</v>
      </c>
      <c r="D65" s="162">
        <v>17.5</v>
      </c>
    </row>
    <row r="66" spans="1:4" ht="15.6" x14ac:dyDescent="0.3">
      <c r="A66" s="161" t="s">
        <v>522</v>
      </c>
      <c r="B66" s="161" t="s">
        <v>523</v>
      </c>
      <c r="C66" s="162">
        <v>10.5</v>
      </c>
      <c r="D66" s="162">
        <v>14.8</v>
      </c>
    </row>
    <row r="67" spans="1:4" ht="15.6" x14ac:dyDescent="0.3">
      <c r="A67" s="161" t="s">
        <v>811</v>
      </c>
      <c r="B67" s="161" t="s">
        <v>812</v>
      </c>
      <c r="C67" s="162">
        <v>10.5</v>
      </c>
      <c r="D67" s="162">
        <v>22.06</v>
      </c>
    </row>
    <row r="68" spans="1:4" ht="15.6" x14ac:dyDescent="0.3">
      <c r="A68" s="161" t="s">
        <v>1668</v>
      </c>
      <c r="B68" s="161" t="s">
        <v>2210</v>
      </c>
      <c r="C68" s="162">
        <v>10.5</v>
      </c>
      <c r="D68" s="162">
        <v>30</v>
      </c>
    </row>
    <row r="69" spans="1:4" ht="15.6" x14ac:dyDescent="0.3">
      <c r="A69" s="161" t="s">
        <v>815</v>
      </c>
      <c r="B69" s="161" t="s">
        <v>816</v>
      </c>
      <c r="C69" s="162">
        <v>6.83</v>
      </c>
      <c r="D69" s="162">
        <v>30</v>
      </c>
    </row>
    <row r="70" spans="1:4" ht="15.6" x14ac:dyDescent="0.3">
      <c r="A70" s="161" t="s">
        <v>526</v>
      </c>
      <c r="B70" s="161" t="s">
        <v>527</v>
      </c>
      <c r="C70" s="162">
        <v>10.5</v>
      </c>
      <c r="D70" s="162">
        <v>24.55</v>
      </c>
    </row>
    <row r="71" spans="1:4" ht="15.6" x14ac:dyDescent="0.3">
      <c r="A71" s="163" t="s">
        <v>1477</v>
      </c>
      <c r="B71" s="161" t="s">
        <v>1478</v>
      </c>
      <c r="C71" s="162">
        <v>10.5</v>
      </c>
      <c r="D71" s="162">
        <v>30</v>
      </c>
    </row>
    <row r="72" spans="1:4" ht="15.6" x14ac:dyDescent="0.3">
      <c r="A72" s="161" t="s">
        <v>1318</v>
      </c>
      <c r="B72" s="161" t="s">
        <v>2400</v>
      </c>
      <c r="C72" s="162">
        <v>10.5</v>
      </c>
      <c r="D72" s="162">
        <v>30</v>
      </c>
    </row>
    <row r="73" spans="1:4" ht="15.6" x14ac:dyDescent="0.3">
      <c r="A73" s="161" t="s">
        <v>541</v>
      </c>
      <c r="B73" s="161" t="s">
        <v>542</v>
      </c>
      <c r="C73" s="162">
        <v>5.41</v>
      </c>
      <c r="D73" s="162">
        <v>20.07</v>
      </c>
    </row>
    <row r="74" spans="1:4" ht="15.6" x14ac:dyDescent="0.3">
      <c r="A74" s="161" t="s">
        <v>1484</v>
      </c>
      <c r="B74" s="161" t="s">
        <v>1485</v>
      </c>
      <c r="C74" s="162">
        <v>7.16</v>
      </c>
      <c r="D74" s="162">
        <v>25.65</v>
      </c>
    </row>
    <row r="75" spans="1:4" ht="15.6" x14ac:dyDescent="0.3">
      <c r="A75" s="161" t="s">
        <v>1548</v>
      </c>
      <c r="B75" s="161" t="s">
        <v>1549</v>
      </c>
      <c r="C75" s="162">
        <v>8.6199999999999992</v>
      </c>
      <c r="D75" s="162">
        <v>30</v>
      </c>
    </row>
    <row r="76" spans="1:4" ht="15.6" x14ac:dyDescent="0.3">
      <c r="A76" s="161" t="s">
        <v>354</v>
      </c>
      <c r="B76" s="161" t="s">
        <v>355</v>
      </c>
      <c r="C76" s="162">
        <v>6.77</v>
      </c>
      <c r="D76" s="162">
        <v>17.079999999999998</v>
      </c>
    </row>
    <row r="77" spans="1:4" ht="15.6" x14ac:dyDescent="0.3">
      <c r="A77" s="161" t="s">
        <v>362</v>
      </c>
      <c r="B77" s="161" t="s">
        <v>363</v>
      </c>
      <c r="C77" s="162">
        <v>8.1</v>
      </c>
      <c r="D77" s="162">
        <v>25.17</v>
      </c>
    </row>
    <row r="78" spans="1:4" ht="15.6" x14ac:dyDescent="0.3">
      <c r="A78" s="161" t="s">
        <v>1123</v>
      </c>
      <c r="B78" s="161" t="s">
        <v>2933</v>
      </c>
      <c r="C78" s="162">
        <v>10.5</v>
      </c>
      <c r="D78" s="162">
        <v>30</v>
      </c>
    </row>
    <row r="79" spans="1:4" ht="15.6" x14ac:dyDescent="0.3">
      <c r="A79" s="161" t="s">
        <v>1446</v>
      </c>
      <c r="B79" s="161" t="s">
        <v>1447</v>
      </c>
      <c r="C79" s="162">
        <v>2</v>
      </c>
      <c r="D79" s="162">
        <v>30</v>
      </c>
    </row>
    <row r="80" spans="1:4" ht="15.6" x14ac:dyDescent="0.3">
      <c r="A80" s="161" t="s">
        <v>1450</v>
      </c>
      <c r="B80" s="161" t="s">
        <v>1451</v>
      </c>
      <c r="C80" s="162">
        <v>5.77</v>
      </c>
      <c r="D80" s="162">
        <v>30</v>
      </c>
    </row>
    <row r="81" spans="1:4" ht="15.6" x14ac:dyDescent="0.3">
      <c r="A81" s="161" t="s">
        <v>496</v>
      </c>
      <c r="B81" s="161" t="s">
        <v>497</v>
      </c>
      <c r="C81" s="162">
        <v>5.92</v>
      </c>
      <c r="D81" s="162">
        <v>18.89</v>
      </c>
    </row>
    <row r="82" spans="1:4" ht="15.6" x14ac:dyDescent="0.3">
      <c r="A82" s="161" t="s">
        <v>501</v>
      </c>
      <c r="B82" s="161" t="s">
        <v>502</v>
      </c>
      <c r="C82" s="162">
        <v>5.41</v>
      </c>
      <c r="D82" s="162">
        <v>23.36</v>
      </c>
    </row>
    <row r="83" spans="1:4" ht="15.6" x14ac:dyDescent="0.3">
      <c r="A83" s="161" t="s">
        <v>2344</v>
      </c>
      <c r="B83" s="161" t="s">
        <v>3680</v>
      </c>
      <c r="C83" s="162">
        <v>10.5</v>
      </c>
      <c r="D83" s="162">
        <v>30</v>
      </c>
    </row>
    <row r="84" spans="1:4" ht="15.6" x14ac:dyDescent="0.3">
      <c r="A84" s="161" t="s">
        <v>588</v>
      </c>
      <c r="B84" s="161" t="s">
        <v>589</v>
      </c>
      <c r="C84" s="162">
        <v>10.5</v>
      </c>
      <c r="D84" s="162">
        <v>30</v>
      </c>
    </row>
    <row r="85" spans="1:4" ht="15.6" x14ac:dyDescent="0.3">
      <c r="A85" s="161" t="s">
        <v>2405</v>
      </c>
      <c r="B85" s="161" t="s">
        <v>2406</v>
      </c>
      <c r="C85" s="162">
        <v>10.5</v>
      </c>
      <c r="D85" s="162">
        <v>30</v>
      </c>
    </row>
    <row r="86" spans="1:4" ht="15.6" x14ac:dyDescent="0.3">
      <c r="A86" s="161" t="s">
        <v>4461</v>
      </c>
      <c r="B86" s="161" t="s">
        <v>4462</v>
      </c>
      <c r="C86" s="162">
        <v>10.5</v>
      </c>
      <c r="D86" s="162">
        <v>30</v>
      </c>
    </row>
    <row r="87" spans="1:4" ht="15.6" x14ac:dyDescent="0.3">
      <c r="A87" s="161" t="s">
        <v>252</v>
      </c>
      <c r="B87" s="161" t="s">
        <v>253</v>
      </c>
      <c r="C87" s="162">
        <v>3.22</v>
      </c>
      <c r="D87" s="162">
        <v>13.57</v>
      </c>
    </row>
    <row r="88" spans="1:4" ht="15.6" x14ac:dyDescent="0.3">
      <c r="A88" s="161" t="s">
        <v>323</v>
      </c>
      <c r="B88" s="161" t="s">
        <v>324</v>
      </c>
      <c r="C88" s="162">
        <v>10.5</v>
      </c>
      <c r="D88" s="162">
        <v>24.78</v>
      </c>
    </row>
    <row r="89" spans="1:4" ht="15.6" x14ac:dyDescent="0.3">
      <c r="A89" s="161" t="s">
        <v>3521</v>
      </c>
      <c r="B89" s="161" t="s">
        <v>3522</v>
      </c>
      <c r="C89" s="162">
        <v>10.5</v>
      </c>
      <c r="D89" s="162">
        <v>30</v>
      </c>
    </row>
    <row r="90" spans="1:4" ht="15.6" x14ac:dyDescent="0.3">
      <c r="A90" s="161" t="s">
        <v>4217</v>
      </c>
      <c r="B90" s="161" t="s">
        <v>5703</v>
      </c>
      <c r="C90" s="162">
        <v>10.5</v>
      </c>
      <c r="D90" s="162">
        <v>30</v>
      </c>
    </row>
    <row r="91" spans="1:4" ht="15.6" x14ac:dyDescent="0.3">
      <c r="A91" s="161" t="s">
        <v>2765</v>
      </c>
      <c r="B91" s="161" t="s">
        <v>2766</v>
      </c>
      <c r="C91" s="162">
        <v>6.27</v>
      </c>
      <c r="D91" s="162">
        <v>30</v>
      </c>
    </row>
    <row r="92" spans="1:4" ht="15.6" x14ac:dyDescent="0.3">
      <c r="A92" s="161" t="s">
        <v>827</v>
      </c>
      <c r="B92" s="161" t="s">
        <v>828</v>
      </c>
      <c r="C92" s="162">
        <v>10.5</v>
      </c>
      <c r="D92" s="162">
        <v>30</v>
      </c>
    </row>
    <row r="93" spans="1:4" ht="15.6" x14ac:dyDescent="0.3">
      <c r="A93" s="161" t="s">
        <v>2069</v>
      </c>
      <c r="B93" s="161" t="s">
        <v>2070</v>
      </c>
      <c r="C93" s="162">
        <v>4.4000000000000004</v>
      </c>
      <c r="D93" s="162">
        <v>30</v>
      </c>
    </row>
    <row r="94" spans="1:4" ht="15.6" x14ac:dyDescent="0.3">
      <c r="A94" s="161" t="s">
        <v>328</v>
      </c>
      <c r="B94" s="161" t="s">
        <v>329</v>
      </c>
      <c r="C94" s="162">
        <v>10.5</v>
      </c>
      <c r="D94" s="162">
        <v>30</v>
      </c>
    </row>
    <row r="95" spans="1:4" ht="15.6" x14ac:dyDescent="0.3">
      <c r="A95" s="161" t="s">
        <v>335</v>
      </c>
      <c r="B95" s="161" t="s">
        <v>336</v>
      </c>
      <c r="C95" s="162">
        <v>5.56</v>
      </c>
      <c r="D95" s="162">
        <v>18.97</v>
      </c>
    </row>
    <row r="96" spans="1:4" ht="15.6" x14ac:dyDescent="0.3">
      <c r="A96" s="161" t="s">
        <v>339</v>
      </c>
      <c r="B96" s="161" t="s">
        <v>340</v>
      </c>
      <c r="C96" s="162">
        <v>10.5</v>
      </c>
      <c r="D96" s="162">
        <v>30</v>
      </c>
    </row>
    <row r="97" spans="1:4" ht="15.6" x14ac:dyDescent="0.3">
      <c r="A97" s="161" t="s">
        <v>968</v>
      </c>
      <c r="B97" s="161" t="s">
        <v>969</v>
      </c>
      <c r="C97" s="162">
        <v>9.3000000000000007</v>
      </c>
      <c r="D97" s="162">
        <v>29.41</v>
      </c>
    </row>
    <row r="98" spans="1:4" ht="15.6" x14ac:dyDescent="0.3">
      <c r="A98" s="161" t="s">
        <v>209</v>
      </c>
      <c r="B98" s="161" t="s">
        <v>210</v>
      </c>
      <c r="C98" s="162">
        <v>10.5</v>
      </c>
      <c r="D98" s="162">
        <v>30</v>
      </c>
    </row>
    <row r="99" spans="1:4" ht="15.6" x14ac:dyDescent="0.3">
      <c r="A99" s="161" t="s">
        <v>214</v>
      </c>
      <c r="B99" s="161" t="s">
        <v>215</v>
      </c>
      <c r="C99" s="162">
        <v>5.27</v>
      </c>
      <c r="D99" s="162">
        <v>21.16</v>
      </c>
    </row>
    <row r="100" spans="1:4" ht="15.6" x14ac:dyDescent="0.3">
      <c r="A100" s="161" t="s">
        <v>233</v>
      </c>
      <c r="B100" s="161" t="s">
        <v>234</v>
      </c>
      <c r="C100" s="162">
        <v>5.09</v>
      </c>
      <c r="D100" s="162">
        <v>16.559999999999999</v>
      </c>
    </row>
    <row r="101" spans="1:4" ht="15.6" x14ac:dyDescent="0.3">
      <c r="A101" s="161" t="s">
        <v>243</v>
      </c>
      <c r="B101" s="161" t="s">
        <v>244</v>
      </c>
      <c r="C101" s="162">
        <v>10.5</v>
      </c>
      <c r="D101" s="162">
        <v>26.01</v>
      </c>
    </row>
    <row r="102" spans="1:4" ht="15.6" x14ac:dyDescent="0.3">
      <c r="A102" s="161" t="s">
        <v>3161</v>
      </c>
      <c r="B102" s="161" t="s">
        <v>3162</v>
      </c>
      <c r="C102" s="162">
        <v>10.5</v>
      </c>
      <c r="D102" s="162">
        <v>27.3</v>
      </c>
    </row>
    <row r="103" spans="1:4" ht="15.6" x14ac:dyDescent="0.3">
      <c r="A103" s="161" t="s">
        <v>247</v>
      </c>
      <c r="B103" s="161" t="s">
        <v>248</v>
      </c>
      <c r="C103" s="162">
        <v>10.5</v>
      </c>
      <c r="D103" s="162">
        <v>30</v>
      </c>
    </row>
    <row r="104" spans="1:4" ht="15.6" x14ac:dyDescent="0.3">
      <c r="A104" s="161" t="s">
        <v>4931</v>
      </c>
      <c r="B104" s="161" t="s">
        <v>4932</v>
      </c>
      <c r="C104" s="162">
        <v>10.5</v>
      </c>
      <c r="D104" s="162">
        <v>30</v>
      </c>
    </row>
    <row r="105" spans="1:4" ht="15.6" x14ac:dyDescent="0.3">
      <c r="A105" s="161" t="s">
        <v>1195</v>
      </c>
      <c r="B105" s="161" t="s">
        <v>1196</v>
      </c>
      <c r="C105" s="162">
        <v>10.5</v>
      </c>
      <c r="D105" s="162">
        <v>30</v>
      </c>
    </row>
    <row r="106" spans="1:4" ht="15.6" x14ac:dyDescent="0.3">
      <c r="A106" s="161" t="s">
        <v>2684</v>
      </c>
      <c r="B106" s="161" t="s">
        <v>2685</v>
      </c>
      <c r="C106" s="162">
        <v>10.5</v>
      </c>
      <c r="D106" s="162">
        <v>17.43</v>
      </c>
    </row>
    <row r="107" spans="1:4" ht="15.6" x14ac:dyDescent="0.3">
      <c r="A107" s="161" t="s">
        <v>1710</v>
      </c>
      <c r="B107" s="161" t="s">
        <v>1711</v>
      </c>
      <c r="C107" s="162">
        <v>10.5</v>
      </c>
      <c r="D107" s="162">
        <v>30</v>
      </c>
    </row>
    <row r="108" spans="1:4" ht="15.6" x14ac:dyDescent="0.3">
      <c r="A108" s="161" t="s">
        <v>4262</v>
      </c>
      <c r="B108" s="161" t="s">
        <v>4263</v>
      </c>
      <c r="C108" s="162">
        <v>10.5</v>
      </c>
      <c r="D108" s="162">
        <v>30</v>
      </c>
    </row>
    <row r="109" spans="1:4" ht="15.6" x14ac:dyDescent="0.3">
      <c r="A109" s="161" t="s">
        <v>1117</v>
      </c>
      <c r="B109" s="161" t="s">
        <v>1118</v>
      </c>
      <c r="C109" s="162">
        <v>6.26</v>
      </c>
      <c r="D109" s="162">
        <v>30</v>
      </c>
    </row>
    <row r="110" spans="1:4" ht="15.6" x14ac:dyDescent="0.3">
      <c r="A110" s="161" t="s">
        <v>166</v>
      </c>
      <c r="B110" s="161" t="s">
        <v>167</v>
      </c>
      <c r="C110" s="162">
        <v>7.61</v>
      </c>
      <c r="D110" s="162">
        <v>30</v>
      </c>
    </row>
    <row r="111" spans="1:4" ht="15.6" x14ac:dyDescent="0.3">
      <c r="A111" s="161" t="s">
        <v>97</v>
      </c>
      <c r="B111" s="161" t="s">
        <v>171</v>
      </c>
      <c r="C111" s="162">
        <v>4.4400000000000004</v>
      </c>
      <c r="D111" s="162">
        <v>25.03</v>
      </c>
    </row>
    <row r="112" spans="1:4" ht="15.6" x14ac:dyDescent="0.3">
      <c r="A112" s="161" t="s">
        <v>1127</v>
      </c>
      <c r="B112" s="161" t="s">
        <v>1128</v>
      </c>
      <c r="C112" s="162">
        <v>10.5</v>
      </c>
      <c r="D112" s="162">
        <v>30</v>
      </c>
    </row>
    <row r="113" spans="1:4" ht="15.6" x14ac:dyDescent="0.3">
      <c r="A113" s="161" t="s">
        <v>1966</v>
      </c>
      <c r="B113" s="161" t="s">
        <v>1967</v>
      </c>
      <c r="C113" s="162">
        <v>7.95</v>
      </c>
      <c r="D113" s="162">
        <v>30</v>
      </c>
    </row>
    <row r="114" spans="1:4" ht="15.6" x14ac:dyDescent="0.3">
      <c r="A114" s="161" t="s">
        <v>1578</v>
      </c>
      <c r="B114" s="161" t="s">
        <v>2605</v>
      </c>
      <c r="C114" s="162">
        <v>4.6399999999999997</v>
      </c>
      <c r="D114" s="162">
        <v>30</v>
      </c>
    </row>
    <row r="115" spans="1:4" ht="15.6" x14ac:dyDescent="0.3">
      <c r="A115" s="161" t="s">
        <v>1822</v>
      </c>
      <c r="B115" s="161" t="s">
        <v>2409</v>
      </c>
      <c r="C115" s="162">
        <v>10.5</v>
      </c>
      <c r="D115" s="162">
        <v>30</v>
      </c>
    </row>
    <row r="116" spans="1:4" ht="15.6" x14ac:dyDescent="0.3">
      <c r="A116" s="161" t="s">
        <v>1131</v>
      </c>
      <c r="B116" s="161" t="s">
        <v>1132</v>
      </c>
      <c r="C116" s="162">
        <v>10.5</v>
      </c>
      <c r="D116" s="162">
        <v>30</v>
      </c>
    </row>
    <row r="117" spans="1:4" ht="15.6" x14ac:dyDescent="0.3">
      <c r="A117" s="161" t="s">
        <v>177</v>
      </c>
      <c r="B117" s="161" t="s">
        <v>178</v>
      </c>
      <c r="C117" s="162">
        <v>5.3</v>
      </c>
      <c r="D117" s="162">
        <v>18.09</v>
      </c>
    </row>
    <row r="118" spans="1:4" ht="15.6" x14ac:dyDescent="0.3">
      <c r="A118" s="161" t="s">
        <v>2497</v>
      </c>
      <c r="B118" s="161" t="s">
        <v>2498</v>
      </c>
      <c r="C118" s="162">
        <v>10.5</v>
      </c>
      <c r="D118" s="162">
        <v>30</v>
      </c>
    </row>
    <row r="119" spans="1:4" ht="15.6" x14ac:dyDescent="0.3">
      <c r="A119" s="161" t="s">
        <v>204</v>
      </c>
      <c r="B119" s="161" t="s">
        <v>205</v>
      </c>
      <c r="C119" s="162">
        <v>4.34</v>
      </c>
      <c r="D119" s="162">
        <v>23.53</v>
      </c>
    </row>
    <row r="120" spans="1:4" ht="15.6" x14ac:dyDescent="0.3">
      <c r="A120" s="161" t="s">
        <v>124</v>
      </c>
      <c r="B120" s="161" t="s">
        <v>125</v>
      </c>
      <c r="C120" s="162">
        <v>8.07</v>
      </c>
      <c r="D120" s="162">
        <v>20.23</v>
      </c>
    </row>
    <row r="121" spans="1:4" ht="15.6" x14ac:dyDescent="0.3">
      <c r="A121" s="161" t="s">
        <v>136</v>
      </c>
      <c r="B121" s="161" t="s">
        <v>137</v>
      </c>
      <c r="C121" s="162">
        <v>6.04</v>
      </c>
      <c r="D121" s="162">
        <v>18.32</v>
      </c>
    </row>
    <row r="122" spans="1:4" ht="15.6" x14ac:dyDescent="0.3">
      <c r="A122" s="161" t="s">
        <v>140</v>
      </c>
      <c r="B122" s="161" t="s">
        <v>141</v>
      </c>
      <c r="C122" s="162">
        <v>10.5</v>
      </c>
      <c r="D122" s="162">
        <v>30</v>
      </c>
    </row>
    <row r="123" spans="1:4" ht="15.6" x14ac:dyDescent="0.3">
      <c r="A123" s="161" t="s">
        <v>145</v>
      </c>
      <c r="B123" s="161" t="s">
        <v>146</v>
      </c>
      <c r="C123" s="162">
        <v>7.88</v>
      </c>
      <c r="D123" s="162">
        <v>21.86</v>
      </c>
    </row>
    <row r="124" spans="1:4" ht="15.6" x14ac:dyDescent="0.3">
      <c r="A124" s="161" t="s">
        <v>149</v>
      </c>
      <c r="B124" s="161" t="s">
        <v>150</v>
      </c>
      <c r="C124" s="162">
        <v>10.5</v>
      </c>
      <c r="D124" s="162">
        <v>30</v>
      </c>
    </row>
    <row r="125" spans="1:4" ht="15.6" x14ac:dyDescent="0.3">
      <c r="A125" s="161" t="s">
        <v>1106</v>
      </c>
      <c r="B125" s="161" t="s">
        <v>1107</v>
      </c>
      <c r="C125" s="162">
        <v>10.5</v>
      </c>
      <c r="D125" s="162">
        <v>30</v>
      </c>
    </row>
    <row r="126" spans="1:4" ht="15.6" x14ac:dyDescent="0.3">
      <c r="A126" s="161" t="s">
        <v>154</v>
      </c>
      <c r="B126" s="161" t="s">
        <v>155</v>
      </c>
      <c r="C126" s="162">
        <v>10.5</v>
      </c>
      <c r="D126" s="162">
        <v>25.74</v>
      </c>
    </row>
    <row r="127" spans="1:4" ht="15.6" x14ac:dyDescent="0.3">
      <c r="A127" s="161" t="s">
        <v>4193</v>
      </c>
      <c r="B127" s="161" t="s">
        <v>4194</v>
      </c>
      <c r="C127" s="162">
        <v>10.5</v>
      </c>
      <c r="D127" s="162">
        <v>30</v>
      </c>
    </row>
    <row r="128" spans="1:4" ht="15.6" x14ac:dyDescent="0.3">
      <c r="A128" s="161" t="s">
        <v>1714</v>
      </c>
      <c r="B128" s="161" t="s">
        <v>1715</v>
      </c>
      <c r="C128" s="162">
        <v>7.24</v>
      </c>
      <c r="D128" s="162">
        <v>17.48</v>
      </c>
    </row>
    <row r="129" spans="1:4" ht="15.6" x14ac:dyDescent="0.3">
      <c r="A129" s="161" t="s">
        <v>159</v>
      </c>
      <c r="B129" s="161" t="s">
        <v>160</v>
      </c>
      <c r="C129" s="162">
        <v>0.62</v>
      </c>
      <c r="D129" s="162">
        <v>5.59</v>
      </c>
    </row>
    <row r="130" spans="1:4" ht="15.6" x14ac:dyDescent="0.3">
      <c r="A130" s="161" t="s">
        <v>730</v>
      </c>
      <c r="B130" s="161" t="s">
        <v>1114</v>
      </c>
      <c r="C130" s="162">
        <v>10.5</v>
      </c>
      <c r="D130" s="162">
        <v>26.08</v>
      </c>
    </row>
    <row r="131" spans="1:4" ht="15.6" x14ac:dyDescent="0.3">
      <c r="A131" s="161" t="s">
        <v>1923</v>
      </c>
      <c r="B131" s="161" t="s">
        <v>1924</v>
      </c>
      <c r="C131" s="162">
        <v>10.5</v>
      </c>
      <c r="D131" s="162">
        <v>30</v>
      </c>
    </row>
    <row r="132" spans="1:4" ht="15.6" x14ac:dyDescent="0.3">
      <c r="A132" s="161" t="s">
        <v>107</v>
      </c>
      <c r="B132" s="161" t="s">
        <v>108</v>
      </c>
      <c r="C132" s="162">
        <v>2.78</v>
      </c>
      <c r="D132" s="162">
        <v>17.75</v>
      </c>
    </row>
    <row r="133" spans="1:4" ht="15.6" x14ac:dyDescent="0.3">
      <c r="A133" s="161" t="s">
        <v>1088</v>
      </c>
      <c r="B133" s="161" t="s">
        <v>1089</v>
      </c>
      <c r="C133" s="162">
        <v>10.5</v>
      </c>
      <c r="D133" s="162">
        <v>30</v>
      </c>
    </row>
    <row r="134" spans="1:4" ht="15.6" x14ac:dyDescent="0.3">
      <c r="A134" s="161" t="s">
        <v>5174</v>
      </c>
      <c r="B134" s="161" t="s">
        <v>5378</v>
      </c>
      <c r="C134" s="162">
        <v>5.66</v>
      </c>
      <c r="D134" s="162">
        <v>30</v>
      </c>
    </row>
    <row r="135" spans="1:4" ht="15.6" x14ac:dyDescent="0.3">
      <c r="A135" s="161" t="s">
        <v>2578</v>
      </c>
      <c r="B135" s="161" t="s">
        <v>2579</v>
      </c>
      <c r="C135" s="162">
        <v>2.83</v>
      </c>
      <c r="D135" s="162">
        <v>23.16</v>
      </c>
    </row>
    <row r="136" spans="1:4" ht="15.6" x14ac:dyDescent="0.3">
      <c r="A136" s="161" t="s">
        <v>112</v>
      </c>
      <c r="B136" s="161" t="s">
        <v>113</v>
      </c>
      <c r="C136" s="162">
        <v>10.23</v>
      </c>
      <c r="D136" s="162">
        <v>30</v>
      </c>
    </row>
    <row r="137" spans="1:4" ht="15.6" x14ac:dyDescent="0.3">
      <c r="A137" s="161" t="s">
        <v>2412</v>
      </c>
      <c r="B137" s="161" t="s">
        <v>2413</v>
      </c>
      <c r="C137" s="162">
        <v>6.64</v>
      </c>
      <c r="D137" s="162">
        <v>30</v>
      </c>
    </row>
    <row r="138" spans="1:4" ht="15.6" x14ac:dyDescent="0.3">
      <c r="A138" s="161" t="s">
        <v>1929</v>
      </c>
      <c r="B138" s="161" t="s">
        <v>1930</v>
      </c>
      <c r="C138" s="162">
        <v>10.5</v>
      </c>
      <c r="D138" s="162">
        <v>30</v>
      </c>
    </row>
    <row r="139" spans="1:4" ht="15.6" x14ac:dyDescent="0.3">
      <c r="A139" s="161" t="s">
        <v>118</v>
      </c>
      <c r="B139" s="161" t="s">
        <v>119</v>
      </c>
      <c r="C139" s="162">
        <v>10.5</v>
      </c>
      <c r="D139" s="162">
        <v>30</v>
      </c>
    </row>
    <row r="140" spans="1:4" ht="15.6" x14ac:dyDescent="0.3">
      <c r="A140" s="161" t="s">
        <v>1933</v>
      </c>
      <c r="B140" s="161" t="s">
        <v>1934</v>
      </c>
      <c r="C140" s="162">
        <v>8.9700000000000006</v>
      </c>
      <c r="D140" s="162">
        <v>22.79</v>
      </c>
    </row>
    <row r="141" spans="1:4" ht="15.6" x14ac:dyDescent="0.3">
      <c r="A141" s="161" t="s">
        <v>832</v>
      </c>
      <c r="B141" s="161" t="s">
        <v>833</v>
      </c>
      <c r="C141" s="162">
        <v>10.5</v>
      </c>
      <c r="D141" s="162">
        <v>30</v>
      </c>
    </row>
    <row r="142" spans="1:4" ht="15.6" x14ac:dyDescent="0.3">
      <c r="A142" s="161" t="s">
        <v>65</v>
      </c>
      <c r="B142" s="161" t="s">
        <v>66</v>
      </c>
      <c r="C142" s="162">
        <v>7.04</v>
      </c>
      <c r="D142" s="162">
        <v>30</v>
      </c>
    </row>
    <row r="143" spans="1:4" ht="15.6" x14ac:dyDescent="0.3">
      <c r="A143" s="161" t="s">
        <v>70</v>
      </c>
      <c r="B143" s="161" t="s">
        <v>71</v>
      </c>
      <c r="C143" s="162">
        <v>3.44</v>
      </c>
      <c r="D143" s="162">
        <v>17.46</v>
      </c>
    </row>
    <row r="144" spans="1:4" ht="15.6" x14ac:dyDescent="0.3">
      <c r="A144" s="161" t="s">
        <v>76</v>
      </c>
      <c r="B144" s="161" t="s">
        <v>77</v>
      </c>
      <c r="C144" s="162">
        <v>2.94</v>
      </c>
      <c r="D144" s="162">
        <v>30</v>
      </c>
    </row>
    <row r="145" spans="1:4" ht="15.6" x14ac:dyDescent="0.3">
      <c r="A145" s="161" t="s">
        <v>80</v>
      </c>
      <c r="B145" s="161" t="s">
        <v>81</v>
      </c>
      <c r="C145" s="162">
        <v>8.42</v>
      </c>
      <c r="D145" s="162">
        <v>30</v>
      </c>
    </row>
    <row r="146" spans="1:4" ht="15.6" x14ac:dyDescent="0.3">
      <c r="A146" s="161" t="s">
        <v>85</v>
      </c>
      <c r="B146" s="161" t="s">
        <v>86</v>
      </c>
      <c r="C146" s="162">
        <v>8.92</v>
      </c>
      <c r="D146" s="162">
        <v>25.4</v>
      </c>
    </row>
    <row r="147" spans="1:4" ht="15.6" x14ac:dyDescent="0.3">
      <c r="A147" s="161" t="s">
        <v>838</v>
      </c>
      <c r="B147" s="161" t="s">
        <v>839</v>
      </c>
      <c r="C147" s="162">
        <v>7.45</v>
      </c>
      <c r="D147" s="162">
        <v>24.33</v>
      </c>
    </row>
    <row r="148" spans="1:4" ht="15.6" x14ac:dyDescent="0.3">
      <c r="A148" s="161" t="s">
        <v>102</v>
      </c>
      <c r="B148" s="161" t="s">
        <v>103</v>
      </c>
      <c r="C148" s="162">
        <v>10.5</v>
      </c>
      <c r="D148" s="162">
        <v>30</v>
      </c>
    </row>
    <row r="149" spans="1:4" ht="15.6" x14ac:dyDescent="0.3">
      <c r="A149" s="161" t="s">
        <v>846</v>
      </c>
      <c r="B149" s="161" t="s">
        <v>847</v>
      </c>
      <c r="C149" s="162">
        <v>10.5</v>
      </c>
      <c r="D149" s="162">
        <v>30</v>
      </c>
    </row>
    <row r="150" spans="1:4" ht="15.6" x14ac:dyDescent="0.3">
      <c r="A150" s="161" t="s">
        <v>1078</v>
      </c>
      <c r="B150" s="161" t="s">
        <v>1079</v>
      </c>
      <c r="C150" s="162">
        <v>6.64</v>
      </c>
      <c r="D150" s="162">
        <v>30</v>
      </c>
    </row>
    <row r="151" spans="1:4" ht="15.6" x14ac:dyDescent="0.3">
      <c r="A151" s="161" t="s">
        <v>188</v>
      </c>
      <c r="B151" s="161" t="s">
        <v>1916</v>
      </c>
      <c r="C151" s="162">
        <v>7.15</v>
      </c>
      <c r="D151" s="162">
        <v>22.13</v>
      </c>
    </row>
    <row r="152" spans="1:4" ht="15.6" x14ac:dyDescent="0.3">
      <c r="A152" s="161" t="s">
        <v>1082</v>
      </c>
      <c r="B152" s="161" t="s">
        <v>1083</v>
      </c>
      <c r="C152" s="162">
        <v>3.02</v>
      </c>
      <c r="D152" s="162">
        <v>30</v>
      </c>
    </row>
    <row r="153" spans="1:4" ht="15.6" x14ac:dyDescent="0.3">
      <c r="A153" s="161" t="s">
        <v>1040</v>
      </c>
      <c r="B153" s="161" t="s">
        <v>1041</v>
      </c>
      <c r="C153" s="162">
        <v>10.5</v>
      </c>
      <c r="D153" s="162">
        <v>30</v>
      </c>
    </row>
    <row r="154" spans="1:4" ht="15.6" x14ac:dyDescent="0.3">
      <c r="A154" s="161" t="s">
        <v>40</v>
      </c>
      <c r="B154" s="161" t="s">
        <v>41</v>
      </c>
      <c r="C154" s="162">
        <v>10.5</v>
      </c>
      <c r="D154" s="162">
        <v>28.41</v>
      </c>
    </row>
    <row r="155" spans="1:4" ht="15.6" x14ac:dyDescent="0.3">
      <c r="A155" s="161" t="s">
        <v>3333</v>
      </c>
      <c r="B155" s="161" t="s">
        <v>3334</v>
      </c>
      <c r="C155" s="162">
        <v>10.5</v>
      </c>
      <c r="D155" s="162">
        <v>13.96</v>
      </c>
    </row>
    <row r="156" spans="1:4" ht="15.6" x14ac:dyDescent="0.3">
      <c r="A156" s="161" t="s">
        <v>46</v>
      </c>
      <c r="B156" s="161" t="s">
        <v>47</v>
      </c>
      <c r="C156" s="162">
        <v>10.5</v>
      </c>
      <c r="D156" s="162">
        <v>30</v>
      </c>
    </row>
    <row r="157" spans="1:4" ht="15.6" x14ac:dyDescent="0.3">
      <c r="A157" s="161" t="s">
        <v>1048</v>
      </c>
      <c r="B157" s="161" t="s">
        <v>1049</v>
      </c>
      <c r="C157" s="162">
        <v>10.5</v>
      </c>
      <c r="D157" s="162">
        <v>30</v>
      </c>
    </row>
    <row r="158" spans="1:4" ht="15.6" x14ac:dyDescent="0.3">
      <c r="A158" s="161" t="s">
        <v>1732</v>
      </c>
      <c r="B158" s="161" t="s">
        <v>1733</v>
      </c>
      <c r="C158" s="162">
        <v>10.5</v>
      </c>
      <c r="D158" s="162">
        <v>27.19</v>
      </c>
    </row>
    <row r="159" spans="1:4" ht="15.6" x14ac:dyDescent="0.3">
      <c r="A159" s="161" t="s">
        <v>52</v>
      </c>
      <c r="B159" s="161" t="s">
        <v>53</v>
      </c>
      <c r="C159" s="162">
        <v>4.55</v>
      </c>
      <c r="D159" s="162">
        <v>30</v>
      </c>
    </row>
    <row r="160" spans="1:4" ht="15.6" x14ac:dyDescent="0.3">
      <c r="A160" s="161" t="s">
        <v>57</v>
      </c>
      <c r="B160" s="161" t="s">
        <v>58</v>
      </c>
      <c r="C160" s="162">
        <v>6.27</v>
      </c>
      <c r="D160" s="162">
        <v>26.78</v>
      </c>
    </row>
    <row r="161" spans="1:4" ht="15.6" x14ac:dyDescent="0.3">
      <c r="A161" s="161" t="s">
        <v>850</v>
      </c>
      <c r="B161" s="161" t="s">
        <v>851</v>
      </c>
      <c r="C161" s="162">
        <v>10.5</v>
      </c>
      <c r="D161" s="162">
        <v>30</v>
      </c>
    </row>
    <row r="162" spans="1:4" ht="15.6" x14ac:dyDescent="0.3">
      <c r="A162" s="161" t="s">
        <v>2558</v>
      </c>
      <c r="B162" s="161" t="s">
        <v>2559</v>
      </c>
      <c r="C162" s="162">
        <v>10.36</v>
      </c>
      <c r="D162" s="162">
        <v>13.18</v>
      </c>
    </row>
    <row r="163" spans="1:4" ht="15.6" x14ac:dyDescent="0.3">
      <c r="A163" s="161" t="s">
        <v>1053</v>
      </c>
      <c r="B163" s="161" t="s">
        <v>1054</v>
      </c>
      <c r="C163" s="162">
        <v>10.5</v>
      </c>
      <c r="D163" s="162">
        <v>30</v>
      </c>
    </row>
    <row r="164" spans="1:4" ht="15.6" x14ac:dyDescent="0.3">
      <c r="A164" s="161" t="s">
        <v>1020</v>
      </c>
      <c r="B164" s="161" t="s">
        <v>1021</v>
      </c>
      <c r="C164" s="162">
        <v>4.03</v>
      </c>
      <c r="D164" s="162">
        <v>17.25</v>
      </c>
    </row>
    <row r="165" spans="1:4" ht="15.6" x14ac:dyDescent="0.3">
      <c r="A165" s="161" t="s">
        <v>3315</v>
      </c>
      <c r="B165" s="161" t="s">
        <v>3316</v>
      </c>
      <c r="C165" s="162">
        <v>6.62</v>
      </c>
      <c r="D165" s="162">
        <v>16.95</v>
      </c>
    </row>
    <row r="166" spans="1:4" ht="15.6" x14ac:dyDescent="0.3">
      <c r="A166" s="161" t="s">
        <v>973</v>
      </c>
      <c r="B166" s="161" t="s">
        <v>974</v>
      </c>
      <c r="C166" s="162">
        <v>10.5</v>
      </c>
      <c r="D166" s="162">
        <v>26.62</v>
      </c>
    </row>
    <row r="167" spans="1:4" ht="15.6" x14ac:dyDescent="0.3">
      <c r="A167" s="161" t="s">
        <v>2538</v>
      </c>
      <c r="B167" s="161" t="s">
        <v>2539</v>
      </c>
      <c r="C167" s="162">
        <v>4.99</v>
      </c>
      <c r="D167" s="162">
        <v>30</v>
      </c>
    </row>
    <row r="168" spans="1:4" ht="15.6" x14ac:dyDescent="0.3">
      <c r="A168" s="161" t="s">
        <v>3309</v>
      </c>
      <c r="B168" s="161" t="s">
        <v>3310</v>
      </c>
      <c r="C168" s="162">
        <v>10.5</v>
      </c>
      <c r="D168" s="162">
        <v>30</v>
      </c>
    </row>
    <row r="169" spans="1:4" ht="15.6" x14ac:dyDescent="0.3">
      <c r="A169" s="161" t="s">
        <v>1028</v>
      </c>
      <c r="B169" s="161" t="s">
        <v>1029</v>
      </c>
      <c r="C169" s="162">
        <v>10.5</v>
      </c>
      <c r="D169" s="162">
        <v>30</v>
      </c>
    </row>
    <row r="170" spans="1:4" ht="15.6" x14ac:dyDescent="0.3">
      <c r="A170" s="161" t="s">
        <v>2542</v>
      </c>
      <c r="B170" s="161" t="s">
        <v>2543</v>
      </c>
      <c r="C170" s="162">
        <v>10.31</v>
      </c>
      <c r="D170" s="162">
        <v>30</v>
      </c>
    </row>
    <row r="171" spans="1:4" ht="15.6" x14ac:dyDescent="0.3">
      <c r="A171" s="161" t="s">
        <v>855</v>
      </c>
      <c r="B171" s="161" t="s">
        <v>856</v>
      </c>
      <c r="C171" s="162">
        <v>10.5</v>
      </c>
      <c r="D171" s="162">
        <v>30</v>
      </c>
    </row>
    <row r="172" spans="1:4" ht="15.6" x14ac:dyDescent="0.3">
      <c r="A172" s="161" t="s">
        <v>1032</v>
      </c>
      <c r="B172" s="161" t="s">
        <v>1033</v>
      </c>
      <c r="C172" s="162">
        <v>10.5</v>
      </c>
      <c r="D172" s="162">
        <v>30</v>
      </c>
    </row>
    <row r="173" spans="1:4" ht="15.6" x14ac:dyDescent="0.3">
      <c r="A173" s="161" t="s">
        <v>21</v>
      </c>
      <c r="B173" s="161" t="s">
        <v>22</v>
      </c>
      <c r="C173" s="162">
        <v>9.6300000000000008</v>
      </c>
      <c r="D173" s="162">
        <v>30</v>
      </c>
    </row>
    <row r="174" spans="1:4" ht="15.6" x14ac:dyDescent="0.3">
      <c r="A174" s="161" t="s">
        <v>859</v>
      </c>
      <c r="B174" s="161" t="s">
        <v>860</v>
      </c>
      <c r="C174" s="162">
        <v>7.75</v>
      </c>
      <c r="D174" s="162">
        <v>26.68</v>
      </c>
    </row>
    <row r="175" spans="1:4" ht="15.6" x14ac:dyDescent="0.3">
      <c r="A175" s="161" t="s">
        <v>480</v>
      </c>
      <c r="B175" s="161" t="s">
        <v>6595</v>
      </c>
      <c r="C175" s="162">
        <v>7.56</v>
      </c>
      <c r="D175" s="162">
        <v>20.6</v>
      </c>
    </row>
    <row r="176" spans="1:4" ht="15.6" x14ac:dyDescent="0.3">
      <c r="A176" s="161" t="s">
        <v>1423</v>
      </c>
      <c r="B176" s="161" t="s">
        <v>1424</v>
      </c>
      <c r="C176" s="162">
        <v>8.08</v>
      </c>
      <c r="D176" s="162">
        <v>25.24</v>
      </c>
    </row>
    <row r="177" spans="1:4" ht="15.6" x14ac:dyDescent="0.3">
      <c r="A177" s="161" t="s">
        <v>863</v>
      </c>
      <c r="B177" s="161" t="s">
        <v>864</v>
      </c>
      <c r="C177" s="162">
        <v>10.5</v>
      </c>
      <c r="D177" s="162">
        <v>24.22</v>
      </c>
    </row>
    <row r="178" spans="1:4" ht="15.6" x14ac:dyDescent="0.3">
      <c r="A178" s="161" t="s">
        <v>1429</v>
      </c>
      <c r="B178" s="161" t="s">
        <v>1430</v>
      </c>
      <c r="C178" s="162">
        <v>8.4700000000000006</v>
      </c>
      <c r="D178" s="162">
        <v>27.88</v>
      </c>
    </row>
    <row r="179" spans="1:4" ht="15.6" x14ac:dyDescent="0.3">
      <c r="A179" s="161" t="s">
        <v>1433</v>
      </c>
      <c r="B179" s="161" t="s">
        <v>1434</v>
      </c>
      <c r="C179" s="162">
        <v>5.24</v>
      </c>
      <c r="D179" s="162">
        <v>23.35</v>
      </c>
    </row>
    <row r="180" spans="1:4" ht="15.6" x14ac:dyDescent="0.3">
      <c r="A180" s="161" t="s">
        <v>491</v>
      </c>
      <c r="B180" s="161" t="s">
        <v>492</v>
      </c>
      <c r="C180" s="162">
        <v>3.19</v>
      </c>
      <c r="D180" s="162">
        <v>30</v>
      </c>
    </row>
    <row r="181" spans="1:4" ht="15.6" x14ac:dyDescent="0.3">
      <c r="A181" s="161" t="s">
        <v>3178</v>
      </c>
      <c r="B181" s="161" t="s">
        <v>3179</v>
      </c>
      <c r="C181" s="162">
        <v>0.02</v>
      </c>
      <c r="D181" s="162">
        <v>30</v>
      </c>
    </row>
    <row r="182" spans="1:4" ht="15.6" x14ac:dyDescent="0.3">
      <c r="A182" s="161" t="s">
        <v>1437</v>
      </c>
      <c r="B182" s="161" t="s">
        <v>1438</v>
      </c>
      <c r="C182" s="162">
        <v>8.56</v>
      </c>
      <c r="D182" s="162">
        <v>30</v>
      </c>
    </row>
    <row r="183" spans="1:4" ht="15.6" x14ac:dyDescent="0.3">
      <c r="A183" s="161" t="s">
        <v>1441</v>
      </c>
      <c r="B183" s="161" t="s">
        <v>1442</v>
      </c>
      <c r="C183" s="162">
        <v>2.4500000000000002</v>
      </c>
      <c r="D183" s="162">
        <v>30</v>
      </c>
    </row>
    <row r="184" spans="1:4" ht="15.6" x14ac:dyDescent="0.3">
      <c r="A184" s="161" t="s">
        <v>2515</v>
      </c>
      <c r="B184" s="161" t="s">
        <v>2516</v>
      </c>
      <c r="C184" s="162">
        <v>9.3800000000000008</v>
      </c>
      <c r="D184" s="162">
        <v>30</v>
      </c>
    </row>
    <row r="185" spans="1:4" ht="15.6" x14ac:dyDescent="0.3">
      <c r="A185" s="161" t="s">
        <v>3272</v>
      </c>
      <c r="B185" s="161" t="s">
        <v>3273</v>
      </c>
      <c r="C185" s="162">
        <v>10.5</v>
      </c>
      <c r="D185" s="162">
        <v>30</v>
      </c>
    </row>
    <row r="186" spans="1:4" ht="15.6" x14ac:dyDescent="0.3">
      <c r="A186" s="161" t="s">
        <v>886</v>
      </c>
      <c r="B186" s="161" t="s">
        <v>887</v>
      </c>
      <c r="C186" s="162">
        <v>10.5</v>
      </c>
      <c r="D186" s="162">
        <v>30</v>
      </c>
    </row>
    <row r="187" spans="1:4" ht="15.6" x14ac:dyDescent="0.3">
      <c r="A187" s="161" t="s">
        <v>882</v>
      </c>
      <c r="B187" s="161" t="s">
        <v>883</v>
      </c>
      <c r="C187" s="162">
        <v>10.5</v>
      </c>
      <c r="D187" s="162">
        <v>30</v>
      </c>
    </row>
    <row r="188" spans="1:4" ht="15.6" x14ac:dyDescent="0.3">
      <c r="A188" s="161" t="s">
        <v>1007</v>
      </c>
      <c r="B188" s="161" t="s">
        <v>1008</v>
      </c>
      <c r="C188" s="162">
        <v>10.5</v>
      </c>
      <c r="D188" s="162">
        <v>28.37</v>
      </c>
    </row>
    <row r="189" spans="1:4" ht="15.6" x14ac:dyDescent="0.3">
      <c r="A189" s="161" t="s">
        <v>6596</v>
      </c>
      <c r="B189" s="161" t="s">
        <v>6597</v>
      </c>
      <c r="C189" s="162">
        <v>10.5</v>
      </c>
      <c r="D189" s="162">
        <v>30</v>
      </c>
    </row>
    <row r="190" spans="1:4" ht="15.6" x14ac:dyDescent="0.3">
      <c r="A190" s="161" t="s">
        <v>6598</v>
      </c>
      <c r="B190" s="161" t="s">
        <v>6599</v>
      </c>
      <c r="C190" s="162">
        <v>10.5</v>
      </c>
      <c r="D190" s="162">
        <v>30</v>
      </c>
    </row>
    <row r="191" spans="1:4" ht="15.6" x14ac:dyDescent="0.3">
      <c r="A191" s="161" t="s">
        <v>6600</v>
      </c>
      <c r="B191" s="161" t="s">
        <v>6601</v>
      </c>
      <c r="C191" s="162">
        <v>10.5</v>
      </c>
      <c r="D191" s="162">
        <v>7.46</v>
      </c>
    </row>
    <row r="192" spans="1:4" ht="15.6" x14ac:dyDescent="0.3">
      <c r="A192" s="161" t="s">
        <v>6602</v>
      </c>
      <c r="B192" s="161" t="s">
        <v>6603</v>
      </c>
      <c r="C192" s="162">
        <v>10.5</v>
      </c>
      <c r="D192" s="162">
        <v>30</v>
      </c>
    </row>
    <row r="193" spans="1:4" ht="15.6" x14ac:dyDescent="0.3">
      <c r="A193" s="161" t="s">
        <v>932</v>
      </c>
      <c r="B193" s="161" t="s">
        <v>1002</v>
      </c>
      <c r="C193" s="162">
        <v>10.5</v>
      </c>
      <c r="D193" s="162">
        <v>25.95</v>
      </c>
    </row>
    <row r="194" spans="1:4" ht="15.6" x14ac:dyDescent="0.3">
      <c r="A194" s="161" t="s">
        <v>4806</v>
      </c>
      <c r="B194" s="161" t="s">
        <v>6604</v>
      </c>
      <c r="C194" s="162">
        <v>10.5</v>
      </c>
      <c r="D194" s="162">
        <v>30</v>
      </c>
    </row>
    <row r="195" spans="1:4" ht="15.6" x14ac:dyDescent="0.3">
      <c r="A195" s="161" t="s">
        <v>6605</v>
      </c>
      <c r="B195" s="161" t="s">
        <v>6606</v>
      </c>
      <c r="C195" s="162">
        <v>10.5</v>
      </c>
      <c r="D195" s="162">
        <v>16.2</v>
      </c>
    </row>
    <row r="196" spans="1:4" ht="15.6" x14ac:dyDescent="0.3">
      <c r="A196" s="161" t="s">
        <v>3297</v>
      </c>
      <c r="B196" s="161" t="s">
        <v>3298</v>
      </c>
      <c r="C196" s="162">
        <v>10.5</v>
      </c>
      <c r="D196" s="162">
        <v>16.2</v>
      </c>
    </row>
    <row r="197" spans="1:4" ht="15.6" x14ac:dyDescent="0.3">
      <c r="A197" s="161" t="s">
        <v>6607</v>
      </c>
      <c r="B197" s="161" t="s">
        <v>6608</v>
      </c>
      <c r="C197" s="162">
        <v>10.5</v>
      </c>
      <c r="D197" s="162">
        <v>15.6</v>
      </c>
    </row>
    <row r="198" spans="1:4" ht="15.6" x14ac:dyDescent="0.3">
      <c r="A198" s="161" t="s">
        <v>5773</v>
      </c>
      <c r="B198" s="161" t="s">
        <v>6609</v>
      </c>
      <c r="C198" s="162">
        <v>10.5</v>
      </c>
      <c r="D198" s="162">
        <v>25.79</v>
      </c>
    </row>
    <row r="199" spans="1:4" ht="15.6" x14ac:dyDescent="0.3">
      <c r="A199" s="161" t="s">
        <v>6610</v>
      </c>
      <c r="B199" s="161" t="s">
        <v>6611</v>
      </c>
      <c r="C199" s="162">
        <v>10.5</v>
      </c>
      <c r="D199" s="162">
        <v>30</v>
      </c>
    </row>
    <row r="200" spans="1:4" ht="15.6" x14ac:dyDescent="0.3">
      <c r="A200" s="161" t="s">
        <v>6612</v>
      </c>
      <c r="B200" s="161" t="s">
        <v>6613</v>
      </c>
      <c r="C200" s="162">
        <v>10.5</v>
      </c>
      <c r="D200" s="162">
        <v>30</v>
      </c>
    </row>
    <row r="201" spans="1:4" ht="15.6" x14ac:dyDescent="0.3">
      <c r="A201" s="161" t="s">
        <v>6614</v>
      </c>
      <c r="B201" s="161" t="s">
        <v>6615</v>
      </c>
      <c r="C201" s="162">
        <v>0</v>
      </c>
      <c r="D201" s="162">
        <v>0</v>
      </c>
    </row>
    <row r="202" spans="1:4" ht="15.6" x14ac:dyDescent="0.3">
      <c r="A202" s="161" t="s">
        <v>2145</v>
      </c>
      <c r="B202" s="161" t="s">
        <v>6616</v>
      </c>
      <c r="C202" s="162">
        <v>10.5</v>
      </c>
      <c r="D202" s="162">
        <v>19.600000000000001</v>
      </c>
    </row>
    <row r="203" spans="1:4" ht="15.6" x14ac:dyDescent="0.3">
      <c r="A203" s="161" t="s">
        <v>1726</v>
      </c>
      <c r="B203" s="161" t="s">
        <v>4102</v>
      </c>
      <c r="C203" s="162">
        <v>2.88</v>
      </c>
      <c r="D203" s="162">
        <v>6.04</v>
      </c>
    </row>
    <row r="204" spans="1:4" ht="15.6" x14ac:dyDescent="0.3">
      <c r="A204" s="161" t="s">
        <v>6617</v>
      </c>
      <c r="B204" s="161" t="s">
        <v>6618</v>
      </c>
      <c r="C204" s="162">
        <v>10.5</v>
      </c>
      <c r="D204" s="162">
        <v>30</v>
      </c>
    </row>
    <row r="205" spans="1:4" ht="15.6" x14ac:dyDescent="0.3">
      <c r="A205" s="161" t="s">
        <v>5084</v>
      </c>
      <c r="B205" s="161" t="s">
        <v>6619</v>
      </c>
      <c r="C205" s="162">
        <v>0</v>
      </c>
      <c r="D205" s="162">
        <v>0</v>
      </c>
    </row>
    <row r="206" spans="1:4" ht="15.6" x14ac:dyDescent="0.3">
      <c r="A206" s="161" t="s">
        <v>6620</v>
      </c>
      <c r="B206" s="161" t="s">
        <v>6621</v>
      </c>
      <c r="C206" s="162">
        <v>10.5</v>
      </c>
      <c r="D206" s="162">
        <v>30</v>
      </c>
    </row>
    <row r="207" spans="1:4" ht="15.6" x14ac:dyDescent="0.3">
      <c r="A207" s="161" t="s">
        <v>6622</v>
      </c>
      <c r="B207" s="161" t="s">
        <v>6623</v>
      </c>
      <c r="C207" s="162">
        <v>10.5</v>
      </c>
      <c r="D207" s="162">
        <v>30</v>
      </c>
    </row>
    <row r="208" spans="1:4" ht="15.6" x14ac:dyDescent="0.3">
      <c r="A208" s="161" t="s">
        <v>6624</v>
      </c>
      <c r="B208" s="161" t="s">
        <v>6625</v>
      </c>
      <c r="C208" s="162">
        <v>0</v>
      </c>
      <c r="D208" s="162">
        <v>0</v>
      </c>
    </row>
    <row r="209" spans="1:4" ht="15.6" x14ac:dyDescent="0.3">
      <c r="A209" s="161" t="s">
        <v>6626</v>
      </c>
      <c r="B209" s="161" t="s">
        <v>6627</v>
      </c>
      <c r="C209" s="162">
        <v>0</v>
      </c>
      <c r="D209" s="162">
        <v>0</v>
      </c>
    </row>
    <row r="210" spans="1:4" ht="15.6" x14ac:dyDescent="0.3">
      <c r="A210" s="161" t="s">
        <v>997</v>
      </c>
      <c r="B210" s="161" t="s">
        <v>998</v>
      </c>
      <c r="C210" s="162">
        <v>0.64</v>
      </c>
      <c r="D210" s="162">
        <v>4.41</v>
      </c>
    </row>
    <row r="211" spans="1:4" ht="15.6" x14ac:dyDescent="0.3">
      <c r="A211" s="161" t="s">
        <v>1883</v>
      </c>
      <c r="B211" s="161" t="s">
        <v>1884</v>
      </c>
      <c r="C211" s="162">
        <v>10.5</v>
      </c>
      <c r="D211" s="162">
        <v>20.94</v>
      </c>
    </row>
    <row r="212" spans="1:4" ht="15.6" x14ac:dyDescent="0.3">
      <c r="A212" s="164"/>
      <c r="B212" s="164"/>
      <c r="D212" s="165"/>
    </row>
    <row r="215" spans="1:4" ht="15.6" x14ac:dyDescent="0.3"/>
  </sheetData>
  <printOptions horizontalCentered="1"/>
  <pageMargins left="0.5" right="0.5" top="0.75" bottom="0.75" header="0.3" footer="0.3"/>
  <pageSetup scale="78" fitToHeight="0" orientation="portrait" horizontalDpi="1200" verticalDpi="1200" r:id="rId1"/>
  <headerFooter>
    <oddFooter>&amp;CPage &amp;P of &amp;N
Final Indirect Cost Rates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H15"/>
  <sheetViews>
    <sheetView workbookViewId="0">
      <selection activeCell="A21" sqref="A21"/>
    </sheetView>
  </sheetViews>
  <sheetFormatPr defaultColWidth="8.5546875" defaultRowHeight="13.8" x14ac:dyDescent="0.3"/>
  <cols>
    <col min="1" max="1" width="46.44140625" style="2" bestFit="1" customWidth="1"/>
    <col min="2" max="2" width="8.5546875" style="2"/>
    <col min="3" max="3" width="12.5546875" style="2" bestFit="1" customWidth="1"/>
    <col min="4" max="7" width="8.5546875" style="2"/>
    <col min="8" max="8" width="62.44140625" style="2" bestFit="1" customWidth="1"/>
    <col min="9" max="16384" width="8.5546875" style="2"/>
  </cols>
  <sheetData>
    <row r="1" spans="1:8" x14ac:dyDescent="0.3">
      <c r="A1" s="2" t="s">
        <v>6236</v>
      </c>
      <c r="B1" s="2" t="s">
        <v>6242</v>
      </c>
      <c r="C1" s="2" t="s">
        <v>6578</v>
      </c>
      <c r="D1" s="2" t="s">
        <v>6574</v>
      </c>
      <c r="F1" s="2" t="s">
        <v>6499</v>
      </c>
      <c r="H1" s="2" t="s">
        <v>6526</v>
      </c>
    </row>
    <row r="2" spans="1:8" x14ac:dyDescent="0.3">
      <c r="A2" s="2" t="s">
        <v>6567</v>
      </c>
      <c r="B2" s="2" t="s">
        <v>6243</v>
      </c>
      <c r="C2" s="2" t="s">
        <v>6579</v>
      </c>
      <c r="D2" s="2" t="s">
        <v>6575</v>
      </c>
      <c r="F2" s="2" t="s">
        <v>6523</v>
      </c>
      <c r="H2" s="2" t="s">
        <v>6527</v>
      </c>
    </row>
    <row r="3" spans="1:8" x14ac:dyDescent="0.3">
      <c r="A3" s="2" t="s">
        <v>6234</v>
      </c>
      <c r="B3" s="2" t="s">
        <v>6244</v>
      </c>
      <c r="C3" s="2" t="s">
        <v>6580</v>
      </c>
      <c r="D3" s="2" t="s">
        <v>6576</v>
      </c>
      <c r="F3" s="2" t="s">
        <v>6500</v>
      </c>
      <c r="H3" s="2" t="s">
        <v>6528</v>
      </c>
    </row>
    <row r="4" spans="1:8" x14ac:dyDescent="0.3">
      <c r="A4" s="2" t="s">
        <v>6568</v>
      </c>
      <c r="B4" s="2" t="s">
        <v>6245</v>
      </c>
      <c r="C4" s="2" t="s">
        <v>6581</v>
      </c>
      <c r="D4" s="2" t="s">
        <v>6577</v>
      </c>
      <c r="H4" s="2" t="s">
        <v>6529</v>
      </c>
    </row>
    <row r="5" spans="1:8" x14ac:dyDescent="0.3">
      <c r="A5" s="2" t="s">
        <v>6233</v>
      </c>
      <c r="B5" s="2" t="s">
        <v>6246</v>
      </c>
      <c r="C5" s="2" t="s">
        <v>6564</v>
      </c>
      <c r="H5" s="2" t="s">
        <v>6530</v>
      </c>
    </row>
    <row r="6" spans="1:8" x14ac:dyDescent="0.3">
      <c r="A6" s="2" t="s">
        <v>6573</v>
      </c>
      <c r="B6" s="2" t="s">
        <v>6491</v>
      </c>
      <c r="H6" s="2" t="s">
        <v>6531</v>
      </c>
    </row>
    <row r="7" spans="1:8" x14ac:dyDescent="0.3">
      <c r="A7" s="2" t="s">
        <v>6468</v>
      </c>
      <c r="B7" s="2" t="s">
        <v>6492</v>
      </c>
      <c r="H7" s="2" t="s">
        <v>6532</v>
      </c>
    </row>
    <row r="8" spans="1:8" x14ac:dyDescent="0.3">
      <c r="A8" s="2" t="s">
        <v>6569</v>
      </c>
      <c r="H8" s="2" t="s">
        <v>6533</v>
      </c>
    </row>
    <row r="9" spans="1:8" x14ac:dyDescent="0.3">
      <c r="A9" s="2" t="s">
        <v>6235</v>
      </c>
      <c r="H9" s="2" t="s">
        <v>6534</v>
      </c>
    </row>
    <row r="10" spans="1:8" x14ac:dyDescent="0.3">
      <c r="A10" s="2" t="s">
        <v>6570</v>
      </c>
      <c r="H10" s="2" t="s">
        <v>6535</v>
      </c>
    </row>
    <row r="11" spans="1:8" x14ac:dyDescent="0.3">
      <c r="A11" s="2" t="s">
        <v>6571</v>
      </c>
      <c r="H11" s="2" t="s">
        <v>6536</v>
      </c>
    </row>
    <row r="12" spans="1:8" x14ac:dyDescent="0.3">
      <c r="A12" s="2" t="s">
        <v>6241</v>
      </c>
      <c r="H12" s="2" t="s">
        <v>6537</v>
      </c>
    </row>
    <row r="14" spans="1:8" x14ac:dyDescent="0.3">
      <c r="H14" s="2" t="s">
        <v>6538</v>
      </c>
    </row>
    <row r="15" spans="1:8" x14ac:dyDescent="0.3">
      <c r="H15" s="2" t="s">
        <v>6539</v>
      </c>
    </row>
  </sheetData>
  <phoneticPr fontId="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Y526"/>
  <sheetViews>
    <sheetView topLeftCell="D1" zoomScale="80" zoomScaleNormal="80" workbookViewId="0">
      <pane ySplit="1" topLeftCell="A2" activePane="bottomLeft" state="frozen"/>
      <selection pane="bottomLeft" activeCell="V529" sqref="V529"/>
    </sheetView>
  </sheetViews>
  <sheetFormatPr defaultRowHeight="14.4" outlineLevelCol="1" x14ac:dyDescent="0.3"/>
  <cols>
    <col min="1" max="1" width="18.5546875" bestFit="1" customWidth="1"/>
    <col min="2" max="2" width="33.88671875" bestFit="1" customWidth="1"/>
    <col min="3" max="3" width="33.5546875" bestFit="1" customWidth="1"/>
    <col min="4" max="4" width="52" bestFit="1" customWidth="1"/>
    <col min="5" max="5" width="32.44140625" bestFit="1" customWidth="1"/>
    <col min="6" max="6" width="48.44140625" hidden="1" customWidth="1" outlineLevel="1"/>
    <col min="7" max="7" width="47.44140625" hidden="1" customWidth="1" outlineLevel="1"/>
    <col min="8" max="8" width="63.5546875" hidden="1" customWidth="1" outlineLevel="1"/>
    <col min="9" max="9" width="12.5546875" bestFit="1" customWidth="1" collapsed="1"/>
    <col min="10" max="10" width="64.5546875" hidden="1" customWidth="1" outlineLevel="1"/>
    <col min="11" max="11" width="16.44140625" bestFit="1" customWidth="1" collapsed="1"/>
    <col min="12" max="15" width="16.44140625" bestFit="1" customWidth="1"/>
    <col min="16" max="24" width="14.44140625" bestFit="1" customWidth="1"/>
    <col min="25" max="25" width="11.44140625" bestFit="1" customWidth="1"/>
  </cols>
  <sheetData>
    <row r="1" spans="1:25" ht="15" thickBot="1" x14ac:dyDescent="0.35">
      <c r="A1" s="25" t="s">
        <v>6439</v>
      </c>
      <c r="B1" s="25" t="s">
        <v>6440</v>
      </c>
      <c r="C1" s="26" t="s">
        <v>6441</v>
      </c>
      <c r="D1" s="26" t="s">
        <v>6442</v>
      </c>
      <c r="E1" s="26" t="s">
        <v>6443</v>
      </c>
      <c r="F1" s="26"/>
      <c r="G1" s="26"/>
      <c r="H1" s="26" t="s">
        <v>6444</v>
      </c>
      <c r="I1" s="26" t="s">
        <v>6445</v>
      </c>
      <c r="J1" s="26" t="s">
        <v>6446</v>
      </c>
      <c r="K1" s="27" t="s">
        <v>6447</v>
      </c>
      <c r="L1" s="27" t="s">
        <v>6448</v>
      </c>
      <c r="M1" s="27" t="s">
        <v>6449</v>
      </c>
      <c r="N1" s="27" t="s">
        <v>6449</v>
      </c>
      <c r="O1" s="27" t="s">
        <v>6450</v>
      </c>
      <c r="P1" s="27" t="s">
        <v>6451</v>
      </c>
      <c r="Q1" s="27" t="s">
        <v>6451</v>
      </c>
      <c r="R1" s="27" t="s">
        <v>6452</v>
      </c>
      <c r="S1" s="27" t="s">
        <v>6452</v>
      </c>
      <c r="T1" s="27" t="s">
        <v>6452</v>
      </c>
      <c r="U1" s="27" t="s">
        <v>6452</v>
      </c>
      <c r="V1" s="27" t="s">
        <v>6493</v>
      </c>
      <c r="W1" s="27" t="s">
        <v>6494</v>
      </c>
      <c r="X1" s="27" t="s">
        <v>6495</v>
      </c>
      <c r="Y1" s="27" t="s">
        <v>6498</v>
      </c>
    </row>
    <row r="2" spans="1:25" x14ac:dyDescent="0.3">
      <c r="A2" s="2" t="s">
        <v>461</v>
      </c>
      <c r="B2" s="2" t="s">
        <v>5787</v>
      </c>
      <c r="C2" s="2" t="s">
        <v>462</v>
      </c>
      <c r="D2" s="2" t="s">
        <v>5788</v>
      </c>
      <c r="E2" s="2" t="s">
        <v>6457</v>
      </c>
      <c r="F2" s="28" t="s">
        <v>6483</v>
      </c>
      <c r="G2" s="2" t="s">
        <v>6241</v>
      </c>
      <c r="H2" s="28" t="str">
        <f t="shared" ref="H2:H65" si="0">A2&amp;B2&amp;G2</f>
        <v>00100263School Turnaround Leadership Development Program</v>
      </c>
      <c r="I2" s="29">
        <v>4</v>
      </c>
      <c r="J2" s="28" t="str">
        <f t="shared" ref="J2:J65" si="1">H2&amp;I2</f>
        <v>00100263School Turnaround Leadership Development Program4</v>
      </c>
      <c r="K2" s="32"/>
      <c r="L2" s="32"/>
      <c r="M2" s="32"/>
      <c r="N2" s="30"/>
      <c r="O2" s="30"/>
      <c r="P2" s="30"/>
      <c r="Q2" s="30">
        <v>48500</v>
      </c>
      <c r="R2" s="30">
        <v>0</v>
      </c>
      <c r="S2" s="30">
        <v>0</v>
      </c>
      <c r="T2" s="30">
        <v>38500</v>
      </c>
      <c r="U2" s="30"/>
      <c r="V2" s="30"/>
      <c r="W2" s="30"/>
      <c r="X2" s="30"/>
      <c r="Y2" t="s">
        <v>6499</v>
      </c>
    </row>
    <row r="3" spans="1:25" x14ac:dyDescent="0.3">
      <c r="A3" s="28" t="s">
        <v>461</v>
      </c>
      <c r="B3" s="28" t="s">
        <v>3645</v>
      </c>
      <c r="C3" s="2" t="s">
        <v>462</v>
      </c>
      <c r="D3" s="2" t="s">
        <v>3646</v>
      </c>
      <c r="E3" s="28" t="s">
        <v>6468</v>
      </c>
      <c r="F3" s="28" t="str">
        <f t="shared" ref="F3:F25" si="2">A3&amp;B3&amp;E3</f>
        <v>00106315Exploration</v>
      </c>
      <c r="G3" s="28" t="s">
        <v>6240</v>
      </c>
      <c r="H3" s="28" t="str">
        <f t="shared" si="0"/>
        <v>00106315Diagnostic Review</v>
      </c>
      <c r="I3" s="29">
        <v>5</v>
      </c>
      <c r="J3" s="28" t="str">
        <f t="shared" si="1"/>
        <v>00106315Diagnostic Review5</v>
      </c>
      <c r="K3" s="30">
        <v>0</v>
      </c>
      <c r="L3" s="30">
        <v>0</v>
      </c>
      <c r="M3" s="30">
        <v>0</v>
      </c>
      <c r="N3" s="30">
        <v>0</v>
      </c>
      <c r="O3" s="30">
        <v>0</v>
      </c>
      <c r="P3" s="30">
        <v>0</v>
      </c>
      <c r="Q3" s="30">
        <v>0</v>
      </c>
      <c r="R3" s="30">
        <v>0</v>
      </c>
      <c r="S3" s="30">
        <v>0</v>
      </c>
      <c r="T3" s="30">
        <v>0</v>
      </c>
      <c r="U3" s="30">
        <v>10000</v>
      </c>
      <c r="V3" s="30">
        <v>20000</v>
      </c>
      <c r="W3" s="30">
        <v>0</v>
      </c>
      <c r="X3" s="30">
        <v>0</v>
      </c>
      <c r="Y3" t="s">
        <v>6499</v>
      </c>
    </row>
    <row r="4" spans="1:25" x14ac:dyDescent="0.3">
      <c r="A4" s="28" t="s">
        <v>461</v>
      </c>
      <c r="B4" s="28" t="s">
        <v>3645</v>
      </c>
      <c r="C4" s="2" t="s">
        <v>462</v>
      </c>
      <c r="D4" s="2" t="s">
        <v>3646</v>
      </c>
      <c r="E4" s="28" t="s">
        <v>6457</v>
      </c>
      <c r="F4" s="28" t="str">
        <f t="shared" si="2"/>
        <v>00106315OfferedServices</v>
      </c>
      <c r="G4" s="2" t="s">
        <v>6241</v>
      </c>
      <c r="H4" s="28" t="str">
        <f t="shared" si="0"/>
        <v>00106315School Turnaround Leadership Development Program</v>
      </c>
      <c r="I4" s="29">
        <v>5</v>
      </c>
      <c r="J4" s="28" t="str">
        <f t="shared" si="1"/>
        <v>00106315School Turnaround Leadership Development Program5</v>
      </c>
      <c r="K4" s="30">
        <v>0</v>
      </c>
      <c r="L4" s="30">
        <v>0</v>
      </c>
      <c r="M4" s="30">
        <v>0</v>
      </c>
      <c r="N4" s="30">
        <v>0</v>
      </c>
      <c r="O4" s="30">
        <v>0</v>
      </c>
      <c r="P4" s="30">
        <v>0</v>
      </c>
      <c r="Q4" s="30">
        <v>0</v>
      </c>
      <c r="R4" s="30">
        <v>0</v>
      </c>
      <c r="S4" s="30">
        <v>0</v>
      </c>
      <c r="T4" s="30">
        <v>0</v>
      </c>
      <c r="U4" s="30">
        <v>48500</v>
      </c>
      <c r="V4" s="30">
        <v>38500</v>
      </c>
      <c r="W4" s="30">
        <v>0</v>
      </c>
      <c r="X4" s="30">
        <v>0</v>
      </c>
      <c r="Y4" t="s">
        <v>6499</v>
      </c>
    </row>
    <row r="5" spans="1:25" x14ac:dyDescent="0.3">
      <c r="A5" s="28" t="s">
        <v>461</v>
      </c>
      <c r="B5" s="2" t="s">
        <v>4419</v>
      </c>
      <c r="C5" s="2" t="s">
        <v>462</v>
      </c>
      <c r="D5" s="2" t="s">
        <v>4420</v>
      </c>
      <c r="E5" s="28" t="s">
        <v>6455</v>
      </c>
      <c r="F5" s="28" t="str">
        <f t="shared" si="2"/>
        <v>00109036Connect For Success 17-20</v>
      </c>
      <c r="G5" s="28" t="s">
        <v>6234</v>
      </c>
      <c r="H5" s="28" t="str">
        <f t="shared" si="0"/>
        <v>00109036Connect For Success</v>
      </c>
      <c r="I5" s="29">
        <v>1</v>
      </c>
      <c r="J5" s="28" t="str">
        <f t="shared" si="1"/>
        <v>00109036Connect For Success1</v>
      </c>
      <c r="K5" s="30">
        <v>20000</v>
      </c>
      <c r="L5" s="30">
        <v>80000</v>
      </c>
      <c r="M5" s="30">
        <v>80000</v>
      </c>
      <c r="N5" s="30">
        <v>0</v>
      </c>
      <c r="O5" s="30">
        <v>0</v>
      </c>
      <c r="P5" s="30">
        <v>0</v>
      </c>
      <c r="Q5" s="30">
        <v>0</v>
      </c>
      <c r="R5" s="30">
        <v>0</v>
      </c>
      <c r="S5" s="30">
        <v>0</v>
      </c>
      <c r="T5" s="30">
        <v>0</v>
      </c>
      <c r="U5" s="30"/>
      <c r="V5" s="30"/>
      <c r="W5" s="30"/>
      <c r="X5" s="30"/>
      <c r="Y5" t="s">
        <v>6499</v>
      </c>
    </row>
    <row r="6" spans="1:25" x14ac:dyDescent="0.3">
      <c r="A6" s="2" t="s">
        <v>461</v>
      </c>
      <c r="B6" s="28" t="s">
        <v>6248</v>
      </c>
      <c r="C6" s="2" t="s">
        <v>462</v>
      </c>
      <c r="D6" s="2" t="s">
        <v>6474</v>
      </c>
      <c r="E6" s="28" t="s">
        <v>6473</v>
      </c>
      <c r="F6" s="28" t="str">
        <f t="shared" si="2"/>
        <v>0010District LevelDistrict Design and Led 17-20</v>
      </c>
      <c r="G6" s="28" t="s">
        <v>6233</v>
      </c>
      <c r="H6" s="28" t="str">
        <f t="shared" si="0"/>
        <v>0010District LevelDistrict Design and Led</v>
      </c>
      <c r="I6" s="29">
        <v>2</v>
      </c>
      <c r="J6" s="28" t="str">
        <f t="shared" si="1"/>
        <v>0010District LevelDistrict Design and Led2</v>
      </c>
      <c r="K6" s="30">
        <v>18704</v>
      </c>
      <c r="L6" s="30">
        <v>82968</v>
      </c>
      <c r="M6" s="30">
        <v>63579</v>
      </c>
      <c r="N6" s="30">
        <v>0</v>
      </c>
      <c r="O6" s="30">
        <v>0</v>
      </c>
      <c r="P6" s="30">
        <v>0</v>
      </c>
      <c r="Q6" s="30">
        <v>0</v>
      </c>
      <c r="R6" s="30">
        <v>0</v>
      </c>
      <c r="S6" s="30">
        <v>0</v>
      </c>
      <c r="T6" s="30">
        <v>0</v>
      </c>
      <c r="U6" s="30"/>
      <c r="V6" s="30"/>
      <c r="W6" s="30"/>
      <c r="X6" s="30"/>
      <c r="Y6" t="s">
        <v>6499</v>
      </c>
    </row>
    <row r="7" spans="1:25" x14ac:dyDescent="0.3">
      <c r="A7" s="28" t="s">
        <v>469</v>
      </c>
      <c r="B7" s="28" t="s">
        <v>2904</v>
      </c>
      <c r="C7" s="2" t="s">
        <v>470</v>
      </c>
      <c r="D7" s="2" t="s">
        <v>2905</v>
      </c>
      <c r="E7" s="28" t="s">
        <v>6496</v>
      </c>
      <c r="F7" s="28" t="str">
        <f t="shared" si="2"/>
        <v>00202582Offered Services Continuation</v>
      </c>
      <c r="G7" s="28" t="s">
        <v>6237</v>
      </c>
      <c r="H7" s="28" t="str">
        <f t="shared" si="0"/>
        <v>00202582Turnaround Network</v>
      </c>
      <c r="I7" s="29">
        <v>5</v>
      </c>
      <c r="J7" s="28" t="str">
        <f t="shared" si="1"/>
        <v>00202582Turnaround Network5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0</v>
      </c>
      <c r="Q7" s="30">
        <v>0</v>
      </c>
      <c r="R7" s="30">
        <v>0</v>
      </c>
      <c r="S7" s="30">
        <v>0</v>
      </c>
      <c r="T7" s="30">
        <v>0</v>
      </c>
      <c r="U7" s="30">
        <v>0</v>
      </c>
      <c r="V7" s="30">
        <v>38618</v>
      </c>
      <c r="W7" s="30"/>
      <c r="X7" s="30">
        <v>0</v>
      </c>
      <c r="Y7" t="s">
        <v>6500</v>
      </c>
    </row>
    <row r="8" spans="1:25" x14ac:dyDescent="0.3">
      <c r="A8" s="2" t="s">
        <v>469</v>
      </c>
      <c r="B8" s="28" t="s">
        <v>2171</v>
      </c>
      <c r="C8" s="2" t="s">
        <v>470</v>
      </c>
      <c r="D8" s="2" t="s">
        <v>2172</v>
      </c>
      <c r="E8" s="28" t="s">
        <v>6237</v>
      </c>
      <c r="F8" s="28" t="str">
        <f t="shared" si="2"/>
        <v>00206376Turnaround Network</v>
      </c>
      <c r="G8" s="28" t="s">
        <v>6237</v>
      </c>
      <c r="H8" s="28" t="str">
        <f t="shared" si="0"/>
        <v>00206376Turnaround Network</v>
      </c>
      <c r="I8" s="29">
        <v>2</v>
      </c>
      <c r="J8" s="28" t="str">
        <f t="shared" si="1"/>
        <v>00206376Turnaround Network2</v>
      </c>
      <c r="K8" s="30">
        <v>50000</v>
      </c>
      <c r="L8" s="30"/>
      <c r="M8" s="30"/>
      <c r="N8" s="30">
        <v>0</v>
      </c>
      <c r="O8" s="30">
        <v>0</v>
      </c>
      <c r="P8" s="30">
        <v>0</v>
      </c>
      <c r="Q8" s="30">
        <v>0</v>
      </c>
      <c r="R8" s="30">
        <v>0</v>
      </c>
      <c r="S8" s="30">
        <v>0</v>
      </c>
      <c r="T8" s="30">
        <v>0</v>
      </c>
      <c r="U8" s="30"/>
      <c r="V8" s="30"/>
      <c r="W8" s="30"/>
      <c r="X8" s="30"/>
      <c r="Y8" t="s">
        <v>6499</v>
      </c>
    </row>
    <row r="9" spans="1:25" x14ac:dyDescent="0.3">
      <c r="A9" s="2" t="s">
        <v>469</v>
      </c>
      <c r="B9" s="28" t="s">
        <v>6248</v>
      </c>
      <c r="C9" s="2" t="s">
        <v>470</v>
      </c>
      <c r="D9" s="2" t="s">
        <v>6474</v>
      </c>
      <c r="E9" s="28" t="s">
        <v>6237</v>
      </c>
      <c r="F9" s="28" t="str">
        <f t="shared" si="2"/>
        <v>0020District LevelTurnaround Network</v>
      </c>
      <c r="G9" s="28" t="s">
        <v>6237</v>
      </c>
      <c r="H9" s="28" t="str">
        <f t="shared" si="0"/>
        <v>0020District LevelTurnaround Network</v>
      </c>
      <c r="I9" s="29">
        <v>2</v>
      </c>
      <c r="J9" s="28" t="str">
        <f t="shared" si="1"/>
        <v>0020District LevelTurnaround Network2</v>
      </c>
      <c r="K9" s="30">
        <v>30000</v>
      </c>
      <c r="L9" s="30"/>
      <c r="M9" s="30"/>
      <c r="N9" s="30">
        <v>0</v>
      </c>
      <c r="O9" s="30" t="s">
        <v>6462</v>
      </c>
      <c r="P9" s="30" t="s">
        <v>6462</v>
      </c>
      <c r="Q9" s="30">
        <v>0</v>
      </c>
      <c r="R9" s="30">
        <v>0</v>
      </c>
      <c r="S9" s="30">
        <v>0</v>
      </c>
      <c r="T9" s="30">
        <v>0</v>
      </c>
      <c r="U9" s="30"/>
      <c r="V9" s="30"/>
      <c r="W9" s="30"/>
      <c r="X9" s="30"/>
      <c r="Y9" t="s">
        <v>6499</v>
      </c>
    </row>
    <row r="10" spans="1:25" x14ac:dyDescent="0.3">
      <c r="A10" s="2" t="s">
        <v>1646</v>
      </c>
      <c r="B10" s="28" t="s">
        <v>3103</v>
      </c>
      <c r="C10" s="2" t="s">
        <v>1647</v>
      </c>
      <c r="D10" s="2" t="s">
        <v>3104</v>
      </c>
      <c r="E10" s="28" t="s">
        <v>6463</v>
      </c>
      <c r="F10" s="28" t="str">
        <f t="shared" si="2"/>
        <v>00300022Diagnostic Review 18-19</v>
      </c>
      <c r="G10" s="28" t="s">
        <v>6240</v>
      </c>
      <c r="H10" s="28" t="str">
        <f t="shared" si="0"/>
        <v>00300022Diagnostic Review</v>
      </c>
      <c r="I10" s="29">
        <v>3</v>
      </c>
      <c r="J10" s="28" t="str">
        <f t="shared" si="1"/>
        <v>00300022Diagnostic Review3</v>
      </c>
      <c r="K10" s="30"/>
      <c r="L10" s="30">
        <v>71825</v>
      </c>
      <c r="M10" s="30"/>
      <c r="N10" s="30">
        <v>11050</v>
      </c>
      <c r="O10" s="30">
        <v>0</v>
      </c>
      <c r="P10" s="30">
        <v>0</v>
      </c>
      <c r="Q10" s="30">
        <v>0</v>
      </c>
      <c r="R10" s="30">
        <v>0</v>
      </c>
      <c r="S10" s="30">
        <v>0</v>
      </c>
      <c r="T10" s="30">
        <v>0</v>
      </c>
      <c r="U10" s="30"/>
      <c r="V10" s="30"/>
      <c r="W10" s="30"/>
      <c r="X10" s="30"/>
      <c r="Y10" t="s">
        <v>6499</v>
      </c>
    </row>
    <row r="11" spans="1:25" x14ac:dyDescent="0.3">
      <c r="A11" s="28" t="s">
        <v>1646</v>
      </c>
      <c r="B11" s="28" t="s">
        <v>3103</v>
      </c>
      <c r="C11" s="2" t="s">
        <v>1647</v>
      </c>
      <c r="D11" s="2" t="s">
        <v>3104</v>
      </c>
      <c r="E11" s="28" t="s">
        <v>6457</v>
      </c>
      <c r="F11" s="28" t="str">
        <f t="shared" si="2"/>
        <v>00300022OfferedServices</v>
      </c>
      <c r="G11" s="2" t="s">
        <v>6241</v>
      </c>
      <c r="H11" s="28" t="str">
        <f t="shared" si="0"/>
        <v>00300022School Turnaround Leadership Development Program</v>
      </c>
      <c r="I11" s="29">
        <v>5</v>
      </c>
      <c r="J11" s="28" t="str">
        <f t="shared" si="1"/>
        <v>00300022School Turnaround Leadership Development Program5</v>
      </c>
      <c r="K11" s="30">
        <v>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  <c r="S11" s="30">
        <v>0</v>
      </c>
      <c r="T11" s="30">
        <v>0</v>
      </c>
      <c r="U11" s="30">
        <v>16350</v>
      </c>
      <c r="V11" s="30">
        <v>28875</v>
      </c>
      <c r="W11" s="30"/>
      <c r="X11" s="30">
        <v>0</v>
      </c>
      <c r="Y11" t="s">
        <v>6499</v>
      </c>
    </row>
    <row r="12" spans="1:25" x14ac:dyDescent="0.3">
      <c r="A12" s="2" t="s">
        <v>1646</v>
      </c>
      <c r="B12" s="2" t="s">
        <v>1652</v>
      </c>
      <c r="C12" s="2" t="s">
        <v>1647</v>
      </c>
      <c r="D12" s="2" t="s">
        <v>1653</v>
      </c>
      <c r="E12" s="28" t="s">
        <v>6463</v>
      </c>
      <c r="F12" s="28" t="str">
        <f t="shared" si="2"/>
        <v>00300024Diagnostic Review 18-19</v>
      </c>
      <c r="G12" s="28" t="s">
        <v>6240</v>
      </c>
      <c r="H12" s="28" t="str">
        <f t="shared" si="0"/>
        <v>00300024Diagnostic Review</v>
      </c>
      <c r="I12" s="29">
        <v>3</v>
      </c>
      <c r="J12" s="28" t="str">
        <f t="shared" si="1"/>
        <v>00300024Diagnostic Review3</v>
      </c>
      <c r="K12" s="30"/>
      <c r="L12" s="30">
        <v>71825</v>
      </c>
      <c r="M12" s="30"/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30">
        <v>0</v>
      </c>
      <c r="T12" s="30">
        <v>0</v>
      </c>
      <c r="U12" s="30"/>
      <c r="V12" s="30"/>
      <c r="W12" s="30"/>
      <c r="X12" s="30"/>
      <c r="Y12" t="s">
        <v>6499</v>
      </c>
    </row>
    <row r="13" spans="1:25" x14ac:dyDescent="0.3">
      <c r="A13" s="28" t="s">
        <v>1646</v>
      </c>
      <c r="B13" s="28" t="s">
        <v>1652</v>
      </c>
      <c r="C13" s="2" t="s">
        <v>1647</v>
      </c>
      <c r="D13" s="2" t="s">
        <v>1653</v>
      </c>
      <c r="E13" s="28" t="s">
        <v>6457</v>
      </c>
      <c r="F13" s="28" t="str">
        <f t="shared" si="2"/>
        <v>00300024OfferedServices</v>
      </c>
      <c r="G13" s="2" t="s">
        <v>6241</v>
      </c>
      <c r="H13" s="28" t="str">
        <f t="shared" si="0"/>
        <v>00300024School Turnaround Leadership Development Program</v>
      </c>
      <c r="I13" s="29">
        <v>5</v>
      </c>
      <c r="J13" s="28" t="str">
        <f t="shared" si="1"/>
        <v>00300024School Turnaround Leadership Development Program5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  <c r="U13" s="30">
        <v>16350</v>
      </c>
      <c r="V13" s="30">
        <v>28875</v>
      </c>
      <c r="W13" s="30"/>
      <c r="X13" s="30">
        <v>0</v>
      </c>
      <c r="Y13" t="s">
        <v>6499</v>
      </c>
    </row>
    <row r="14" spans="1:25" x14ac:dyDescent="0.3">
      <c r="A14" s="2" t="s">
        <v>1646</v>
      </c>
      <c r="B14" s="2" t="s">
        <v>1654</v>
      </c>
      <c r="C14" s="2" t="s">
        <v>1647</v>
      </c>
      <c r="D14" s="2" t="s">
        <v>1655</v>
      </c>
      <c r="E14" s="28" t="s">
        <v>6463</v>
      </c>
      <c r="F14" s="28" t="str">
        <f t="shared" si="2"/>
        <v>00300186Diagnostic Review 18-19</v>
      </c>
      <c r="G14" s="28" t="s">
        <v>6240</v>
      </c>
      <c r="H14" s="28" t="str">
        <f t="shared" si="0"/>
        <v>00300186Diagnostic Review</v>
      </c>
      <c r="I14" s="29">
        <v>3</v>
      </c>
      <c r="J14" s="28" t="str">
        <f t="shared" si="1"/>
        <v>00300186Diagnostic Review3</v>
      </c>
      <c r="K14" s="30"/>
      <c r="L14" s="30">
        <v>71825</v>
      </c>
      <c r="M14" s="30"/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/>
      <c r="V14" s="30"/>
      <c r="W14" s="30"/>
      <c r="X14" s="30"/>
      <c r="Y14" t="s">
        <v>6499</v>
      </c>
    </row>
    <row r="15" spans="1:25" x14ac:dyDescent="0.3">
      <c r="A15" s="28" t="s">
        <v>1646</v>
      </c>
      <c r="B15" s="28" t="s">
        <v>3102</v>
      </c>
      <c r="C15" s="2" t="s">
        <v>1647</v>
      </c>
      <c r="D15" s="2" t="s">
        <v>397</v>
      </c>
      <c r="E15" s="28" t="s">
        <v>6457</v>
      </c>
      <c r="F15" s="28" t="str">
        <f t="shared" si="2"/>
        <v>00301426OfferedServices</v>
      </c>
      <c r="G15" s="2" t="s">
        <v>6241</v>
      </c>
      <c r="H15" s="28" t="str">
        <f t="shared" si="0"/>
        <v>00301426School Turnaround Leadership Development Program</v>
      </c>
      <c r="I15" s="29">
        <v>5</v>
      </c>
      <c r="J15" s="28" t="str">
        <f t="shared" si="1"/>
        <v>00301426School Turnaround Leadership Development Program5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  <c r="U15" s="30">
        <v>16350</v>
      </c>
      <c r="V15" s="30">
        <v>28875</v>
      </c>
      <c r="W15" s="30"/>
      <c r="X15" s="30">
        <v>0</v>
      </c>
      <c r="Y15" t="s">
        <v>6500</v>
      </c>
    </row>
    <row r="16" spans="1:25" x14ac:dyDescent="0.3">
      <c r="A16" s="2" t="s">
        <v>1646</v>
      </c>
      <c r="B16" s="2" t="s">
        <v>1648</v>
      </c>
      <c r="C16" s="2" t="s">
        <v>1647</v>
      </c>
      <c r="D16" s="2" t="s">
        <v>1649</v>
      </c>
      <c r="E16" s="28" t="s">
        <v>6463</v>
      </c>
      <c r="F16" s="28" t="str">
        <f t="shared" si="2"/>
        <v>00302308Diagnostic Review 18-19</v>
      </c>
      <c r="G16" s="28" t="s">
        <v>6240</v>
      </c>
      <c r="H16" s="28" t="str">
        <f t="shared" si="0"/>
        <v>00302308Diagnostic Review</v>
      </c>
      <c r="I16" s="29">
        <v>3</v>
      </c>
      <c r="J16" s="28" t="str">
        <f t="shared" si="1"/>
        <v>00302308Diagnostic Review3</v>
      </c>
      <c r="K16" s="30"/>
      <c r="L16" s="30">
        <v>71825</v>
      </c>
      <c r="M16" s="30"/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  <c r="T16" s="30">
        <v>0</v>
      </c>
      <c r="U16" s="30"/>
      <c r="V16" s="30"/>
      <c r="W16" s="30"/>
      <c r="X16" s="30"/>
      <c r="Y16" t="s">
        <v>6499</v>
      </c>
    </row>
    <row r="17" spans="1:25" x14ac:dyDescent="0.3">
      <c r="A17" s="2" t="s">
        <v>1646</v>
      </c>
      <c r="B17" s="2" t="s">
        <v>1650</v>
      </c>
      <c r="C17" s="2" t="s">
        <v>1647</v>
      </c>
      <c r="D17" s="2" t="s">
        <v>1651</v>
      </c>
      <c r="E17" s="28" t="s">
        <v>6463</v>
      </c>
      <c r="F17" s="28" t="str">
        <f t="shared" si="2"/>
        <v>00304516Diagnostic Review 18-19</v>
      </c>
      <c r="G17" s="28" t="s">
        <v>6240</v>
      </c>
      <c r="H17" s="28" t="str">
        <f t="shared" si="0"/>
        <v>00304516Diagnostic Review</v>
      </c>
      <c r="I17" s="29">
        <v>3</v>
      </c>
      <c r="J17" s="28" t="str">
        <f t="shared" si="1"/>
        <v>00304516Diagnostic Review3</v>
      </c>
      <c r="K17" s="30"/>
      <c r="L17" s="30">
        <v>44200</v>
      </c>
      <c r="M17" s="30"/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/>
      <c r="V17" s="30"/>
      <c r="W17" s="30"/>
      <c r="X17" s="30"/>
      <c r="Y17" t="s">
        <v>6499</v>
      </c>
    </row>
    <row r="18" spans="1:25" x14ac:dyDescent="0.3">
      <c r="A18" s="2" t="s">
        <v>1646</v>
      </c>
      <c r="B18" s="2" t="s">
        <v>4621</v>
      </c>
      <c r="C18" s="2" t="s">
        <v>1647</v>
      </c>
      <c r="D18" s="2" t="s">
        <v>4622</v>
      </c>
      <c r="E18" s="28" t="s">
        <v>6463</v>
      </c>
      <c r="F18" s="28" t="str">
        <f t="shared" si="2"/>
        <v>00304536Diagnostic Review 18-19</v>
      </c>
      <c r="G18" s="28" t="s">
        <v>6240</v>
      </c>
      <c r="H18" s="28" t="str">
        <f t="shared" si="0"/>
        <v>00304536Diagnostic Review</v>
      </c>
      <c r="I18" s="29">
        <v>3</v>
      </c>
      <c r="J18" s="28" t="str">
        <f t="shared" si="1"/>
        <v>00304536Diagnostic Review3</v>
      </c>
      <c r="K18" s="30"/>
      <c r="L18" s="30">
        <v>71825</v>
      </c>
      <c r="M18" s="30"/>
      <c r="N18" s="30">
        <v>11050</v>
      </c>
      <c r="O18" s="30">
        <v>0</v>
      </c>
      <c r="P18" s="30">
        <v>0</v>
      </c>
      <c r="Q18" s="30">
        <v>0</v>
      </c>
      <c r="R18" s="30">
        <v>0</v>
      </c>
      <c r="S18" s="30">
        <v>0</v>
      </c>
      <c r="T18" s="30">
        <v>0</v>
      </c>
      <c r="U18" s="30"/>
      <c r="V18" s="30"/>
      <c r="W18" s="30"/>
      <c r="X18" s="30"/>
      <c r="Y18" t="s">
        <v>6499</v>
      </c>
    </row>
    <row r="19" spans="1:25" x14ac:dyDescent="0.3">
      <c r="A19" s="2" t="s">
        <v>1646</v>
      </c>
      <c r="B19" s="28" t="s">
        <v>6007</v>
      </c>
      <c r="C19" s="2" t="s">
        <v>1647</v>
      </c>
      <c r="D19" s="2" t="s">
        <v>6008</v>
      </c>
      <c r="E19" s="28" t="s">
        <v>6237</v>
      </c>
      <c r="F19" s="28" t="str">
        <f t="shared" si="2"/>
        <v>00305982Turnaround Network</v>
      </c>
      <c r="G19" s="28" t="s">
        <v>6237</v>
      </c>
      <c r="H19" s="28" t="str">
        <f t="shared" si="0"/>
        <v>00305982Turnaround Network</v>
      </c>
      <c r="I19" s="29">
        <v>2</v>
      </c>
      <c r="J19" s="28" t="str">
        <f t="shared" si="1"/>
        <v>00305982Turnaround Network2</v>
      </c>
      <c r="K19" s="30">
        <v>50000</v>
      </c>
      <c r="L19" s="30"/>
      <c r="M19" s="30"/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30">
        <v>0</v>
      </c>
      <c r="T19" s="30">
        <v>0</v>
      </c>
      <c r="U19" s="30"/>
      <c r="V19" s="30"/>
      <c r="W19" s="30"/>
      <c r="X19" s="30"/>
      <c r="Y19" t="s">
        <v>6499</v>
      </c>
    </row>
    <row r="20" spans="1:25" x14ac:dyDescent="0.3">
      <c r="A20" s="2" t="s">
        <v>1646</v>
      </c>
      <c r="B20" s="2" t="s">
        <v>6007</v>
      </c>
      <c r="C20" s="2" t="s">
        <v>1647</v>
      </c>
      <c r="D20" s="2" t="s">
        <v>6008</v>
      </c>
      <c r="E20" s="28" t="s">
        <v>6463</v>
      </c>
      <c r="F20" s="28" t="str">
        <f t="shared" si="2"/>
        <v>00305982Diagnostic Review 18-19</v>
      </c>
      <c r="G20" s="28" t="s">
        <v>6240</v>
      </c>
      <c r="H20" s="28" t="str">
        <f t="shared" si="0"/>
        <v>00305982Diagnostic Review</v>
      </c>
      <c r="I20" s="29">
        <v>3</v>
      </c>
      <c r="J20" s="28" t="str">
        <f t="shared" si="1"/>
        <v>00305982Diagnostic Review3</v>
      </c>
      <c r="K20" s="30"/>
      <c r="L20" s="30">
        <v>71825</v>
      </c>
      <c r="M20" s="30"/>
      <c r="N20" s="30">
        <v>11050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/>
      <c r="V20" s="30"/>
      <c r="W20" s="30"/>
      <c r="X20" s="30"/>
      <c r="Y20" t="s">
        <v>6499</v>
      </c>
    </row>
    <row r="21" spans="1:25" x14ac:dyDescent="0.3">
      <c r="A21" s="28" t="s">
        <v>1646</v>
      </c>
      <c r="B21" s="28" t="s">
        <v>6007</v>
      </c>
      <c r="C21" s="2" t="s">
        <v>1647</v>
      </c>
      <c r="D21" s="2" t="s">
        <v>6008</v>
      </c>
      <c r="E21" s="28" t="s">
        <v>6457</v>
      </c>
      <c r="F21" s="28" t="str">
        <f t="shared" si="2"/>
        <v>00305982OfferedServices</v>
      </c>
      <c r="G21" s="2" t="s">
        <v>6241</v>
      </c>
      <c r="H21" s="28" t="str">
        <f t="shared" si="0"/>
        <v>00305982School Turnaround Leadership Development Program</v>
      </c>
      <c r="I21" s="29">
        <v>5</v>
      </c>
      <c r="J21" s="28" t="str">
        <f t="shared" si="1"/>
        <v>00305982School Turnaround Leadership Development Program5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0">
        <v>0</v>
      </c>
      <c r="T21" s="30">
        <v>0</v>
      </c>
      <c r="U21" s="30">
        <v>16350</v>
      </c>
      <c r="V21" s="30">
        <v>28875</v>
      </c>
      <c r="W21" s="30"/>
      <c r="X21" s="30">
        <v>0</v>
      </c>
      <c r="Y21" t="s">
        <v>6499</v>
      </c>
    </row>
    <row r="22" spans="1:25" x14ac:dyDescent="0.3">
      <c r="A22" s="2" t="s">
        <v>1646</v>
      </c>
      <c r="B22" s="2" t="s">
        <v>4625</v>
      </c>
      <c r="C22" s="2" t="s">
        <v>1647</v>
      </c>
      <c r="D22" s="2" t="s">
        <v>4626</v>
      </c>
      <c r="E22" s="28" t="s">
        <v>6463</v>
      </c>
      <c r="F22" s="28" t="str">
        <f t="shared" si="2"/>
        <v>00306534Diagnostic Review 18-19</v>
      </c>
      <c r="G22" s="28" t="s">
        <v>6240</v>
      </c>
      <c r="H22" s="28" t="str">
        <f t="shared" si="0"/>
        <v>00306534Diagnostic Review</v>
      </c>
      <c r="I22" s="29">
        <v>3</v>
      </c>
      <c r="J22" s="28" t="str">
        <f t="shared" si="1"/>
        <v>00306534Diagnostic Review3</v>
      </c>
      <c r="K22" s="30"/>
      <c r="L22" s="30">
        <v>71825</v>
      </c>
      <c r="M22" s="30"/>
      <c r="N22" s="30">
        <v>11050</v>
      </c>
      <c r="O22" s="30">
        <v>0</v>
      </c>
      <c r="P22" s="30">
        <v>0</v>
      </c>
      <c r="Q22" s="30">
        <v>0</v>
      </c>
      <c r="R22" s="30">
        <v>0</v>
      </c>
      <c r="S22" s="30">
        <v>0</v>
      </c>
      <c r="T22" s="30">
        <v>0</v>
      </c>
      <c r="U22" s="30"/>
      <c r="V22" s="30"/>
      <c r="W22" s="30"/>
      <c r="X22" s="30"/>
      <c r="Y22" t="s">
        <v>6499</v>
      </c>
    </row>
    <row r="23" spans="1:25" x14ac:dyDescent="0.3">
      <c r="A23" s="2" t="s">
        <v>1646</v>
      </c>
      <c r="B23" s="2" t="s">
        <v>4623</v>
      </c>
      <c r="C23" s="2" t="s">
        <v>1647</v>
      </c>
      <c r="D23" s="2" t="s">
        <v>4624</v>
      </c>
      <c r="E23" s="28" t="s">
        <v>6463</v>
      </c>
      <c r="F23" s="28" t="str">
        <f t="shared" si="2"/>
        <v>00307500Diagnostic Review 18-19</v>
      </c>
      <c r="G23" s="28" t="s">
        <v>6240</v>
      </c>
      <c r="H23" s="28" t="str">
        <f t="shared" si="0"/>
        <v>00307500Diagnostic Review</v>
      </c>
      <c r="I23" s="29">
        <v>3</v>
      </c>
      <c r="J23" s="28" t="str">
        <f t="shared" si="1"/>
        <v>00307500Diagnostic Review3</v>
      </c>
      <c r="K23" s="32"/>
      <c r="L23" s="32">
        <v>71825</v>
      </c>
      <c r="M23" s="32"/>
      <c r="N23" s="30">
        <v>0</v>
      </c>
      <c r="O23" s="32">
        <v>0</v>
      </c>
      <c r="P23" s="32">
        <v>0</v>
      </c>
      <c r="Q23" s="30">
        <v>0</v>
      </c>
      <c r="R23" s="30">
        <v>0</v>
      </c>
      <c r="S23" s="30">
        <v>0</v>
      </c>
      <c r="T23" s="30">
        <v>0</v>
      </c>
      <c r="U23" s="30"/>
      <c r="V23" s="30"/>
      <c r="W23" s="30"/>
      <c r="X23" s="30"/>
      <c r="Y23" t="s">
        <v>6499</v>
      </c>
    </row>
    <row r="24" spans="1:25" x14ac:dyDescent="0.3">
      <c r="A24" s="2" t="s">
        <v>1646</v>
      </c>
      <c r="B24" s="28" t="s">
        <v>6248</v>
      </c>
      <c r="C24" s="2" t="s">
        <v>1647</v>
      </c>
      <c r="D24" s="2" t="s">
        <v>6474</v>
      </c>
      <c r="E24" s="28" t="s">
        <v>6237</v>
      </c>
      <c r="F24" s="28" t="str">
        <f t="shared" si="2"/>
        <v>0030District LevelTurnaround Network</v>
      </c>
      <c r="G24" s="28" t="s">
        <v>6237</v>
      </c>
      <c r="H24" s="28" t="str">
        <f t="shared" si="0"/>
        <v>0030District LevelTurnaround Network</v>
      </c>
      <c r="I24" s="29">
        <v>2</v>
      </c>
      <c r="J24" s="28" t="str">
        <f t="shared" si="1"/>
        <v>0030District LevelTurnaround Network2</v>
      </c>
      <c r="K24" s="30">
        <v>10000</v>
      </c>
      <c r="L24" s="30"/>
      <c r="M24" s="30"/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30">
        <v>0</v>
      </c>
      <c r="T24" s="30">
        <v>0</v>
      </c>
      <c r="U24" s="30"/>
      <c r="V24" s="30"/>
      <c r="W24" s="30"/>
      <c r="X24" s="30"/>
      <c r="Y24" t="s">
        <v>6499</v>
      </c>
    </row>
    <row r="25" spans="1:25" x14ac:dyDescent="0.3">
      <c r="A25" s="2" t="s">
        <v>1646</v>
      </c>
      <c r="B25" s="28" t="s">
        <v>6248</v>
      </c>
      <c r="C25" s="2" t="s">
        <v>1647</v>
      </c>
      <c r="D25" s="2" t="s">
        <v>6474</v>
      </c>
      <c r="E25" s="28" t="s">
        <v>6473</v>
      </c>
      <c r="F25" s="28" t="str">
        <f t="shared" si="2"/>
        <v>0030District LevelDistrict Design and Led 17-20</v>
      </c>
      <c r="G25" s="28" t="s">
        <v>6233</v>
      </c>
      <c r="H25" s="28" t="str">
        <f t="shared" si="0"/>
        <v>0030District LevelDistrict Design and Led</v>
      </c>
      <c r="I25" s="29">
        <v>3</v>
      </c>
      <c r="J25" s="28" t="str">
        <f t="shared" si="1"/>
        <v>0030District LevelDistrict Design and Led3</v>
      </c>
      <c r="K25" s="30">
        <v>25000</v>
      </c>
      <c r="L25" s="30"/>
      <c r="M25" s="30"/>
      <c r="N25" s="30">
        <v>27625</v>
      </c>
      <c r="O25" s="30">
        <v>0</v>
      </c>
      <c r="P25" s="30">
        <v>0</v>
      </c>
      <c r="Q25" s="30">
        <v>0</v>
      </c>
      <c r="R25" s="30">
        <v>0</v>
      </c>
      <c r="S25" s="30">
        <v>0</v>
      </c>
      <c r="T25" s="30">
        <v>0</v>
      </c>
      <c r="U25" s="30"/>
      <c r="V25" s="30"/>
      <c r="W25" s="30"/>
      <c r="X25" s="30"/>
      <c r="Y25" t="s">
        <v>6499</v>
      </c>
    </row>
    <row r="26" spans="1:25" x14ac:dyDescent="0.3">
      <c r="A26" s="2" t="s">
        <v>1646</v>
      </c>
      <c r="B26" s="2" t="s">
        <v>6248</v>
      </c>
      <c r="C26" s="2" t="s">
        <v>1647</v>
      </c>
      <c r="D26" s="2" t="s">
        <v>6474</v>
      </c>
      <c r="E26" s="28" t="s">
        <v>6475</v>
      </c>
      <c r="F26" s="28" t="s">
        <v>6476</v>
      </c>
      <c r="G26" s="28" t="s">
        <v>6233</v>
      </c>
      <c r="H26" s="28" t="str">
        <f t="shared" si="0"/>
        <v>0030District LevelDistrict Design and Led</v>
      </c>
      <c r="I26" s="29">
        <v>4</v>
      </c>
      <c r="J26" s="28" t="str">
        <f t="shared" si="1"/>
        <v>0030District LevelDistrict Design and Led4</v>
      </c>
      <c r="K26" s="30"/>
      <c r="L26" s="30"/>
      <c r="M26" s="30"/>
      <c r="N26" s="30"/>
      <c r="O26" s="30"/>
      <c r="P26" s="30"/>
      <c r="Q26" s="30">
        <v>205331</v>
      </c>
      <c r="R26" s="30">
        <v>0</v>
      </c>
      <c r="S26" s="30">
        <v>0</v>
      </c>
      <c r="T26" s="30">
        <v>382356</v>
      </c>
      <c r="U26" s="30"/>
      <c r="V26" s="30"/>
      <c r="W26" s="30"/>
      <c r="X26" s="30"/>
      <c r="Y26" t="s">
        <v>6499</v>
      </c>
    </row>
    <row r="27" spans="1:25" x14ac:dyDescent="0.3">
      <c r="A27" s="28" t="s">
        <v>473</v>
      </c>
      <c r="B27" s="28" t="s">
        <v>6248</v>
      </c>
      <c r="C27" s="2" t="s">
        <v>474</v>
      </c>
      <c r="D27" s="2" t="s">
        <v>6474</v>
      </c>
      <c r="E27" s="28" t="s">
        <v>6475</v>
      </c>
      <c r="F27" s="28" t="str">
        <f>A27&amp;B27&amp;E27</f>
        <v>0040District LevelDDL</v>
      </c>
      <c r="G27" s="28" t="s">
        <v>6233</v>
      </c>
      <c r="H27" s="28" t="str">
        <f t="shared" si="0"/>
        <v>0040District LevelDistrict Design and Led</v>
      </c>
      <c r="I27" s="29">
        <v>5</v>
      </c>
      <c r="J27" s="28" t="str">
        <f t="shared" si="1"/>
        <v>0040District LevelDistrict Design and Led5</v>
      </c>
      <c r="K27" s="30">
        <v>0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30">
        <v>0</v>
      </c>
      <c r="T27" s="30">
        <v>0</v>
      </c>
      <c r="U27" s="30">
        <v>50000</v>
      </c>
      <c r="V27" s="30">
        <v>50000</v>
      </c>
      <c r="W27" s="30">
        <v>50000</v>
      </c>
      <c r="X27" s="30">
        <v>0</v>
      </c>
      <c r="Y27" t="s">
        <v>6500</v>
      </c>
    </row>
    <row r="28" spans="1:25" x14ac:dyDescent="0.3">
      <c r="A28" s="2" t="s">
        <v>477</v>
      </c>
      <c r="B28" s="2" t="s">
        <v>2181</v>
      </c>
      <c r="C28" s="2" t="s">
        <v>478</v>
      </c>
      <c r="D28" s="2" t="s">
        <v>2182</v>
      </c>
      <c r="E28" s="28" t="s">
        <v>6463</v>
      </c>
      <c r="F28" s="28" t="str">
        <f>A28&amp;B28&amp;E28</f>
        <v>00500775Diagnostic Review 18-19</v>
      </c>
      <c r="G28" s="28" t="s">
        <v>6240</v>
      </c>
      <c r="H28" s="28" t="str">
        <f t="shared" si="0"/>
        <v>00500775Diagnostic Review</v>
      </c>
      <c r="I28" s="29">
        <v>3</v>
      </c>
      <c r="J28" s="28" t="str">
        <f t="shared" si="1"/>
        <v>00500775Diagnostic Review3</v>
      </c>
      <c r="K28" s="30"/>
      <c r="L28" s="30">
        <v>60700</v>
      </c>
      <c r="M28" s="30"/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30">
        <v>0</v>
      </c>
      <c r="T28" s="30">
        <v>0</v>
      </c>
      <c r="U28" s="30"/>
      <c r="V28" s="30"/>
      <c r="W28" s="30"/>
      <c r="X28" s="30"/>
      <c r="Y28" t="s">
        <v>6499</v>
      </c>
    </row>
    <row r="29" spans="1:25" x14ac:dyDescent="0.3">
      <c r="A29" s="2" t="s">
        <v>477</v>
      </c>
      <c r="B29" s="28" t="s">
        <v>6248</v>
      </c>
      <c r="C29" s="2" t="s">
        <v>478</v>
      </c>
      <c r="D29" s="2" t="s">
        <v>6474</v>
      </c>
      <c r="E29" s="28" t="s">
        <v>6473</v>
      </c>
      <c r="F29" s="28" t="str">
        <f>A29&amp;B29&amp;E29</f>
        <v>0050District LevelDistrict Design and Led 17-20</v>
      </c>
      <c r="G29" s="28" t="s">
        <v>6233</v>
      </c>
      <c r="H29" s="28" t="str">
        <f t="shared" si="0"/>
        <v>0050District LevelDistrict Design and Led</v>
      </c>
      <c r="I29" s="29">
        <v>2</v>
      </c>
      <c r="J29" s="28" t="str">
        <f t="shared" si="1"/>
        <v>0050District LevelDistrict Design and Led2</v>
      </c>
      <c r="K29" s="30">
        <v>49872</v>
      </c>
      <c r="L29" s="30"/>
      <c r="M29" s="30"/>
      <c r="N29" s="30">
        <v>0</v>
      </c>
      <c r="O29" s="30">
        <v>0</v>
      </c>
      <c r="P29" s="30">
        <v>0</v>
      </c>
      <c r="Q29" s="30">
        <v>0</v>
      </c>
      <c r="R29" s="30">
        <v>0</v>
      </c>
      <c r="S29" s="30">
        <v>0</v>
      </c>
      <c r="T29" s="30">
        <v>0</v>
      </c>
      <c r="U29" s="30"/>
      <c r="V29" s="30"/>
      <c r="W29" s="30"/>
      <c r="X29" s="30"/>
      <c r="Y29" t="s">
        <v>6499</v>
      </c>
    </row>
    <row r="30" spans="1:25" x14ac:dyDescent="0.3">
      <c r="A30" s="2" t="s">
        <v>1405</v>
      </c>
      <c r="B30" s="2" t="s">
        <v>2925</v>
      </c>
      <c r="C30" s="2" t="s">
        <v>1406</v>
      </c>
      <c r="D30" s="2" t="s">
        <v>2926</v>
      </c>
      <c r="E30" s="28" t="s">
        <v>6464</v>
      </c>
      <c r="F30" s="28" t="str">
        <f>A30&amp;B30&amp;E30</f>
        <v>00608334Diagnostic Review 17-18</v>
      </c>
      <c r="G30" s="28" t="s">
        <v>6240</v>
      </c>
      <c r="H30" s="28" t="str">
        <f t="shared" si="0"/>
        <v>00608334Diagnostic Review</v>
      </c>
      <c r="I30" s="29">
        <v>2</v>
      </c>
      <c r="J30" s="28" t="str">
        <f t="shared" si="1"/>
        <v>00608334Diagnostic Review2</v>
      </c>
      <c r="K30" s="30">
        <v>49859</v>
      </c>
      <c r="L30" s="30"/>
      <c r="M30" s="30"/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/>
      <c r="V30" s="30"/>
      <c r="W30" s="30"/>
      <c r="X30" s="30"/>
      <c r="Y30" t="s">
        <v>6499</v>
      </c>
    </row>
    <row r="31" spans="1:25" x14ac:dyDescent="0.3">
      <c r="A31" s="2" t="s">
        <v>743</v>
      </c>
      <c r="B31" s="2" t="s">
        <v>4627</v>
      </c>
      <c r="C31" s="2" t="s">
        <v>744</v>
      </c>
      <c r="D31" s="2" t="s">
        <v>4628</v>
      </c>
      <c r="E31" s="28" t="s">
        <v>6465</v>
      </c>
      <c r="F31" s="28" t="str">
        <f>A31&amp;B31&amp;E31</f>
        <v>00703931Diagnostic Review 19-20</v>
      </c>
      <c r="G31" s="28" t="s">
        <v>6240</v>
      </c>
      <c r="H31" s="28" t="str">
        <f t="shared" si="0"/>
        <v>00703931Diagnostic Review</v>
      </c>
      <c r="I31" s="29">
        <v>3</v>
      </c>
      <c r="J31" s="28" t="str">
        <f t="shared" si="1"/>
        <v>00703931Diagnostic Review3</v>
      </c>
      <c r="K31" s="30"/>
      <c r="L31" s="30"/>
      <c r="M31" s="30"/>
      <c r="N31" s="30">
        <v>38675</v>
      </c>
      <c r="O31" s="30"/>
      <c r="P31" s="30"/>
      <c r="Q31" s="30">
        <v>0</v>
      </c>
      <c r="R31" s="30">
        <v>0</v>
      </c>
      <c r="S31" s="30">
        <v>0</v>
      </c>
      <c r="T31" s="30">
        <v>0</v>
      </c>
      <c r="U31" s="30"/>
      <c r="V31" s="30"/>
      <c r="W31" s="30"/>
      <c r="X31" s="30"/>
      <c r="Y31" t="s">
        <v>6499</v>
      </c>
    </row>
    <row r="32" spans="1:25" x14ac:dyDescent="0.3">
      <c r="A32" s="2" t="s">
        <v>743</v>
      </c>
      <c r="B32" s="2" t="s">
        <v>4627</v>
      </c>
      <c r="C32" s="2" t="s">
        <v>744</v>
      </c>
      <c r="D32" s="2" t="s">
        <v>4628</v>
      </c>
      <c r="E32" s="28" t="s">
        <v>6475</v>
      </c>
      <c r="F32" s="28" t="s">
        <v>6476</v>
      </c>
      <c r="G32" s="28" t="s">
        <v>6233</v>
      </c>
      <c r="H32" s="28" t="str">
        <f t="shared" si="0"/>
        <v>00703931District Design and Led</v>
      </c>
      <c r="I32" s="29">
        <v>4</v>
      </c>
      <c r="J32" s="28" t="str">
        <f t="shared" si="1"/>
        <v>00703931District Design and Led4</v>
      </c>
      <c r="K32" s="30"/>
      <c r="L32" s="30"/>
      <c r="M32" s="30"/>
      <c r="N32" s="30"/>
      <c r="O32" s="30"/>
      <c r="P32" s="30"/>
      <c r="Q32" s="30">
        <v>22875</v>
      </c>
      <c r="R32" s="30">
        <v>0</v>
      </c>
      <c r="S32" s="30">
        <v>0</v>
      </c>
      <c r="T32" s="30">
        <v>50750</v>
      </c>
      <c r="U32" s="30"/>
      <c r="V32" s="30"/>
      <c r="W32" s="30"/>
      <c r="X32" s="30"/>
      <c r="Y32" t="s">
        <v>6499</v>
      </c>
    </row>
    <row r="33" spans="1:25" x14ac:dyDescent="0.3">
      <c r="A33" s="2" t="s">
        <v>743</v>
      </c>
      <c r="B33" s="28" t="s">
        <v>6248</v>
      </c>
      <c r="C33" s="2" t="s">
        <v>744</v>
      </c>
      <c r="D33" s="2" t="s">
        <v>6474</v>
      </c>
      <c r="E33" s="28" t="s">
        <v>6473</v>
      </c>
      <c r="F33" s="28" t="str">
        <f t="shared" ref="F33:F48" si="3">A33&amp;B33&amp;E33</f>
        <v>0070District LevelDistrict Design and Led 17-20</v>
      </c>
      <c r="G33" s="28" t="s">
        <v>6233</v>
      </c>
      <c r="H33" s="28" t="str">
        <f t="shared" si="0"/>
        <v>0070District LevelDistrict Design and Led</v>
      </c>
      <c r="I33" s="29">
        <v>2</v>
      </c>
      <c r="J33" s="28" t="str">
        <f t="shared" si="1"/>
        <v>0070District LevelDistrict Design and Led2</v>
      </c>
      <c r="K33" s="30">
        <v>358789</v>
      </c>
      <c r="L33" s="30"/>
      <c r="M33" s="30"/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/>
      <c r="V33" s="30"/>
      <c r="W33" s="30"/>
      <c r="X33" s="30"/>
      <c r="Y33" t="s">
        <v>6499</v>
      </c>
    </row>
    <row r="34" spans="1:25" x14ac:dyDescent="0.3">
      <c r="A34" s="2" t="s">
        <v>743</v>
      </c>
      <c r="B34" s="28" t="s">
        <v>6248</v>
      </c>
      <c r="C34" s="2" t="s">
        <v>744</v>
      </c>
      <c r="D34" s="2" t="s">
        <v>6474</v>
      </c>
      <c r="E34" s="28" t="s">
        <v>6477</v>
      </c>
      <c r="F34" s="28" t="str">
        <f t="shared" si="3"/>
        <v>0070District LevelDistrict Design and Led 18-21</v>
      </c>
      <c r="G34" s="28" t="s">
        <v>6233</v>
      </c>
      <c r="H34" s="28" t="str">
        <f t="shared" si="0"/>
        <v>0070District LevelDistrict Design and Led</v>
      </c>
      <c r="I34" s="29">
        <v>3</v>
      </c>
      <c r="J34" s="28" t="str">
        <f t="shared" si="1"/>
        <v>0070District LevelDistrict Design and Led3</v>
      </c>
      <c r="K34" s="30"/>
      <c r="L34" s="30">
        <v>135500</v>
      </c>
      <c r="M34" s="30"/>
      <c r="N34" s="30">
        <v>0</v>
      </c>
      <c r="O34" s="30">
        <v>0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/>
      <c r="V34" s="30"/>
      <c r="W34" s="30"/>
      <c r="X34" s="30"/>
      <c r="Y34" t="s">
        <v>6499</v>
      </c>
    </row>
    <row r="35" spans="1:25" x14ac:dyDescent="0.3">
      <c r="A35" s="28" t="s">
        <v>743</v>
      </c>
      <c r="B35" s="28" t="s">
        <v>6248</v>
      </c>
      <c r="C35" s="2" t="s">
        <v>744</v>
      </c>
      <c r="D35" s="2" t="s">
        <v>6474</v>
      </c>
      <c r="E35" s="28" t="s">
        <v>6475</v>
      </c>
      <c r="F35" s="28" t="str">
        <f t="shared" si="3"/>
        <v>0070District LevelDDL</v>
      </c>
      <c r="G35" s="28" t="s">
        <v>6233</v>
      </c>
      <c r="H35" s="28" t="str">
        <f t="shared" si="0"/>
        <v>0070District LevelDistrict Design and Led</v>
      </c>
      <c r="I35" s="29">
        <v>5</v>
      </c>
      <c r="J35" s="28" t="str">
        <f t="shared" si="1"/>
        <v>0070District LevelDistrict Design and Led5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54000</v>
      </c>
      <c r="W35" s="30">
        <v>25000</v>
      </c>
      <c r="X35" s="30">
        <v>0</v>
      </c>
      <c r="Y35" t="s">
        <v>6500</v>
      </c>
    </row>
    <row r="36" spans="1:25" x14ac:dyDescent="0.3">
      <c r="A36" s="28" t="s">
        <v>743</v>
      </c>
      <c r="B36" s="28" t="s">
        <v>6248</v>
      </c>
      <c r="C36" s="2" t="s">
        <v>744</v>
      </c>
      <c r="D36" s="2" t="s">
        <v>6474</v>
      </c>
      <c r="E36" s="28" t="s">
        <v>6475</v>
      </c>
      <c r="F36" s="28" t="str">
        <f t="shared" si="3"/>
        <v>0070District LevelDDL</v>
      </c>
      <c r="G36" s="28" t="s">
        <v>6233</v>
      </c>
      <c r="H36" s="28" t="str">
        <f t="shared" si="0"/>
        <v>0070District LevelDistrict Design and Led</v>
      </c>
      <c r="I36" s="29">
        <v>5</v>
      </c>
      <c r="J36" s="28" t="str">
        <f t="shared" si="1"/>
        <v>0070District LevelDistrict Design and Led5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68000</v>
      </c>
      <c r="W36" s="30">
        <v>68000</v>
      </c>
      <c r="X36" s="30">
        <v>0</v>
      </c>
      <c r="Y36" t="s">
        <v>6500</v>
      </c>
    </row>
    <row r="37" spans="1:25" x14ac:dyDescent="0.3">
      <c r="A37" s="28" t="s">
        <v>1409</v>
      </c>
      <c r="B37" s="2" t="s">
        <v>4443</v>
      </c>
      <c r="C37" s="2" t="s">
        <v>1410</v>
      </c>
      <c r="D37" s="2" t="s">
        <v>4444</v>
      </c>
      <c r="E37" s="28" t="s">
        <v>6456</v>
      </c>
      <c r="F37" s="28" t="str">
        <f t="shared" si="3"/>
        <v>01200206Connect For Success 18-21</v>
      </c>
      <c r="G37" s="28" t="s">
        <v>6234</v>
      </c>
      <c r="H37" s="28" t="str">
        <f t="shared" si="0"/>
        <v>01200206Connect For Success</v>
      </c>
      <c r="I37" s="29">
        <v>2</v>
      </c>
      <c r="J37" s="28" t="str">
        <f t="shared" si="1"/>
        <v>01200206Connect For Success2</v>
      </c>
      <c r="K37" s="30"/>
      <c r="L37" s="30">
        <v>5083</v>
      </c>
      <c r="M37" s="30">
        <v>80000</v>
      </c>
      <c r="N37" s="30">
        <v>0</v>
      </c>
      <c r="O37" s="30">
        <v>84000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/>
      <c r="V37" s="30"/>
      <c r="W37" s="30"/>
      <c r="X37" s="30"/>
      <c r="Y37" t="s">
        <v>6499</v>
      </c>
    </row>
    <row r="38" spans="1:25" x14ac:dyDescent="0.3">
      <c r="A38" s="2" t="s">
        <v>1409</v>
      </c>
      <c r="B38" s="2" t="s">
        <v>4446</v>
      </c>
      <c r="C38" s="2" t="s">
        <v>1410</v>
      </c>
      <c r="D38" s="2" t="s">
        <v>4447</v>
      </c>
      <c r="E38" s="28" t="s">
        <v>6463</v>
      </c>
      <c r="F38" s="28" t="str">
        <f t="shared" si="3"/>
        <v>01201514Diagnostic Review 18-19</v>
      </c>
      <c r="G38" s="28" t="s">
        <v>6240</v>
      </c>
      <c r="H38" s="28" t="str">
        <f t="shared" si="0"/>
        <v>01201514Diagnostic Review</v>
      </c>
      <c r="I38" s="29">
        <v>3</v>
      </c>
      <c r="J38" s="28" t="str">
        <f t="shared" si="1"/>
        <v>01201514Diagnostic Review3</v>
      </c>
      <c r="K38" s="30"/>
      <c r="L38" s="30">
        <v>8840</v>
      </c>
      <c r="M38" s="30"/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/>
      <c r="V38" s="30"/>
      <c r="W38" s="30"/>
      <c r="X38" s="30"/>
      <c r="Y38" t="s">
        <v>6499</v>
      </c>
    </row>
    <row r="39" spans="1:25" x14ac:dyDescent="0.3">
      <c r="A39" s="2" t="s">
        <v>1409</v>
      </c>
      <c r="B39" s="2" t="s">
        <v>2189</v>
      </c>
      <c r="C39" s="2" t="s">
        <v>1410</v>
      </c>
      <c r="D39" s="2" t="s">
        <v>2190</v>
      </c>
      <c r="E39" s="28" t="s">
        <v>6453</v>
      </c>
      <c r="F39" s="28" t="str">
        <f t="shared" si="3"/>
        <v>01202752Accountability Pathways 17-18</v>
      </c>
      <c r="G39" s="28" t="s">
        <v>6236</v>
      </c>
      <c r="H39" s="28" t="str">
        <f t="shared" si="0"/>
        <v>01202752Accountability Pathways</v>
      </c>
      <c r="I39" s="29">
        <v>1</v>
      </c>
      <c r="J39" s="28" t="str">
        <f t="shared" si="1"/>
        <v>01202752Accountability Pathways1</v>
      </c>
      <c r="K39" s="30">
        <v>22050</v>
      </c>
      <c r="L39" s="30"/>
      <c r="M39" s="30"/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/>
      <c r="V39" s="30"/>
      <c r="W39" s="30"/>
      <c r="X39" s="30"/>
      <c r="Y39" t="s">
        <v>6499</v>
      </c>
    </row>
    <row r="40" spans="1:25" x14ac:dyDescent="0.3">
      <c r="A40" s="28" t="s">
        <v>1409</v>
      </c>
      <c r="B40" s="28" t="s">
        <v>2189</v>
      </c>
      <c r="C40" s="2" t="s">
        <v>1410</v>
      </c>
      <c r="D40" s="2" t="s">
        <v>2190</v>
      </c>
      <c r="E40" s="28" t="s">
        <v>6237</v>
      </c>
      <c r="F40" s="28" t="str">
        <f t="shared" si="3"/>
        <v>01202752Turnaround Network</v>
      </c>
      <c r="G40" s="28" t="s">
        <v>6237</v>
      </c>
      <c r="H40" s="28" t="str">
        <f t="shared" si="0"/>
        <v>01202752Turnaround Network</v>
      </c>
      <c r="I40" s="29">
        <v>3</v>
      </c>
      <c r="J40" s="28" t="str">
        <f t="shared" si="1"/>
        <v>01202752Turnaround Network3</v>
      </c>
      <c r="K40" s="30"/>
      <c r="L40" s="30"/>
      <c r="M40" s="30"/>
      <c r="N40" s="30">
        <f>15647-647</f>
        <v>15000</v>
      </c>
      <c r="O40" s="30">
        <v>0</v>
      </c>
      <c r="P40" s="30">
        <v>29977</v>
      </c>
      <c r="Q40" s="30">
        <v>0</v>
      </c>
      <c r="R40" s="30">
        <v>0</v>
      </c>
      <c r="S40" s="30">
        <v>64470</v>
      </c>
      <c r="T40" s="30">
        <v>0</v>
      </c>
      <c r="U40" s="30"/>
      <c r="V40" s="30"/>
      <c r="W40" s="30"/>
      <c r="X40" s="30"/>
      <c r="Y40" t="s">
        <v>6499</v>
      </c>
    </row>
    <row r="41" spans="1:25" x14ac:dyDescent="0.3">
      <c r="A41" s="28" t="s">
        <v>1409</v>
      </c>
      <c r="B41" s="28" t="s">
        <v>6248</v>
      </c>
      <c r="C41" s="2" t="s">
        <v>1410</v>
      </c>
      <c r="D41" s="2" t="s">
        <v>6474</v>
      </c>
      <c r="E41" s="28" t="s">
        <v>6477</v>
      </c>
      <c r="F41" s="28" t="str">
        <f t="shared" si="3"/>
        <v>0120District LevelDistrict Design and Led 18-21</v>
      </c>
      <c r="G41" s="28" t="s">
        <v>6233</v>
      </c>
      <c r="H41" s="28" t="str">
        <f t="shared" si="0"/>
        <v>0120District LevelDistrict Design and Led</v>
      </c>
      <c r="I41" s="29">
        <v>3</v>
      </c>
      <c r="J41" s="28" t="str">
        <f t="shared" si="1"/>
        <v>0120District LevelDistrict Design and Led3</v>
      </c>
      <c r="K41" s="30"/>
      <c r="L41" s="30">
        <v>10525</v>
      </c>
      <c r="M41" s="30">
        <v>74124</v>
      </c>
      <c r="N41" s="30">
        <v>0</v>
      </c>
      <c r="O41" s="30">
        <v>81390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/>
      <c r="V41" s="30"/>
      <c r="W41" s="30"/>
      <c r="X41" s="30"/>
      <c r="Y41" t="s">
        <v>6499</v>
      </c>
    </row>
    <row r="42" spans="1:25" x14ac:dyDescent="0.3">
      <c r="A42" s="2" t="s">
        <v>1413</v>
      </c>
      <c r="B42" s="2" t="s">
        <v>2191</v>
      </c>
      <c r="C42" s="2" t="s">
        <v>1414</v>
      </c>
      <c r="D42" s="2" t="s">
        <v>2192</v>
      </c>
      <c r="E42" s="28" t="s">
        <v>6463</v>
      </c>
      <c r="F42" s="28" t="str">
        <f t="shared" si="3"/>
        <v>01233054Diagnostic Review 18-19</v>
      </c>
      <c r="G42" s="28" t="s">
        <v>6240</v>
      </c>
      <c r="H42" s="28" t="str">
        <f t="shared" si="0"/>
        <v>01233054Diagnostic Review</v>
      </c>
      <c r="I42" s="29">
        <v>3</v>
      </c>
      <c r="J42" s="28" t="str">
        <f t="shared" si="1"/>
        <v>01233054Diagnostic Review3</v>
      </c>
      <c r="K42" s="30"/>
      <c r="L42" s="30">
        <v>19035</v>
      </c>
      <c r="M42" s="30"/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/>
      <c r="V42" s="30"/>
      <c r="W42" s="30"/>
      <c r="X42" s="30"/>
      <c r="Y42" t="s">
        <v>6499</v>
      </c>
    </row>
    <row r="43" spans="1:25" x14ac:dyDescent="0.3">
      <c r="A43" s="2" t="s">
        <v>1413</v>
      </c>
      <c r="B43" s="2" t="s">
        <v>2191</v>
      </c>
      <c r="C43" s="2" t="s">
        <v>1414</v>
      </c>
      <c r="D43" s="2" t="s">
        <v>2192</v>
      </c>
      <c r="E43" s="28" t="s">
        <v>6478</v>
      </c>
      <c r="F43" s="28" t="str">
        <f t="shared" si="3"/>
        <v>01233054District Design and Led 19-22</v>
      </c>
      <c r="G43" s="28" t="s">
        <v>6233</v>
      </c>
      <c r="H43" s="28" t="str">
        <f t="shared" si="0"/>
        <v>01233054District Design and Led</v>
      </c>
      <c r="I43" s="29">
        <v>3</v>
      </c>
      <c r="J43" s="28" t="str">
        <f t="shared" si="1"/>
        <v>01233054District Design and Led3</v>
      </c>
      <c r="K43" s="30"/>
      <c r="L43" s="30"/>
      <c r="M43" s="30"/>
      <c r="N43" s="30">
        <v>37150</v>
      </c>
      <c r="O43" s="30">
        <v>0</v>
      </c>
      <c r="P43" s="30">
        <v>74256</v>
      </c>
      <c r="Q43" s="30">
        <v>0</v>
      </c>
      <c r="R43" s="30">
        <v>0</v>
      </c>
      <c r="S43" s="30">
        <v>74256</v>
      </c>
      <c r="T43" s="30">
        <v>0</v>
      </c>
      <c r="U43" s="30"/>
      <c r="V43" s="30"/>
      <c r="W43" s="30"/>
      <c r="X43" s="30"/>
      <c r="Y43" t="s">
        <v>6499</v>
      </c>
    </row>
    <row r="44" spans="1:25" x14ac:dyDescent="0.3">
      <c r="A44" s="2" t="s">
        <v>1413</v>
      </c>
      <c r="B44" s="2" t="s">
        <v>5147</v>
      </c>
      <c r="C44" s="2" t="s">
        <v>1414</v>
      </c>
      <c r="D44" s="2" t="s">
        <v>5148</v>
      </c>
      <c r="E44" s="28" t="s">
        <v>6463</v>
      </c>
      <c r="F44" s="28" t="str">
        <f t="shared" si="3"/>
        <v>01237837Diagnostic Review 18-19</v>
      </c>
      <c r="G44" s="28" t="s">
        <v>6240</v>
      </c>
      <c r="H44" s="28" t="str">
        <f t="shared" si="0"/>
        <v>01237837Diagnostic Review</v>
      </c>
      <c r="I44" s="29">
        <v>3</v>
      </c>
      <c r="J44" s="28" t="str">
        <f t="shared" si="1"/>
        <v>01237837Diagnostic Review3</v>
      </c>
      <c r="K44" s="30"/>
      <c r="L44" s="30">
        <v>19035</v>
      </c>
      <c r="M44" s="30"/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/>
      <c r="V44" s="30"/>
      <c r="W44" s="30"/>
      <c r="X44" s="30"/>
      <c r="Y44" t="s">
        <v>6499</v>
      </c>
    </row>
    <row r="45" spans="1:25" x14ac:dyDescent="0.3">
      <c r="A45" s="28" t="s">
        <v>1413</v>
      </c>
      <c r="B45" s="28" t="s">
        <v>5145</v>
      </c>
      <c r="C45" s="2" t="s">
        <v>1414</v>
      </c>
      <c r="D45" s="2" t="s">
        <v>5146</v>
      </c>
      <c r="E45" s="28" t="s">
        <v>6238</v>
      </c>
      <c r="F45" s="28" t="str">
        <f t="shared" si="3"/>
        <v>01238123AEC Pilot</v>
      </c>
      <c r="G45" s="28" t="s">
        <v>6238</v>
      </c>
      <c r="H45" s="28" t="str">
        <f t="shared" si="0"/>
        <v>01238123AEC Pilot</v>
      </c>
      <c r="I45" s="29">
        <v>2</v>
      </c>
      <c r="J45" s="28" t="str">
        <f t="shared" si="1"/>
        <v>01238123AEC Pilot2</v>
      </c>
      <c r="K45" s="30"/>
      <c r="L45" s="30"/>
      <c r="M45" s="30">
        <v>40000</v>
      </c>
      <c r="N45" s="30">
        <v>0</v>
      </c>
      <c r="O45" s="30">
        <v>5083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/>
      <c r="V45" s="30"/>
      <c r="W45" s="30"/>
      <c r="X45" s="30"/>
      <c r="Y45" t="s">
        <v>6499</v>
      </c>
    </row>
    <row r="46" spans="1:25" x14ac:dyDescent="0.3">
      <c r="A46" s="2" t="s">
        <v>1413</v>
      </c>
      <c r="B46" s="2" t="s">
        <v>5145</v>
      </c>
      <c r="C46" s="2" t="s">
        <v>1414</v>
      </c>
      <c r="D46" s="2" t="s">
        <v>5146</v>
      </c>
      <c r="E46" s="28" t="s">
        <v>6473</v>
      </c>
      <c r="F46" s="28" t="str">
        <f t="shared" si="3"/>
        <v>01238123District Design and Led 17-20</v>
      </c>
      <c r="G46" s="28" t="s">
        <v>6233</v>
      </c>
      <c r="H46" s="28" t="str">
        <f t="shared" si="0"/>
        <v>01238123District Design and Led</v>
      </c>
      <c r="I46" s="29">
        <v>2</v>
      </c>
      <c r="J46" s="28" t="str">
        <f t="shared" si="1"/>
        <v>01238123District Design and Led2</v>
      </c>
      <c r="K46" s="30">
        <v>86765</v>
      </c>
      <c r="L46" s="30">
        <v>224141</v>
      </c>
      <c r="M46" s="30">
        <v>129184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/>
      <c r="V46" s="30"/>
      <c r="W46" s="30"/>
      <c r="X46" s="30"/>
      <c r="Y46" t="s">
        <v>6499</v>
      </c>
    </row>
    <row r="47" spans="1:25" x14ac:dyDescent="0.3">
      <c r="A47" s="2" t="s">
        <v>1413</v>
      </c>
      <c r="B47" s="28" t="s">
        <v>6248</v>
      </c>
      <c r="C47" s="2" t="s">
        <v>1414</v>
      </c>
      <c r="D47" s="2" t="s">
        <v>6474</v>
      </c>
      <c r="E47" s="28" t="s">
        <v>6475</v>
      </c>
      <c r="F47" s="28" t="str">
        <f t="shared" si="3"/>
        <v>0123District LevelDDL</v>
      </c>
      <c r="G47" s="28" t="s">
        <v>6233</v>
      </c>
      <c r="H47" s="28" t="str">
        <f t="shared" si="0"/>
        <v>0123District LevelDistrict Design and Led</v>
      </c>
      <c r="I47" s="29">
        <v>5</v>
      </c>
      <c r="J47" s="28" t="str">
        <f t="shared" si="1"/>
        <v>0123District LevelDistrict Design and Led5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  <c r="S47" s="30">
        <v>0</v>
      </c>
      <c r="T47" s="30">
        <v>0</v>
      </c>
      <c r="U47" s="30">
        <v>0</v>
      </c>
      <c r="V47" s="30">
        <v>30000</v>
      </c>
      <c r="W47" s="30">
        <v>0</v>
      </c>
      <c r="X47" s="30">
        <v>0</v>
      </c>
      <c r="Y47" t="s">
        <v>6500</v>
      </c>
    </row>
    <row r="48" spans="1:25" x14ac:dyDescent="0.3">
      <c r="A48" s="2" t="s">
        <v>409</v>
      </c>
      <c r="B48" s="2" t="s">
        <v>5070</v>
      </c>
      <c r="C48" s="2" t="s">
        <v>410</v>
      </c>
      <c r="D48" s="2" t="s">
        <v>5071</v>
      </c>
      <c r="E48" s="28" t="s">
        <v>6455</v>
      </c>
      <c r="F48" s="28" t="str">
        <f t="shared" si="3"/>
        <v>01300242Connect For Success 17-20</v>
      </c>
      <c r="G48" s="28" t="s">
        <v>6234</v>
      </c>
      <c r="H48" s="28" t="str">
        <f t="shared" si="0"/>
        <v>01300242Connect For Success</v>
      </c>
      <c r="I48" s="29">
        <v>1</v>
      </c>
      <c r="J48" s="28" t="str">
        <f t="shared" si="1"/>
        <v>01300242Connect For Success1</v>
      </c>
      <c r="K48" s="30">
        <v>7000</v>
      </c>
      <c r="L48" s="30">
        <v>34000</v>
      </c>
      <c r="M48" s="30">
        <v>80000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/>
      <c r="V48" s="30"/>
      <c r="W48" s="30"/>
      <c r="X48" s="30"/>
      <c r="Y48" t="s">
        <v>6499</v>
      </c>
    </row>
    <row r="49" spans="1:25" x14ac:dyDescent="0.3">
      <c r="A49" s="2" t="s">
        <v>409</v>
      </c>
      <c r="B49" s="28" t="s">
        <v>5755</v>
      </c>
      <c r="C49" s="2" t="s">
        <v>410</v>
      </c>
      <c r="D49" s="2" t="s">
        <v>5756</v>
      </c>
      <c r="E49" s="28" t="s">
        <v>6457</v>
      </c>
      <c r="F49" s="28" t="s">
        <v>6458</v>
      </c>
      <c r="G49" s="28" t="s">
        <v>6234</v>
      </c>
      <c r="H49" s="28" t="str">
        <f t="shared" si="0"/>
        <v>01301572Connect For Success</v>
      </c>
      <c r="I49" s="29">
        <v>4</v>
      </c>
      <c r="J49" s="28" t="str">
        <f t="shared" si="1"/>
        <v>01301572Connect For Success4</v>
      </c>
      <c r="K49" s="30"/>
      <c r="L49" s="30"/>
      <c r="M49" s="30"/>
      <c r="N49" s="30"/>
      <c r="O49" s="30"/>
      <c r="P49" s="30"/>
      <c r="Q49" s="30">
        <v>20000</v>
      </c>
      <c r="R49" s="30">
        <v>0</v>
      </c>
      <c r="S49" s="30">
        <v>0</v>
      </c>
      <c r="T49" s="30">
        <v>80000</v>
      </c>
      <c r="U49" s="30"/>
      <c r="V49" s="30"/>
      <c r="W49" s="30"/>
      <c r="X49" s="30"/>
      <c r="Y49" t="s">
        <v>6499</v>
      </c>
    </row>
    <row r="50" spans="1:25" x14ac:dyDescent="0.3">
      <c r="A50" s="2" t="s">
        <v>409</v>
      </c>
      <c r="B50" s="2" t="s">
        <v>2127</v>
      </c>
      <c r="C50" s="2" t="s">
        <v>410</v>
      </c>
      <c r="D50" s="2" t="s">
        <v>2128</v>
      </c>
      <c r="E50" s="28" t="s">
        <v>6459</v>
      </c>
      <c r="F50" s="28" t="str">
        <f t="shared" ref="F50:F57" si="4">A50&amp;B50&amp;E50</f>
        <v>01302428Connect For Success 19-22</v>
      </c>
      <c r="G50" s="28" t="s">
        <v>6234</v>
      </c>
      <c r="H50" s="28" t="str">
        <f t="shared" si="0"/>
        <v>01302428Connect For Success</v>
      </c>
      <c r="I50" s="29">
        <v>3</v>
      </c>
      <c r="J50" s="28" t="str">
        <f t="shared" si="1"/>
        <v>01302428Connect For Success3</v>
      </c>
      <c r="K50" s="30"/>
      <c r="L50" s="30"/>
      <c r="M50" s="30"/>
      <c r="N50" s="30">
        <v>20542</v>
      </c>
      <c r="O50" s="30">
        <v>0</v>
      </c>
      <c r="P50" s="30">
        <v>82208</v>
      </c>
      <c r="Q50" s="30">
        <v>0</v>
      </c>
      <c r="R50" s="30">
        <v>0</v>
      </c>
      <c r="S50" s="30">
        <v>82440</v>
      </c>
      <c r="T50" s="30">
        <v>0</v>
      </c>
      <c r="U50" s="30"/>
      <c r="V50" s="30"/>
      <c r="W50" s="30"/>
      <c r="X50" s="30"/>
      <c r="Y50" t="s">
        <v>6499</v>
      </c>
    </row>
    <row r="51" spans="1:25" x14ac:dyDescent="0.3">
      <c r="A51" s="28" t="s">
        <v>409</v>
      </c>
      <c r="B51" s="28" t="s">
        <v>2127</v>
      </c>
      <c r="C51" s="2" t="s">
        <v>410</v>
      </c>
      <c r="D51" s="2" t="s">
        <v>2128</v>
      </c>
      <c r="E51" s="28" t="s">
        <v>6496</v>
      </c>
      <c r="F51" s="28" t="str">
        <f t="shared" si="4"/>
        <v>01302428Offered Services Continuation</v>
      </c>
      <c r="G51" s="28" t="s">
        <v>6458</v>
      </c>
      <c r="H51" s="28" t="str">
        <f t="shared" si="0"/>
        <v>01302428Connect for Success</v>
      </c>
      <c r="I51" s="29">
        <v>5</v>
      </c>
      <c r="J51" s="28" t="str">
        <f t="shared" si="1"/>
        <v>01302428Connect for Success5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0</v>
      </c>
      <c r="S51" s="30">
        <v>0</v>
      </c>
      <c r="T51" s="30">
        <v>0</v>
      </c>
      <c r="U51" s="30">
        <v>0</v>
      </c>
      <c r="V51" s="30">
        <v>40000</v>
      </c>
      <c r="W51" s="30">
        <v>0</v>
      </c>
      <c r="X51" s="30">
        <v>0</v>
      </c>
      <c r="Y51" t="s">
        <v>6499</v>
      </c>
    </row>
    <row r="52" spans="1:25" x14ac:dyDescent="0.3">
      <c r="A52" s="2" t="s">
        <v>409</v>
      </c>
      <c r="B52" s="2" t="s">
        <v>5052</v>
      </c>
      <c r="C52" s="2" t="s">
        <v>410</v>
      </c>
      <c r="D52" s="2" t="s">
        <v>5053</v>
      </c>
      <c r="E52" s="28" t="s">
        <v>6459</v>
      </c>
      <c r="F52" s="28" t="str">
        <f t="shared" si="4"/>
        <v>01302653Connect For Success 19-22</v>
      </c>
      <c r="G52" s="28" t="s">
        <v>6234</v>
      </c>
      <c r="H52" s="28" t="str">
        <f t="shared" si="0"/>
        <v>01302653Connect For Success</v>
      </c>
      <c r="I52" s="29">
        <v>3</v>
      </c>
      <c r="J52" s="28" t="str">
        <f t="shared" si="1"/>
        <v>01302653Connect For Success3</v>
      </c>
      <c r="K52" s="30"/>
      <c r="L52" s="30"/>
      <c r="M52" s="30"/>
      <c r="N52" s="30">
        <v>20542</v>
      </c>
      <c r="O52" s="30">
        <v>0</v>
      </c>
      <c r="P52" s="30">
        <v>82208</v>
      </c>
      <c r="Q52" s="30">
        <v>0</v>
      </c>
      <c r="R52" s="30">
        <v>0</v>
      </c>
      <c r="S52" s="30">
        <v>82440</v>
      </c>
      <c r="T52" s="30">
        <v>0</v>
      </c>
      <c r="U52" s="30"/>
      <c r="V52" s="30"/>
      <c r="W52" s="30"/>
      <c r="X52" s="30"/>
      <c r="Y52" t="s">
        <v>6499</v>
      </c>
    </row>
    <row r="53" spans="1:25" x14ac:dyDescent="0.3">
      <c r="A53" s="28" t="s">
        <v>409</v>
      </c>
      <c r="B53" s="28" t="s">
        <v>5052</v>
      </c>
      <c r="C53" s="2" t="s">
        <v>410</v>
      </c>
      <c r="D53" s="2" t="s">
        <v>5053</v>
      </c>
      <c r="E53" s="28" t="s">
        <v>6496</v>
      </c>
      <c r="F53" s="28" t="str">
        <f t="shared" si="4"/>
        <v>01302653Offered Services Continuation</v>
      </c>
      <c r="G53" s="28" t="s">
        <v>6458</v>
      </c>
      <c r="H53" s="28" t="str">
        <f t="shared" si="0"/>
        <v>01302653Connect for Success</v>
      </c>
      <c r="I53" s="29">
        <v>5</v>
      </c>
      <c r="J53" s="28" t="str">
        <f t="shared" si="1"/>
        <v>01302653Connect for Success5</v>
      </c>
      <c r="K53" s="30">
        <v>0</v>
      </c>
      <c r="L53" s="30">
        <v>0</v>
      </c>
      <c r="M53" s="30">
        <v>0</v>
      </c>
      <c r="N53" s="30">
        <v>0</v>
      </c>
      <c r="O53" s="30">
        <v>0</v>
      </c>
      <c r="P53" s="30">
        <v>0</v>
      </c>
      <c r="Q53" s="30">
        <v>0</v>
      </c>
      <c r="R53" s="30">
        <v>0</v>
      </c>
      <c r="S53" s="30">
        <v>0</v>
      </c>
      <c r="T53" s="30">
        <v>0</v>
      </c>
      <c r="U53" s="30">
        <v>0</v>
      </c>
      <c r="V53" s="30">
        <v>40000</v>
      </c>
      <c r="W53" s="30">
        <v>0</v>
      </c>
      <c r="X53" s="30">
        <v>0</v>
      </c>
      <c r="Y53" t="s">
        <v>6499</v>
      </c>
    </row>
    <row r="54" spans="1:25" x14ac:dyDescent="0.3">
      <c r="A54" s="2" t="s">
        <v>409</v>
      </c>
      <c r="B54" s="2" t="s">
        <v>5059</v>
      </c>
      <c r="C54" s="2" t="s">
        <v>410</v>
      </c>
      <c r="D54" s="2" t="s">
        <v>5060</v>
      </c>
      <c r="E54" s="28" t="s">
        <v>6455</v>
      </c>
      <c r="F54" s="28" t="str">
        <f t="shared" si="4"/>
        <v>01302897Connect For Success 17-20</v>
      </c>
      <c r="G54" s="28" t="s">
        <v>6234</v>
      </c>
      <c r="H54" s="28" t="str">
        <f t="shared" si="0"/>
        <v>01302897Connect For Success</v>
      </c>
      <c r="I54" s="29">
        <v>1</v>
      </c>
      <c r="J54" s="28" t="str">
        <f t="shared" si="1"/>
        <v>01302897Connect For Success1</v>
      </c>
      <c r="K54" s="30">
        <v>7000</v>
      </c>
      <c r="L54" s="30">
        <v>34000</v>
      </c>
      <c r="M54" s="30">
        <v>80000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30">
        <v>0</v>
      </c>
      <c r="T54" s="30">
        <v>0</v>
      </c>
      <c r="U54" s="30"/>
      <c r="V54" s="30"/>
      <c r="W54" s="30"/>
      <c r="X54" s="30"/>
      <c r="Y54" t="s">
        <v>6499</v>
      </c>
    </row>
    <row r="55" spans="1:25" x14ac:dyDescent="0.3">
      <c r="A55" s="2" t="s">
        <v>409</v>
      </c>
      <c r="B55" s="2" t="s">
        <v>2852</v>
      </c>
      <c r="C55" s="2" t="s">
        <v>410</v>
      </c>
      <c r="D55" s="2" t="s">
        <v>2853</v>
      </c>
      <c r="E55" s="28" t="s">
        <v>6455</v>
      </c>
      <c r="F55" s="28" t="str">
        <f t="shared" si="4"/>
        <v>01303988Connect For Success 17-20</v>
      </c>
      <c r="G55" s="28" t="s">
        <v>6234</v>
      </c>
      <c r="H55" s="28" t="str">
        <f t="shared" si="0"/>
        <v>01303988Connect For Success</v>
      </c>
      <c r="I55" s="29">
        <v>1</v>
      </c>
      <c r="J55" s="28" t="str">
        <f t="shared" si="1"/>
        <v>01303988Connect For Success1</v>
      </c>
      <c r="K55" s="30">
        <v>7000</v>
      </c>
      <c r="L55" s="30">
        <v>29000</v>
      </c>
      <c r="M55" s="30">
        <v>80000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  <c r="S55" s="30">
        <v>0</v>
      </c>
      <c r="T55" s="30">
        <v>0</v>
      </c>
      <c r="U55" s="30"/>
      <c r="V55" s="30"/>
      <c r="W55" s="30"/>
      <c r="X55" s="30"/>
      <c r="Y55" t="s">
        <v>6499</v>
      </c>
    </row>
    <row r="56" spans="1:25" x14ac:dyDescent="0.3">
      <c r="A56" s="28" t="s">
        <v>409</v>
      </c>
      <c r="B56" s="28" t="s">
        <v>2852</v>
      </c>
      <c r="C56" s="2" t="s">
        <v>410</v>
      </c>
      <c r="D56" s="2" t="s">
        <v>2853</v>
      </c>
      <c r="E56" s="28" t="s">
        <v>6479</v>
      </c>
      <c r="F56" s="28" t="str">
        <f t="shared" si="4"/>
        <v>01303988District Design and Led 17-21</v>
      </c>
      <c r="G56" s="28" t="s">
        <v>6233</v>
      </c>
      <c r="H56" s="28" t="str">
        <f t="shared" si="0"/>
        <v>01303988District Design and Led</v>
      </c>
      <c r="I56" s="29">
        <v>3</v>
      </c>
      <c r="J56" s="28" t="str">
        <f t="shared" si="1"/>
        <v>01303988District Design and Led3</v>
      </c>
      <c r="K56" s="30"/>
      <c r="L56" s="30"/>
      <c r="M56" s="30"/>
      <c r="N56" s="30">
        <v>54337</v>
      </c>
      <c r="O56" s="30"/>
      <c r="P56" s="30"/>
      <c r="Q56" s="30">
        <v>0</v>
      </c>
      <c r="R56" s="30">
        <v>0</v>
      </c>
      <c r="S56" s="30">
        <v>2919.7499656499999</v>
      </c>
      <c r="T56" s="30">
        <v>0</v>
      </c>
      <c r="U56" s="30"/>
      <c r="V56" s="30"/>
      <c r="W56" s="30"/>
      <c r="X56" s="30"/>
      <c r="Y56" t="s">
        <v>6499</v>
      </c>
    </row>
    <row r="57" spans="1:25" x14ac:dyDescent="0.3">
      <c r="A57" s="2" t="s">
        <v>409</v>
      </c>
      <c r="B57" s="2" t="s">
        <v>3592</v>
      </c>
      <c r="C57" s="2" t="s">
        <v>410</v>
      </c>
      <c r="D57" s="2" t="s">
        <v>3593</v>
      </c>
      <c r="E57" s="28" t="s">
        <v>6455</v>
      </c>
      <c r="F57" s="28" t="str">
        <f t="shared" si="4"/>
        <v>01304276Connect For Success 17-20</v>
      </c>
      <c r="G57" s="28" t="s">
        <v>6234</v>
      </c>
      <c r="H57" s="28" t="str">
        <f t="shared" si="0"/>
        <v>01304276Connect For Success</v>
      </c>
      <c r="I57" s="29">
        <v>1</v>
      </c>
      <c r="J57" s="28" t="str">
        <f t="shared" si="1"/>
        <v>01304276Connect For Success1</v>
      </c>
      <c r="K57" s="30">
        <v>7000</v>
      </c>
      <c r="L57" s="30">
        <v>34000</v>
      </c>
      <c r="M57" s="30">
        <v>80000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/>
      <c r="V57" s="30"/>
      <c r="W57" s="30"/>
      <c r="X57" s="30"/>
      <c r="Y57" t="s">
        <v>6499</v>
      </c>
    </row>
    <row r="58" spans="1:25" x14ac:dyDescent="0.3">
      <c r="A58" s="2" t="s">
        <v>409</v>
      </c>
      <c r="B58" s="28" t="s">
        <v>4387</v>
      </c>
      <c r="C58" s="2" t="s">
        <v>410</v>
      </c>
      <c r="D58" s="2" t="s">
        <v>4388</v>
      </c>
      <c r="E58" s="28" t="s">
        <v>6457</v>
      </c>
      <c r="F58" s="28" t="s">
        <v>6458</v>
      </c>
      <c r="G58" s="28" t="s">
        <v>6234</v>
      </c>
      <c r="H58" s="28" t="str">
        <f t="shared" si="0"/>
        <v>01306625Connect For Success</v>
      </c>
      <c r="I58" s="29">
        <v>4</v>
      </c>
      <c r="J58" s="28" t="str">
        <f t="shared" si="1"/>
        <v>01306625Connect For Success4</v>
      </c>
      <c r="K58" s="30"/>
      <c r="L58" s="30"/>
      <c r="M58" s="30"/>
      <c r="N58" s="30"/>
      <c r="O58" s="30"/>
      <c r="P58" s="30"/>
      <c r="Q58" s="30">
        <v>20000</v>
      </c>
      <c r="R58" s="30">
        <v>0</v>
      </c>
      <c r="S58" s="30">
        <v>0</v>
      </c>
      <c r="T58" s="30">
        <v>80000</v>
      </c>
      <c r="U58" s="30"/>
      <c r="V58" s="30"/>
      <c r="W58" s="30"/>
      <c r="X58" s="30"/>
      <c r="Y58" t="s">
        <v>6499</v>
      </c>
    </row>
    <row r="59" spans="1:25" x14ac:dyDescent="0.3">
      <c r="A59" s="2" t="s">
        <v>409</v>
      </c>
      <c r="B59" s="2" t="s">
        <v>5067</v>
      </c>
      <c r="C59" s="2" t="s">
        <v>410</v>
      </c>
      <c r="D59" s="2" t="s">
        <v>5068</v>
      </c>
      <c r="E59" s="28" t="s">
        <v>6455</v>
      </c>
      <c r="F59" s="28" t="str">
        <f>A59&amp;B59&amp;E59</f>
        <v>01307116Connect For Success 17-20</v>
      </c>
      <c r="G59" s="28" t="s">
        <v>6234</v>
      </c>
      <c r="H59" s="28" t="str">
        <f t="shared" si="0"/>
        <v>01307116Connect For Success</v>
      </c>
      <c r="I59" s="29">
        <v>1</v>
      </c>
      <c r="J59" s="28" t="str">
        <f t="shared" si="1"/>
        <v>01307116Connect For Success1</v>
      </c>
      <c r="K59" s="30">
        <v>7000</v>
      </c>
      <c r="L59" s="30">
        <v>34000</v>
      </c>
      <c r="M59" s="30">
        <v>80000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  <c r="S59" s="30">
        <v>0</v>
      </c>
      <c r="T59" s="30">
        <v>0</v>
      </c>
      <c r="U59" s="30"/>
      <c r="V59" s="30"/>
      <c r="W59" s="30"/>
      <c r="X59" s="30"/>
      <c r="Y59" t="s">
        <v>6499</v>
      </c>
    </row>
    <row r="60" spans="1:25" x14ac:dyDescent="0.3">
      <c r="A60" s="2" t="s">
        <v>409</v>
      </c>
      <c r="B60" s="2" t="s">
        <v>2848</v>
      </c>
      <c r="C60" s="2" t="s">
        <v>410</v>
      </c>
      <c r="D60" s="2" t="s">
        <v>2849</v>
      </c>
      <c r="E60" s="28" t="s">
        <v>6455</v>
      </c>
      <c r="F60" s="28" t="str">
        <f>A60&amp;B60&amp;E60</f>
        <v>01309108Connect For Success 17-20</v>
      </c>
      <c r="G60" s="28" t="s">
        <v>6234</v>
      </c>
      <c r="H60" s="28" t="str">
        <f t="shared" si="0"/>
        <v>01309108Connect For Success</v>
      </c>
      <c r="I60" s="29">
        <v>1</v>
      </c>
      <c r="J60" s="28" t="str">
        <f t="shared" si="1"/>
        <v>01309108Connect For Success1</v>
      </c>
      <c r="K60" s="30">
        <v>7000</v>
      </c>
      <c r="L60" s="30">
        <v>34000</v>
      </c>
      <c r="M60" s="30">
        <v>80000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  <c r="S60" s="30">
        <v>0</v>
      </c>
      <c r="T60" s="30">
        <v>0</v>
      </c>
      <c r="U60" s="30"/>
      <c r="V60" s="30"/>
      <c r="W60" s="30"/>
      <c r="X60" s="30"/>
      <c r="Y60" t="s">
        <v>6499</v>
      </c>
    </row>
    <row r="61" spans="1:25" x14ac:dyDescent="0.3">
      <c r="A61" s="28" t="s">
        <v>409</v>
      </c>
      <c r="B61" s="28" t="s">
        <v>2848</v>
      </c>
      <c r="C61" s="2" t="s">
        <v>410</v>
      </c>
      <c r="D61" s="2" t="s">
        <v>2849</v>
      </c>
      <c r="E61" s="28" t="s">
        <v>6475</v>
      </c>
      <c r="F61" s="28" t="str">
        <f>A61&amp;B61&amp;E61</f>
        <v>01309108DDL</v>
      </c>
      <c r="G61" s="28" t="s">
        <v>6233</v>
      </c>
      <c r="H61" s="28" t="str">
        <f t="shared" si="0"/>
        <v>01309108District Design and Led</v>
      </c>
      <c r="I61" s="29">
        <v>5</v>
      </c>
      <c r="J61" s="28" t="str">
        <f t="shared" si="1"/>
        <v>01309108District Design and Led5</v>
      </c>
      <c r="K61" s="30">
        <v>0</v>
      </c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30">
        <v>0</v>
      </c>
      <c r="T61" s="30">
        <v>0</v>
      </c>
      <c r="U61" s="30">
        <v>25000</v>
      </c>
      <c r="V61" s="30">
        <v>25000</v>
      </c>
      <c r="W61" s="30">
        <v>25000</v>
      </c>
      <c r="X61" s="30">
        <v>0</v>
      </c>
      <c r="Y61" t="s">
        <v>6499</v>
      </c>
    </row>
    <row r="62" spans="1:25" x14ac:dyDescent="0.3">
      <c r="A62" s="2" t="s">
        <v>409</v>
      </c>
      <c r="B62" s="28" t="s">
        <v>6248</v>
      </c>
      <c r="C62" s="2" t="s">
        <v>410</v>
      </c>
      <c r="D62" s="2" t="s">
        <v>6474</v>
      </c>
      <c r="E62" s="28" t="s">
        <v>6455</v>
      </c>
      <c r="F62" s="28" t="str">
        <f>A62&amp;B62&amp;E62</f>
        <v>0130District LevelConnect For Success 17-20</v>
      </c>
      <c r="G62" s="28" t="s">
        <v>6234</v>
      </c>
      <c r="H62" s="28" t="str">
        <f t="shared" si="0"/>
        <v>0130District LevelConnect For Success</v>
      </c>
      <c r="I62" s="29">
        <v>1</v>
      </c>
      <c r="J62" s="28" t="str">
        <f t="shared" si="1"/>
        <v>0130District LevelConnect For Success1</v>
      </c>
      <c r="K62" s="30">
        <v>78085</v>
      </c>
      <c r="L62" s="30">
        <v>281000</v>
      </c>
      <c r="M62" s="30"/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30">
        <v>0</v>
      </c>
      <c r="T62" s="30">
        <v>0</v>
      </c>
      <c r="U62" s="30"/>
      <c r="V62" s="30"/>
      <c r="W62" s="30"/>
      <c r="X62" s="30"/>
      <c r="Y62" t="s">
        <v>6499</v>
      </c>
    </row>
    <row r="63" spans="1:25" x14ac:dyDescent="0.3">
      <c r="A63" s="2" t="s">
        <v>425</v>
      </c>
      <c r="B63" s="28" t="s">
        <v>5072</v>
      </c>
      <c r="C63" s="2" t="s">
        <v>426</v>
      </c>
      <c r="D63" s="2" t="s">
        <v>5073</v>
      </c>
      <c r="E63" s="2" t="s">
        <v>6457</v>
      </c>
      <c r="F63" s="28" t="s">
        <v>6483</v>
      </c>
      <c r="G63" s="2" t="s">
        <v>6241</v>
      </c>
      <c r="H63" s="28" t="str">
        <f t="shared" si="0"/>
        <v>01408064School Turnaround Leadership Development Program</v>
      </c>
      <c r="I63" s="29">
        <v>4</v>
      </c>
      <c r="J63" s="28" t="str">
        <f t="shared" si="1"/>
        <v>01408064School Turnaround Leadership Development Program4</v>
      </c>
      <c r="K63" s="32"/>
      <c r="L63" s="32"/>
      <c r="M63" s="32"/>
      <c r="N63" s="30"/>
      <c r="O63" s="30"/>
      <c r="P63" s="30"/>
      <c r="Q63" s="30">
        <v>51000</v>
      </c>
      <c r="R63" s="30">
        <v>0</v>
      </c>
      <c r="S63" s="30">
        <v>0</v>
      </c>
      <c r="T63" s="30">
        <v>69000</v>
      </c>
      <c r="U63" s="30"/>
      <c r="V63" s="30"/>
      <c r="W63" s="30"/>
      <c r="X63" s="30"/>
      <c r="Y63" t="s">
        <v>6499</v>
      </c>
    </row>
    <row r="64" spans="1:25" x14ac:dyDescent="0.3">
      <c r="A64" s="28" t="s">
        <v>2139</v>
      </c>
      <c r="B64" s="28" t="s">
        <v>2141</v>
      </c>
      <c r="C64" s="2" t="s">
        <v>2140</v>
      </c>
      <c r="D64" s="2" t="s">
        <v>2142</v>
      </c>
      <c r="E64" s="28" t="s">
        <v>6455</v>
      </c>
      <c r="F64" s="28" t="str">
        <f>A64&amp;B64&amp;E64</f>
        <v>01702136Connect For Success 17-20</v>
      </c>
      <c r="G64" s="28" t="s">
        <v>6234</v>
      </c>
      <c r="H64" s="28" t="str">
        <f t="shared" si="0"/>
        <v>01702136Connect For Success</v>
      </c>
      <c r="I64" s="29">
        <v>1</v>
      </c>
      <c r="J64" s="28" t="str">
        <f t="shared" si="1"/>
        <v>01702136Connect For Success1</v>
      </c>
      <c r="K64" s="30">
        <v>23000</v>
      </c>
      <c r="L64" s="30">
        <v>77000</v>
      </c>
      <c r="M64" s="30"/>
      <c r="N64" s="30">
        <v>0</v>
      </c>
      <c r="O64" s="30">
        <v>0</v>
      </c>
      <c r="P64" s="30">
        <v>0</v>
      </c>
      <c r="Q64" s="30">
        <v>0</v>
      </c>
      <c r="R64" s="30">
        <v>0</v>
      </c>
      <c r="S64" s="30">
        <v>0</v>
      </c>
      <c r="T64" s="30">
        <v>0</v>
      </c>
      <c r="U64" s="30"/>
      <c r="V64" s="30"/>
      <c r="W64" s="30"/>
      <c r="X64" s="30"/>
      <c r="Y64" t="s">
        <v>6499</v>
      </c>
    </row>
    <row r="65" spans="1:25" x14ac:dyDescent="0.3">
      <c r="A65" s="2" t="s">
        <v>2139</v>
      </c>
      <c r="B65" s="2" t="s">
        <v>2141</v>
      </c>
      <c r="C65" s="2" t="s">
        <v>2140</v>
      </c>
      <c r="D65" s="2" t="s">
        <v>2142</v>
      </c>
      <c r="E65" s="28" t="s">
        <v>6475</v>
      </c>
      <c r="F65" s="28" t="s">
        <v>6476</v>
      </c>
      <c r="G65" s="28" t="s">
        <v>6233</v>
      </c>
      <c r="H65" s="28" t="str">
        <f t="shared" si="0"/>
        <v>01702136District Design and Led</v>
      </c>
      <c r="I65" s="29">
        <v>4</v>
      </c>
      <c r="J65" s="28" t="str">
        <f t="shared" si="1"/>
        <v>01702136District Design and Led4</v>
      </c>
      <c r="K65" s="30"/>
      <c r="L65" s="30"/>
      <c r="M65" s="30"/>
      <c r="N65" s="30"/>
      <c r="O65" s="30"/>
      <c r="P65" s="30"/>
      <c r="Q65" s="30">
        <v>3000</v>
      </c>
      <c r="R65" s="30">
        <v>0</v>
      </c>
      <c r="S65" s="30">
        <v>0</v>
      </c>
      <c r="T65" s="30">
        <v>47000</v>
      </c>
      <c r="U65" s="30"/>
      <c r="V65" s="30"/>
      <c r="W65" s="30"/>
      <c r="X65" s="30"/>
      <c r="Y65" t="s">
        <v>6499</v>
      </c>
    </row>
    <row r="66" spans="1:25" x14ac:dyDescent="0.3">
      <c r="A66" s="2" t="s">
        <v>433</v>
      </c>
      <c r="B66" s="2" t="s">
        <v>2861</v>
      </c>
      <c r="C66" s="2" t="s">
        <v>434</v>
      </c>
      <c r="D66" s="2" t="s">
        <v>2862</v>
      </c>
      <c r="E66" s="28" t="s">
        <v>6463</v>
      </c>
      <c r="F66" s="28" t="str">
        <f t="shared" ref="F66:F80" si="5">A66&amp;B66&amp;E66</f>
        <v>01800213Diagnostic Review 18-19</v>
      </c>
      <c r="G66" s="28" t="s">
        <v>6240</v>
      </c>
      <c r="H66" s="28" t="str">
        <f t="shared" ref="H66:H129" si="6">A66&amp;B66&amp;G66</f>
        <v>01800213Diagnostic Review</v>
      </c>
      <c r="I66" s="29">
        <v>3</v>
      </c>
      <c r="J66" s="28" t="str">
        <f t="shared" ref="J66:J129" si="7">H66&amp;I66</f>
        <v>01800213Diagnostic Review3</v>
      </c>
      <c r="K66" s="30"/>
      <c r="L66" s="30">
        <v>16278</v>
      </c>
      <c r="M66" s="30"/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30">
        <v>0</v>
      </c>
      <c r="T66" s="30">
        <v>0</v>
      </c>
      <c r="U66" s="30"/>
      <c r="V66" s="30"/>
      <c r="W66" s="30"/>
      <c r="X66" s="30"/>
      <c r="Y66" t="s">
        <v>6499</v>
      </c>
    </row>
    <row r="67" spans="1:25" x14ac:dyDescent="0.3">
      <c r="A67" s="2" t="s">
        <v>433</v>
      </c>
      <c r="B67" s="2" t="s">
        <v>6466</v>
      </c>
      <c r="C67" s="2" t="s">
        <v>434</v>
      </c>
      <c r="D67" s="2" t="s">
        <v>6467</v>
      </c>
      <c r="E67" s="28" t="s">
        <v>6464</v>
      </c>
      <c r="F67" s="28" t="str">
        <f t="shared" si="5"/>
        <v>01800219Diagnostic Review 17-18</v>
      </c>
      <c r="G67" s="28" t="s">
        <v>6240</v>
      </c>
      <c r="H67" s="28" t="str">
        <f t="shared" si="6"/>
        <v>01800219Diagnostic Review</v>
      </c>
      <c r="I67" s="29">
        <v>2</v>
      </c>
      <c r="J67" s="28" t="str">
        <f t="shared" si="7"/>
        <v>01800219Diagnostic Review2</v>
      </c>
      <c r="K67" s="30">
        <v>31313.4</v>
      </c>
      <c r="L67" s="30"/>
      <c r="M67" s="30"/>
      <c r="N67" s="30">
        <v>0</v>
      </c>
      <c r="O67" s="30">
        <v>0</v>
      </c>
      <c r="P67" s="30">
        <v>0</v>
      </c>
      <c r="Q67" s="30">
        <v>0</v>
      </c>
      <c r="R67" s="30">
        <v>0</v>
      </c>
      <c r="S67" s="30">
        <v>0</v>
      </c>
      <c r="T67" s="30">
        <v>0</v>
      </c>
      <c r="U67" s="30"/>
      <c r="V67" s="30"/>
      <c r="W67" s="30"/>
      <c r="X67" s="30"/>
      <c r="Y67" t="s">
        <v>6499</v>
      </c>
    </row>
    <row r="68" spans="1:25" x14ac:dyDescent="0.3">
      <c r="A68" s="2" t="s">
        <v>433</v>
      </c>
      <c r="B68" s="2" t="s">
        <v>2865</v>
      </c>
      <c r="C68" s="2" t="s">
        <v>434</v>
      </c>
      <c r="D68" s="2" t="s">
        <v>2866</v>
      </c>
      <c r="E68" s="28" t="s">
        <v>6463</v>
      </c>
      <c r="F68" s="28" t="str">
        <f t="shared" si="5"/>
        <v>01800458Diagnostic Review 18-19</v>
      </c>
      <c r="G68" s="28" t="s">
        <v>6240</v>
      </c>
      <c r="H68" s="28" t="str">
        <f t="shared" si="6"/>
        <v>01800458Diagnostic Review</v>
      </c>
      <c r="I68" s="29">
        <v>3</v>
      </c>
      <c r="J68" s="28" t="str">
        <f t="shared" si="7"/>
        <v>01800458Diagnostic Review3</v>
      </c>
      <c r="K68" s="30"/>
      <c r="L68" s="30">
        <v>18991</v>
      </c>
      <c r="M68" s="30"/>
      <c r="N68" s="30">
        <v>0</v>
      </c>
      <c r="O68" s="30">
        <v>0</v>
      </c>
      <c r="P68" s="30">
        <v>0</v>
      </c>
      <c r="Q68" s="30">
        <v>0</v>
      </c>
      <c r="R68" s="30">
        <v>0</v>
      </c>
      <c r="S68" s="30">
        <v>0</v>
      </c>
      <c r="T68" s="30">
        <v>0</v>
      </c>
      <c r="U68" s="30"/>
      <c r="V68" s="30"/>
      <c r="W68" s="30"/>
      <c r="X68" s="30"/>
      <c r="Y68" t="s">
        <v>6499</v>
      </c>
    </row>
    <row r="69" spans="1:25" x14ac:dyDescent="0.3">
      <c r="A69" s="2" t="s">
        <v>433</v>
      </c>
      <c r="B69" s="2" t="s">
        <v>1372</v>
      </c>
      <c r="C69" s="2" t="s">
        <v>434</v>
      </c>
      <c r="D69" s="2" t="s">
        <v>1373</v>
      </c>
      <c r="E69" s="28" t="s">
        <v>6237</v>
      </c>
      <c r="F69" s="28" t="str">
        <f t="shared" si="5"/>
        <v>01800464Turnaround Network</v>
      </c>
      <c r="G69" s="28" t="s">
        <v>6237</v>
      </c>
      <c r="H69" s="28" t="str">
        <f t="shared" si="6"/>
        <v>01800464Turnaround Network</v>
      </c>
      <c r="I69" s="29">
        <v>2</v>
      </c>
      <c r="J69" s="28" t="str">
        <f t="shared" si="7"/>
        <v>01800464Turnaround Network2</v>
      </c>
      <c r="K69" s="30">
        <v>106594</v>
      </c>
      <c r="L69" s="30"/>
      <c r="M69" s="30"/>
      <c r="N69" s="30">
        <v>0</v>
      </c>
      <c r="O69" s="30">
        <v>0</v>
      </c>
      <c r="P69" s="30">
        <v>0</v>
      </c>
      <c r="Q69" s="30">
        <v>0</v>
      </c>
      <c r="R69" s="30">
        <v>0</v>
      </c>
      <c r="S69" s="30">
        <v>0</v>
      </c>
      <c r="T69" s="30">
        <v>0</v>
      </c>
      <c r="U69" s="30"/>
      <c r="V69" s="30"/>
      <c r="W69" s="30"/>
      <c r="X69" s="30"/>
      <c r="Y69" t="s">
        <v>6499</v>
      </c>
    </row>
    <row r="70" spans="1:25" x14ac:dyDescent="0.3">
      <c r="A70" s="2" t="s">
        <v>433</v>
      </c>
      <c r="B70" s="2" t="s">
        <v>1372</v>
      </c>
      <c r="C70" s="2" t="s">
        <v>434</v>
      </c>
      <c r="D70" s="2" t="s">
        <v>1373</v>
      </c>
      <c r="E70" s="28" t="s">
        <v>6237</v>
      </c>
      <c r="F70" s="28" t="str">
        <f t="shared" si="5"/>
        <v>01800464Turnaround Network</v>
      </c>
      <c r="G70" s="28" t="s">
        <v>6237</v>
      </c>
      <c r="H70" s="28" t="str">
        <f t="shared" si="6"/>
        <v>01800464Turnaround Network</v>
      </c>
      <c r="I70" s="29">
        <v>3</v>
      </c>
      <c r="J70" s="28" t="str">
        <f t="shared" si="7"/>
        <v>01800464Turnaround Network3</v>
      </c>
      <c r="K70" s="30"/>
      <c r="L70" s="30"/>
      <c r="M70" s="30">
        <v>30000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/>
      <c r="V70" s="30"/>
      <c r="W70" s="30"/>
      <c r="X70" s="30"/>
      <c r="Y70" t="s">
        <v>6499</v>
      </c>
    </row>
    <row r="71" spans="1:25" x14ac:dyDescent="0.3">
      <c r="A71" s="2" t="s">
        <v>433</v>
      </c>
      <c r="B71" s="2" t="s">
        <v>4402</v>
      </c>
      <c r="C71" s="2" t="s">
        <v>434</v>
      </c>
      <c r="D71" s="2" t="s">
        <v>4403</v>
      </c>
      <c r="E71" s="28" t="s">
        <v>6454</v>
      </c>
      <c r="F71" s="28" t="str">
        <f t="shared" si="5"/>
        <v>01801458Accountability Pathways 18-19</v>
      </c>
      <c r="G71" s="28" t="s">
        <v>6236</v>
      </c>
      <c r="H71" s="28" t="str">
        <f t="shared" si="6"/>
        <v>01801458Accountability Pathways</v>
      </c>
      <c r="I71" s="29">
        <v>2</v>
      </c>
      <c r="J71" s="28" t="str">
        <f t="shared" si="7"/>
        <v>01801458Accountability Pathways2</v>
      </c>
      <c r="K71" s="30">
        <v>0</v>
      </c>
      <c r="L71" s="30">
        <v>80000</v>
      </c>
      <c r="M71" s="30"/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30">
        <v>0</v>
      </c>
      <c r="T71" s="30">
        <v>0</v>
      </c>
      <c r="U71" s="30"/>
      <c r="V71" s="30"/>
      <c r="W71" s="30"/>
      <c r="X71" s="30"/>
      <c r="Y71" t="s">
        <v>6499</v>
      </c>
    </row>
    <row r="72" spans="1:25" x14ac:dyDescent="0.3">
      <c r="A72" s="2" t="s">
        <v>433</v>
      </c>
      <c r="B72" s="2" t="s">
        <v>5092</v>
      </c>
      <c r="C72" s="2" t="s">
        <v>434</v>
      </c>
      <c r="D72" s="2" t="s">
        <v>5093</v>
      </c>
      <c r="E72" s="28" t="s">
        <v>6463</v>
      </c>
      <c r="F72" s="28" t="str">
        <f t="shared" si="5"/>
        <v>01802095Diagnostic Review 18-19</v>
      </c>
      <c r="G72" s="28" t="s">
        <v>6240</v>
      </c>
      <c r="H72" s="28" t="str">
        <f t="shared" si="6"/>
        <v>01802095Diagnostic Review</v>
      </c>
      <c r="I72" s="29">
        <v>3</v>
      </c>
      <c r="J72" s="28" t="str">
        <f t="shared" si="7"/>
        <v>01802095Diagnostic Review3</v>
      </c>
      <c r="K72" s="30"/>
      <c r="L72" s="30">
        <v>16278</v>
      </c>
      <c r="M72" s="30"/>
      <c r="N72" s="30">
        <v>0</v>
      </c>
      <c r="O72" s="30">
        <v>0</v>
      </c>
      <c r="P72" s="30">
        <v>0</v>
      </c>
      <c r="Q72" s="30">
        <v>0</v>
      </c>
      <c r="R72" s="30">
        <v>0</v>
      </c>
      <c r="S72" s="30">
        <v>0</v>
      </c>
      <c r="T72" s="30">
        <v>0</v>
      </c>
      <c r="U72" s="30"/>
      <c r="V72" s="30"/>
      <c r="W72" s="30"/>
      <c r="X72" s="30"/>
      <c r="Y72" t="s">
        <v>6499</v>
      </c>
    </row>
    <row r="73" spans="1:25" x14ac:dyDescent="0.3">
      <c r="A73" s="2" t="s">
        <v>433</v>
      </c>
      <c r="B73" s="2" t="s">
        <v>435</v>
      </c>
      <c r="C73" s="2" t="s">
        <v>434</v>
      </c>
      <c r="D73" s="2" t="s">
        <v>436</v>
      </c>
      <c r="E73" s="28" t="s">
        <v>6464</v>
      </c>
      <c r="F73" s="28" t="str">
        <f t="shared" si="5"/>
        <v>01803471Diagnostic Review 17-18</v>
      </c>
      <c r="G73" s="28" t="s">
        <v>6240</v>
      </c>
      <c r="H73" s="28" t="str">
        <f t="shared" si="6"/>
        <v>01803471Diagnostic Review</v>
      </c>
      <c r="I73" s="29">
        <v>2</v>
      </c>
      <c r="J73" s="28" t="str">
        <f t="shared" si="7"/>
        <v>01803471Diagnostic Review2</v>
      </c>
      <c r="K73" s="30">
        <v>47407.6</v>
      </c>
      <c r="L73" s="30"/>
      <c r="M73" s="30"/>
      <c r="N73" s="30">
        <v>0</v>
      </c>
      <c r="O73" s="30">
        <v>0</v>
      </c>
      <c r="P73" s="30">
        <v>0</v>
      </c>
      <c r="Q73" s="30">
        <v>0</v>
      </c>
      <c r="R73" s="30">
        <v>0</v>
      </c>
      <c r="S73" s="30">
        <v>0</v>
      </c>
      <c r="T73" s="30">
        <v>0</v>
      </c>
      <c r="U73" s="30"/>
      <c r="V73" s="30"/>
      <c r="W73" s="30"/>
      <c r="X73" s="30"/>
      <c r="Y73" t="s">
        <v>6499</v>
      </c>
    </row>
    <row r="74" spans="1:25" x14ac:dyDescent="0.3">
      <c r="A74" s="2" t="s">
        <v>433</v>
      </c>
      <c r="B74" s="2" t="s">
        <v>1370</v>
      </c>
      <c r="C74" s="2" t="s">
        <v>434</v>
      </c>
      <c r="D74" s="2" t="s">
        <v>1371</v>
      </c>
      <c r="E74" s="28" t="s">
        <v>6460</v>
      </c>
      <c r="F74" s="28" t="str">
        <f t="shared" si="5"/>
        <v>01804646Connect For Success 16-19</v>
      </c>
      <c r="G74" s="28" t="s">
        <v>6234</v>
      </c>
      <c r="H74" s="28" t="str">
        <f t="shared" si="6"/>
        <v>01804646Connect For Success</v>
      </c>
      <c r="I74" s="29">
        <v>1</v>
      </c>
      <c r="J74" s="28" t="str">
        <f t="shared" si="7"/>
        <v>01804646Connect For Success1</v>
      </c>
      <c r="K74" s="30">
        <v>0</v>
      </c>
      <c r="L74" s="30">
        <v>112052</v>
      </c>
      <c r="M74" s="30"/>
      <c r="N74" s="30">
        <v>0</v>
      </c>
      <c r="O74" s="30">
        <v>0</v>
      </c>
      <c r="P74" s="30">
        <v>0</v>
      </c>
      <c r="Q74" s="30">
        <v>0</v>
      </c>
      <c r="R74" s="30">
        <v>0</v>
      </c>
      <c r="S74" s="30">
        <v>0</v>
      </c>
      <c r="T74" s="30">
        <v>0</v>
      </c>
      <c r="U74" s="30"/>
      <c r="V74" s="30"/>
      <c r="W74" s="30"/>
      <c r="X74" s="30"/>
      <c r="Y74" t="s">
        <v>6499</v>
      </c>
    </row>
    <row r="75" spans="1:25" x14ac:dyDescent="0.3">
      <c r="A75" s="2" t="s">
        <v>433</v>
      </c>
      <c r="B75" s="28" t="s">
        <v>3623</v>
      </c>
      <c r="C75" s="2" t="s">
        <v>434</v>
      </c>
      <c r="D75" s="2" t="s">
        <v>3624</v>
      </c>
      <c r="E75" s="28" t="s">
        <v>6237</v>
      </c>
      <c r="F75" s="28" t="str">
        <f t="shared" si="5"/>
        <v>01806310Turnaround Network</v>
      </c>
      <c r="G75" s="28" t="s">
        <v>6237</v>
      </c>
      <c r="H75" s="28" t="str">
        <f t="shared" si="6"/>
        <v>01806310Turnaround Network</v>
      </c>
      <c r="I75" s="29">
        <v>2</v>
      </c>
      <c r="J75" s="28" t="str">
        <f t="shared" si="7"/>
        <v>01806310Turnaround Network2</v>
      </c>
      <c r="K75" s="30">
        <v>101569</v>
      </c>
      <c r="L75" s="30"/>
      <c r="M75" s="30"/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30">
        <v>0</v>
      </c>
      <c r="T75" s="30">
        <v>0</v>
      </c>
      <c r="U75" s="30"/>
      <c r="V75" s="30"/>
      <c r="W75" s="30"/>
      <c r="X75" s="30"/>
      <c r="Y75" t="s">
        <v>6499</v>
      </c>
    </row>
    <row r="76" spans="1:25" x14ac:dyDescent="0.3">
      <c r="A76" s="2" t="s">
        <v>433</v>
      </c>
      <c r="B76" s="2" t="s">
        <v>3623</v>
      </c>
      <c r="C76" s="2" t="s">
        <v>434</v>
      </c>
      <c r="D76" s="2" t="s">
        <v>3624</v>
      </c>
      <c r="E76" s="28" t="s">
        <v>6237</v>
      </c>
      <c r="F76" s="28" t="str">
        <f t="shared" si="5"/>
        <v>01806310Turnaround Network</v>
      </c>
      <c r="G76" s="28" t="s">
        <v>6237</v>
      </c>
      <c r="H76" s="28" t="str">
        <f t="shared" si="6"/>
        <v>01806310Turnaround Network</v>
      </c>
      <c r="I76" s="29">
        <v>3</v>
      </c>
      <c r="J76" s="28" t="str">
        <f t="shared" si="7"/>
        <v>01806310Turnaround Network3</v>
      </c>
      <c r="K76" s="30"/>
      <c r="L76" s="30"/>
      <c r="M76" s="30">
        <v>30000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/>
      <c r="V76" s="30"/>
      <c r="W76" s="30"/>
      <c r="X76" s="30"/>
      <c r="Y76" t="s">
        <v>6499</v>
      </c>
    </row>
    <row r="77" spans="1:25" x14ac:dyDescent="0.3">
      <c r="A77" s="2" t="s">
        <v>433</v>
      </c>
      <c r="B77" s="2" t="s">
        <v>3619</v>
      </c>
      <c r="C77" s="2" t="s">
        <v>434</v>
      </c>
      <c r="D77" s="2" t="s">
        <v>3620</v>
      </c>
      <c r="E77" s="28" t="s">
        <v>6463</v>
      </c>
      <c r="F77" s="28" t="str">
        <f t="shared" si="5"/>
        <v>01806758Diagnostic Review 18-19</v>
      </c>
      <c r="G77" s="28" t="s">
        <v>6240</v>
      </c>
      <c r="H77" s="28" t="str">
        <f t="shared" si="6"/>
        <v>01806758Diagnostic Review</v>
      </c>
      <c r="I77" s="29">
        <v>3</v>
      </c>
      <c r="J77" s="28" t="str">
        <f t="shared" si="7"/>
        <v>01806758Diagnostic Review3</v>
      </c>
      <c r="K77" s="30"/>
      <c r="L77" s="30">
        <v>16278</v>
      </c>
      <c r="M77" s="30"/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/>
      <c r="V77" s="30"/>
      <c r="W77" s="30"/>
      <c r="X77" s="30"/>
      <c r="Y77" t="s">
        <v>6499</v>
      </c>
    </row>
    <row r="78" spans="1:25" x14ac:dyDescent="0.3">
      <c r="A78" s="28" t="s">
        <v>433</v>
      </c>
      <c r="B78" s="28" t="s">
        <v>2867</v>
      </c>
      <c r="C78" s="2" t="s">
        <v>434</v>
      </c>
      <c r="D78" s="2" t="s">
        <v>2868</v>
      </c>
      <c r="E78" s="28" t="s">
        <v>6460</v>
      </c>
      <c r="F78" s="28" t="str">
        <f t="shared" si="5"/>
        <v>01807932Connect For Success 16-19</v>
      </c>
      <c r="G78" s="28" t="s">
        <v>6234</v>
      </c>
      <c r="H78" s="28" t="str">
        <f t="shared" si="6"/>
        <v>01807932Connect For Success</v>
      </c>
      <c r="I78" s="29">
        <v>1</v>
      </c>
      <c r="J78" s="28" t="str">
        <f t="shared" si="7"/>
        <v>01807932Connect For Success1</v>
      </c>
      <c r="K78" s="30">
        <v>0</v>
      </c>
      <c r="L78" s="30">
        <v>93317</v>
      </c>
      <c r="M78" s="30"/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/>
      <c r="V78" s="30"/>
      <c r="W78" s="30"/>
      <c r="X78" s="30"/>
      <c r="Y78" t="s">
        <v>6499</v>
      </c>
    </row>
    <row r="79" spans="1:25" x14ac:dyDescent="0.3">
      <c r="A79" s="2" t="s">
        <v>433</v>
      </c>
      <c r="B79" s="28" t="s">
        <v>2147</v>
      </c>
      <c r="C79" s="2" t="s">
        <v>434</v>
      </c>
      <c r="D79" s="2" t="s">
        <v>2148</v>
      </c>
      <c r="E79" s="28" t="s">
        <v>6237</v>
      </c>
      <c r="F79" s="28" t="str">
        <f t="shared" si="5"/>
        <v>01808078Turnaround Network</v>
      </c>
      <c r="G79" s="28" t="s">
        <v>6237</v>
      </c>
      <c r="H79" s="28" t="str">
        <f t="shared" si="6"/>
        <v>01808078Turnaround Network</v>
      </c>
      <c r="I79" s="29">
        <v>2</v>
      </c>
      <c r="J79" s="28" t="str">
        <f t="shared" si="7"/>
        <v>01808078Turnaround Network2</v>
      </c>
      <c r="K79" s="30">
        <v>97760</v>
      </c>
      <c r="L79" s="30"/>
      <c r="M79" s="30"/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/>
      <c r="V79" s="30"/>
      <c r="W79" s="30"/>
      <c r="X79" s="30"/>
      <c r="Y79" t="s">
        <v>6499</v>
      </c>
    </row>
    <row r="80" spans="1:25" x14ac:dyDescent="0.3">
      <c r="A80" s="2" t="s">
        <v>433</v>
      </c>
      <c r="B80" s="2" t="s">
        <v>2147</v>
      </c>
      <c r="C80" s="2" t="s">
        <v>434</v>
      </c>
      <c r="D80" s="2" t="s">
        <v>2148</v>
      </c>
      <c r="E80" s="28" t="s">
        <v>6237</v>
      </c>
      <c r="F80" s="28" t="str">
        <f t="shared" si="5"/>
        <v>01808078Turnaround Network</v>
      </c>
      <c r="G80" s="28" t="s">
        <v>6237</v>
      </c>
      <c r="H80" s="28" t="str">
        <f t="shared" si="6"/>
        <v>01808078Turnaround Network</v>
      </c>
      <c r="I80" s="29">
        <v>3</v>
      </c>
      <c r="J80" s="28" t="str">
        <f t="shared" si="7"/>
        <v>01808078Turnaround Network3</v>
      </c>
      <c r="K80" s="32"/>
      <c r="L80" s="32"/>
      <c r="M80" s="32">
        <v>30000</v>
      </c>
      <c r="N80" s="32">
        <v>0</v>
      </c>
      <c r="O80" s="32">
        <v>0</v>
      </c>
      <c r="P80" s="32">
        <v>0</v>
      </c>
      <c r="Q80" s="32">
        <v>0</v>
      </c>
      <c r="R80" s="32">
        <v>0</v>
      </c>
      <c r="S80" s="32">
        <v>0</v>
      </c>
      <c r="T80" s="32">
        <v>0</v>
      </c>
      <c r="U80" s="32"/>
      <c r="V80" s="32"/>
      <c r="W80" s="32"/>
      <c r="X80" s="32"/>
      <c r="Y80" t="s">
        <v>6499</v>
      </c>
    </row>
    <row r="81" spans="1:25" x14ac:dyDescent="0.3">
      <c r="A81" s="2" t="s">
        <v>433</v>
      </c>
      <c r="B81" s="2" t="s">
        <v>5773</v>
      </c>
      <c r="C81" s="2" t="s">
        <v>434</v>
      </c>
      <c r="D81" s="2" t="s">
        <v>5774</v>
      </c>
      <c r="E81" s="28" t="s">
        <v>6468</v>
      </c>
      <c r="F81" s="28" t="s">
        <v>6469</v>
      </c>
      <c r="G81" s="28" t="s">
        <v>6240</v>
      </c>
      <c r="H81" s="28" t="str">
        <f t="shared" si="6"/>
        <v>01809060Diagnostic Review</v>
      </c>
      <c r="I81" s="29">
        <v>4</v>
      </c>
      <c r="J81" s="28" t="str">
        <f t="shared" si="7"/>
        <v>01809060Diagnostic Review4</v>
      </c>
      <c r="K81" s="30"/>
      <c r="L81" s="30"/>
      <c r="M81" s="30"/>
      <c r="N81" s="30"/>
      <c r="O81" s="30"/>
      <c r="P81" s="30"/>
      <c r="Q81" s="30">
        <v>20000</v>
      </c>
      <c r="R81" s="30">
        <v>0</v>
      </c>
      <c r="S81" s="30">
        <v>0</v>
      </c>
      <c r="T81" s="30">
        <v>0</v>
      </c>
      <c r="U81" s="30"/>
      <c r="V81" s="30"/>
      <c r="W81" s="30"/>
      <c r="X81" s="30"/>
      <c r="Y81" t="s">
        <v>6499</v>
      </c>
    </row>
    <row r="82" spans="1:25" x14ac:dyDescent="0.3">
      <c r="A82" s="2" t="s">
        <v>433</v>
      </c>
      <c r="B82" s="28" t="s">
        <v>5084</v>
      </c>
      <c r="C82" s="2" t="s">
        <v>434</v>
      </c>
      <c r="D82" s="2" t="s">
        <v>5085</v>
      </c>
      <c r="E82" s="28" t="s">
        <v>6237</v>
      </c>
      <c r="F82" s="28" t="str">
        <f>A82&amp;B82&amp;E82</f>
        <v>01809140Turnaround Network</v>
      </c>
      <c r="G82" s="28" t="s">
        <v>6237</v>
      </c>
      <c r="H82" s="28" t="str">
        <f t="shared" si="6"/>
        <v>01809140Turnaround Network</v>
      </c>
      <c r="I82" s="29">
        <v>3</v>
      </c>
      <c r="J82" s="28" t="str">
        <f t="shared" si="7"/>
        <v>01809140Turnaround Network3</v>
      </c>
      <c r="K82" s="30"/>
      <c r="L82" s="30"/>
      <c r="M82" s="30"/>
      <c r="N82" s="30">
        <v>32967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/>
      <c r="V82" s="30"/>
      <c r="W82" s="30"/>
      <c r="X82" s="30"/>
      <c r="Y82" t="s">
        <v>6499</v>
      </c>
    </row>
    <row r="83" spans="1:25" x14ac:dyDescent="0.3">
      <c r="A83" s="2" t="s">
        <v>433</v>
      </c>
      <c r="B83" s="28" t="s">
        <v>6248</v>
      </c>
      <c r="C83" s="2" t="s">
        <v>434</v>
      </c>
      <c r="D83" s="2" t="s">
        <v>6474</v>
      </c>
      <c r="E83" s="2" t="s">
        <v>6482</v>
      </c>
      <c r="F83" s="28" t="str">
        <f>A83&amp;B83&amp;E83</f>
        <v>0180District LevelEASI MTSS</v>
      </c>
      <c r="G83" s="2" t="s">
        <v>6235</v>
      </c>
      <c r="H83" s="28" t="str">
        <f t="shared" si="6"/>
        <v>0180District LevelMTSS</v>
      </c>
      <c r="I83" s="29">
        <v>2</v>
      </c>
      <c r="J83" s="28" t="str">
        <f t="shared" si="7"/>
        <v>0180District LevelMTSS2</v>
      </c>
      <c r="K83" s="32"/>
      <c r="L83" s="32">
        <v>59854</v>
      </c>
      <c r="M83" s="32">
        <v>65000</v>
      </c>
      <c r="N83" s="30">
        <v>0</v>
      </c>
      <c r="O83" s="30">
        <v>68790</v>
      </c>
      <c r="P83" s="30">
        <v>0</v>
      </c>
      <c r="Q83" s="30">
        <v>0</v>
      </c>
      <c r="R83" s="30">
        <v>0</v>
      </c>
      <c r="S83" s="30">
        <v>0</v>
      </c>
      <c r="T83" s="30">
        <v>0</v>
      </c>
      <c r="U83" s="30"/>
      <c r="V83" s="30"/>
      <c r="W83" s="30"/>
      <c r="X83" s="30"/>
      <c r="Y83" t="s">
        <v>6499</v>
      </c>
    </row>
    <row r="84" spans="1:25" x14ac:dyDescent="0.3">
      <c r="A84" s="2" t="s">
        <v>433</v>
      </c>
      <c r="B84" s="28" t="s">
        <v>6248</v>
      </c>
      <c r="C84" s="2" t="s">
        <v>434</v>
      </c>
      <c r="D84" s="2" t="s">
        <v>6474</v>
      </c>
      <c r="E84" s="28" t="s">
        <v>6237</v>
      </c>
      <c r="F84" s="28" t="str">
        <f>A84&amp;B84&amp;E84</f>
        <v>0180District LevelTurnaround Network</v>
      </c>
      <c r="G84" s="28" t="s">
        <v>6237</v>
      </c>
      <c r="H84" s="28" t="str">
        <f t="shared" si="6"/>
        <v>0180District LevelTurnaround Network</v>
      </c>
      <c r="I84" s="29">
        <v>2</v>
      </c>
      <c r="J84" s="28" t="str">
        <f t="shared" si="7"/>
        <v>0180District LevelTurnaround Network2</v>
      </c>
      <c r="K84" s="30">
        <v>40439</v>
      </c>
      <c r="L84" s="30"/>
      <c r="M84" s="30">
        <v>30000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  <c r="S84" s="30">
        <v>0</v>
      </c>
      <c r="T84" s="30">
        <v>0</v>
      </c>
      <c r="U84" s="30"/>
      <c r="V84" s="30"/>
      <c r="W84" s="30"/>
      <c r="X84" s="30"/>
      <c r="Y84" t="s">
        <v>6499</v>
      </c>
    </row>
    <row r="85" spans="1:25" x14ac:dyDescent="0.3">
      <c r="A85" s="2" t="s">
        <v>433</v>
      </c>
      <c r="B85" s="28" t="s">
        <v>6248</v>
      </c>
      <c r="C85" s="2" t="s">
        <v>434</v>
      </c>
      <c r="D85" s="2" t="s">
        <v>6474</v>
      </c>
      <c r="E85" s="28" t="s">
        <v>6477</v>
      </c>
      <c r="F85" s="28" t="str">
        <f>A85&amp;B85&amp;E85</f>
        <v>0180District LevelDistrict Design and Led 18-21</v>
      </c>
      <c r="G85" s="28" t="s">
        <v>6233</v>
      </c>
      <c r="H85" s="28" t="str">
        <f t="shared" si="6"/>
        <v>0180District LevelDistrict Design and Led</v>
      </c>
      <c r="I85" s="29">
        <v>3</v>
      </c>
      <c r="J85" s="28" t="str">
        <f t="shared" si="7"/>
        <v>0180District LevelDistrict Design and Led3</v>
      </c>
      <c r="K85" s="30"/>
      <c r="L85" s="30">
        <v>155183</v>
      </c>
      <c r="M85" s="30">
        <v>451500</v>
      </c>
      <c r="N85" s="30">
        <v>0</v>
      </c>
      <c r="O85" s="30">
        <v>311140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/>
      <c r="V85" s="30"/>
      <c r="W85" s="30"/>
      <c r="X85" s="30"/>
      <c r="Y85" t="s">
        <v>6499</v>
      </c>
    </row>
    <row r="86" spans="1:25" x14ac:dyDescent="0.3">
      <c r="A86" s="28" t="s">
        <v>450</v>
      </c>
      <c r="B86" s="28" t="s">
        <v>6248</v>
      </c>
      <c r="C86" s="2" t="s">
        <v>451</v>
      </c>
      <c r="D86" s="2" t="s">
        <v>6474</v>
      </c>
      <c r="E86" s="28" t="s">
        <v>6475</v>
      </c>
      <c r="F86" s="28" t="str">
        <f>A86&amp;B86&amp;E86</f>
        <v>0220District LevelDDL</v>
      </c>
      <c r="G86" s="28" t="s">
        <v>6233</v>
      </c>
      <c r="H86" s="28" t="str">
        <f t="shared" si="6"/>
        <v>0220District LevelDistrict Design and Led</v>
      </c>
      <c r="I86" s="29">
        <v>5</v>
      </c>
      <c r="J86" s="28" t="str">
        <f t="shared" si="7"/>
        <v>0220District LevelDistrict Design and Led5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  <c r="S86" s="30">
        <v>0</v>
      </c>
      <c r="T86" s="30">
        <v>0</v>
      </c>
      <c r="U86" s="30">
        <v>49948</v>
      </c>
      <c r="V86" s="30">
        <v>49908</v>
      </c>
      <c r="W86" s="30">
        <v>49908</v>
      </c>
      <c r="X86" s="30">
        <v>0</v>
      </c>
      <c r="Y86" t="s">
        <v>6500</v>
      </c>
    </row>
    <row r="87" spans="1:25" x14ac:dyDescent="0.3">
      <c r="A87" s="2" t="s">
        <v>735</v>
      </c>
      <c r="B87" s="2" t="s">
        <v>737</v>
      </c>
      <c r="C87" s="2" t="s">
        <v>736</v>
      </c>
      <c r="D87" s="2" t="s">
        <v>738</v>
      </c>
      <c r="E87" s="2" t="s">
        <v>6457</v>
      </c>
      <c r="F87" s="28" t="s">
        <v>6483</v>
      </c>
      <c r="G87" s="2" t="s">
        <v>6241</v>
      </c>
      <c r="H87" s="28" t="str">
        <f t="shared" si="6"/>
        <v>02900443School Turnaround Leadership Development Program</v>
      </c>
      <c r="I87" s="29">
        <v>4</v>
      </c>
      <c r="J87" s="28" t="str">
        <f t="shared" si="7"/>
        <v>02900443School Turnaround Leadership Development Program4</v>
      </c>
      <c r="K87" s="32"/>
      <c r="L87" s="32"/>
      <c r="M87" s="32"/>
      <c r="N87" s="30"/>
      <c r="O87" s="30"/>
      <c r="P87" s="30"/>
      <c r="Q87" s="30">
        <v>42000</v>
      </c>
      <c r="R87" s="30">
        <v>0</v>
      </c>
      <c r="S87" s="30">
        <v>0</v>
      </c>
      <c r="T87" s="30">
        <v>76000</v>
      </c>
      <c r="U87" s="30"/>
      <c r="V87" s="30"/>
      <c r="W87" s="30"/>
      <c r="X87" s="30"/>
      <c r="Y87" t="s">
        <v>6499</v>
      </c>
    </row>
    <row r="88" spans="1:25" x14ac:dyDescent="0.3">
      <c r="A88" s="28" t="s">
        <v>749</v>
      </c>
      <c r="B88" s="28" t="s">
        <v>2346</v>
      </c>
      <c r="C88" s="2" t="s">
        <v>750</v>
      </c>
      <c r="D88" s="2" t="s">
        <v>2347</v>
      </c>
      <c r="E88" s="28" t="s">
        <v>6238</v>
      </c>
      <c r="F88" s="28" t="str">
        <f>A88&amp;B88&amp;E88</f>
        <v>04800125AEC Pilot</v>
      </c>
      <c r="G88" s="28" t="s">
        <v>6238</v>
      </c>
      <c r="H88" s="28" t="str">
        <f t="shared" si="6"/>
        <v>04800125AEC Pilot</v>
      </c>
      <c r="I88" s="29">
        <v>2</v>
      </c>
      <c r="J88" s="28" t="str">
        <f t="shared" si="7"/>
        <v>04800125AEC Pilot2</v>
      </c>
      <c r="K88" s="30"/>
      <c r="L88" s="30">
        <v>4450</v>
      </c>
      <c r="M88" s="30">
        <v>39935</v>
      </c>
      <c r="N88" s="30">
        <v>0</v>
      </c>
      <c r="O88" s="30"/>
      <c r="P88" s="30">
        <v>0</v>
      </c>
      <c r="Q88" s="30">
        <v>0</v>
      </c>
      <c r="R88" s="30">
        <v>0</v>
      </c>
      <c r="S88" s="30">
        <v>0</v>
      </c>
      <c r="T88" s="30">
        <v>0</v>
      </c>
      <c r="U88" s="30"/>
      <c r="V88" s="30"/>
      <c r="W88" s="30"/>
      <c r="X88" s="30"/>
      <c r="Y88" t="s">
        <v>6499</v>
      </c>
    </row>
    <row r="89" spans="1:25" x14ac:dyDescent="0.3">
      <c r="A89" s="2" t="s">
        <v>749</v>
      </c>
      <c r="B89" s="2" t="s">
        <v>3917</v>
      </c>
      <c r="C89" s="2" t="s">
        <v>750</v>
      </c>
      <c r="D89" s="2" t="s">
        <v>3918</v>
      </c>
      <c r="E89" s="28" t="s">
        <v>6465</v>
      </c>
      <c r="F89" s="28" t="str">
        <f>A89&amp;B89&amp;E89</f>
        <v>04800934Diagnostic Review 19-20</v>
      </c>
      <c r="G89" s="28" t="s">
        <v>6240</v>
      </c>
      <c r="H89" s="28" t="str">
        <f t="shared" si="6"/>
        <v>04800934Diagnostic Review</v>
      </c>
      <c r="I89" s="29">
        <v>3</v>
      </c>
      <c r="J89" s="28" t="str">
        <f t="shared" si="7"/>
        <v>04800934Diagnostic Review3</v>
      </c>
      <c r="K89" s="30"/>
      <c r="L89" s="30"/>
      <c r="M89" s="30"/>
      <c r="N89" s="30">
        <v>50026</v>
      </c>
      <c r="O89" s="30"/>
      <c r="P89" s="30"/>
      <c r="Q89" s="30">
        <v>0</v>
      </c>
      <c r="R89" s="30">
        <v>0</v>
      </c>
      <c r="S89" s="30">
        <v>0</v>
      </c>
      <c r="T89" s="30">
        <v>0</v>
      </c>
      <c r="U89" s="30"/>
      <c r="V89" s="30"/>
      <c r="W89" s="30"/>
      <c r="X89" s="30"/>
      <c r="Y89" t="s">
        <v>6499</v>
      </c>
    </row>
    <row r="90" spans="1:25" x14ac:dyDescent="0.3">
      <c r="A90" s="2" t="s">
        <v>749</v>
      </c>
      <c r="B90" s="28" t="s">
        <v>3917</v>
      </c>
      <c r="C90" s="2" t="s">
        <v>750</v>
      </c>
      <c r="D90" s="2" t="s">
        <v>3918</v>
      </c>
      <c r="E90" s="28" t="s">
        <v>6457</v>
      </c>
      <c r="F90" s="28" t="s">
        <v>6458</v>
      </c>
      <c r="G90" s="28" t="s">
        <v>6234</v>
      </c>
      <c r="H90" s="28" t="str">
        <f t="shared" si="6"/>
        <v>04800934Connect For Success</v>
      </c>
      <c r="I90" s="29">
        <v>4</v>
      </c>
      <c r="J90" s="28" t="str">
        <f t="shared" si="7"/>
        <v>04800934Connect For Success4</v>
      </c>
      <c r="K90" s="30"/>
      <c r="L90" s="30"/>
      <c r="M90" s="30"/>
      <c r="N90" s="30"/>
      <c r="O90" s="30"/>
      <c r="P90" s="30"/>
      <c r="Q90" s="30">
        <v>15000</v>
      </c>
      <c r="R90" s="30">
        <v>0</v>
      </c>
      <c r="S90" s="30">
        <v>0</v>
      </c>
      <c r="T90" s="30">
        <v>80000</v>
      </c>
      <c r="U90" s="30"/>
      <c r="V90" s="30"/>
      <c r="W90" s="30"/>
      <c r="X90" s="30"/>
      <c r="Y90" t="s">
        <v>6499</v>
      </c>
    </row>
    <row r="91" spans="1:25" x14ac:dyDescent="0.3">
      <c r="A91" s="2" t="s">
        <v>749</v>
      </c>
      <c r="B91" s="2" t="s">
        <v>5313</v>
      </c>
      <c r="C91" s="2" t="s">
        <v>750</v>
      </c>
      <c r="D91" s="2" t="s">
        <v>5314</v>
      </c>
      <c r="E91" s="2" t="s">
        <v>6457</v>
      </c>
      <c r="F91" s="28" t="s">
        <v>6483</v>
      </c>
      <c r="G91" s="2" t="s">
        <v>6241</v>
      </c>
      <c r="H91" s="28" t="str">
        <f t="shared" si="6"/>
        <v>04804792School Turnaround Leadership Development Program</v>
      </c>
      <c r="I91" s="29">
        <v>4</v>
      </c>
      <c r="J91" s="28" t="str">
        <f t="shared" si="7"/>
        <v>04804792School Turnaround Leadership Development Program4</v>
      </c>
      <c r="K91" s="32"/>
      <c r="L91" s="32"/>
      <c r="M91" s="32"/>
      <c r="N91" s="30"/>
      <c r="O91" s="30"/>
      <c r="P91" s="30"/>
      <c r="Q91" s="30">
        <v>32980</v>
      </c>
      <c r="R91" s="30">
        <v>0</v>
      </c>
      <c r="S91" s="30">
        <v>0</v>
      </c>
      <c r="T91" s="30">
        <v>65030</v>
      </c>
      <c r="U91" s="30"/>
      <c r="V91" s="30"/>
      <c r="W91" s="30"/>
      <c r="X91" s="30"/>
      <c r="Y91" t="s">
        <v>6499</v>
      </c>
    </row>
    <row r="92" spans="1:25" x14ac:dyDescent="0.3">
      <c r="A92" s="28" t="s">
        <v>749</v>
      </c>
      <c r="B92" s="28" t="s">
        <v>6248</v>
      </c>
      <c r="C92" s="2" t="s">
        <v>750</v>
      </c>
      <c r="D92" s="2" t="s">
        <v>6474</v>
      </c>
      <c r="E92" s="2" t="s">
        <v>6484</v>
      </c>
      <c r="F92" s="28" t="str">
        <f>A92&amp;B92&amp;E92</f>
        <v>0480District LevelSchool Turnaround Leaders Program</v>
      </c>
      <c r="G92" s="2" t="s">
        <v>6241</v>
      </c>
      <c r="H92" s="28" t="str">
        <f t="shared" si="6"/>
        <v>0480District LevelSchool Turnaround Leadership Development Program</v>
      </c>
      <c r="I92" s="29">
        <v>2</v>
      </c>
      <c r="J92" s="28" t="str">
        <f t="shared" si="7"/>
        <v>0480District LevelSchool Turnaround Leadership Development Program2</v>
      </c>
      <c r="K92" s="30"/>
      <c r="L92" s="30"/>
      <c r="M92" s="30">
        <v>96161</v>
      </c>
      <c r="N92" s="30">
        <v>0</v>
      </c>
      <c r="O92" s="30">
        <v>133195</v>
      </c>
      <c r="P92" s="30" t="s">
        <v>6462</v>
      </c>
      <c r="Q92" s="30">
        <v>0</v>
      </c>
      <c r="R92" s="30">
        <v>0</v>
      </c>
      <c r="S92" s="30">
        <v>0</v>
      </c>
      <c r="T92" s="30">
        <v>0</v>
      </c>
      <c r="U92" s="30"/>
      <c r="V92" s="30"/>
      <c r="W92" s="30"/>
      <c r="X92" s="30"/>
      <c r="Y92" t="s">
        <v>6499</v>
      </c>
    </row>
    <row r="93" spans="1:25" x14ac:dyDescent="0.3">
      <c r="A93" s="2" t="s">
        <v>399</v>
      </c>
      <c r="B93" s="2" t="s">
        <v>1320</v>
      </c>
      <c r="C93" s="2" t="s">
        <v>400</v>
      </c>
      <c r="D93" s="2" t="s">
        <v>1321</v>
      </c>
      <c r="E93" s="28" t="s">
        <v>6463</v>
      </c>
      <c r="F93" s="28" t="str">
        <f>A93&amp;B93&amp;E93</f>
        <v>05004085Diagnostic Review 18-19</v>
      </c>
      <c r="G93" s="28" t="s">
        <v>6240</v>
      </c>
      <c r="H93" s="28" t="str">
        <f t="shared" si="6"/>
        <v>05004085Diagnostic Review</v>
      </c>
      <c r="I93" s="29">
        <v>3</v>
      </c>
      <c r="J93" s="28" t="str">
        <f t="shared" si="7"/>
        <v>05004085Diagnostic Review3</v>
      </c>
      <c r="K93" s="30"/>
      <c r="L93" s="30">
        <v>35748</v>
      </c>
      <c r="M93" s="30">
        <v>5504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  <c r="S93" s="30">
        <v>0</v>
      </c>
      <c r="T93" s="30">
        <v>0</v>
      </c>
      <c r="U93" s="30"/>
      <c r="V93" s="30"/>
      <c r="W93" s="30"/>
      <c r="X93" s="30"/>
      <c r="Y93" t="s">
        <v>6499</v>
      </c>
    </row>
    <row r="94" spans="1:25" x14ac:dyDescent="0.3">
      <c r="A94" s="2" t="s">
        <v>399</v>
      </c>
      <c r="B94" s="28" t="s">
        <v>1320</v>
      </c>
      <c r="C94" s="2" t="s">
        <v>400</v>
      </c>
      <c r="D94" s="2" t="s">
        <v>1321</v>
      </c>
      <c r="E94" s="28" t="s">
        <v>6478</v>
      </c>
      <c r="F94" s="28" t="str">
        <f>A94&amp;B94&amp;E94</f>
        <v>05004085District Design and Led 19-22</v>
      </c>
      <c r="G94" s="28" t="s">
        <v>6233</v>
      </c>
      <c r="H94" s="28" t="str">
        <f t="shared" si="6"/>
        <v>05004085District Design and Led</v>
      </c>
      <c r="I94" s="29">
        <v>3</v>
      </c>
      <c r="J94" s="28" t="str">
        <f t="shared" si="7"/>
        <v>05004085District Design and Led3</v>
      </c>
      <c r="K94" s="30"/>
      <c r="L94" s="30"/>
      <c r="M94" s="30"/>
      <c r="N94" s="30">
        <v>55106</v>
      </c>
      <c r="O94" s="30">
        <v>0</v>
      </c>
      <c r="P94" s="30">
        <v>77389</v>
      </c>
      <c r="Q94" s="30">
        <v>0</v>
      </c>
      <c r="R94" s="30">
        <v>0</v>
      </c>
      <c r="S94" s="30">
        <v>74626.175000000003</v>
      </c>
      <c r="T94" s="30">
        <v>0</v>
      </c>
      <c r="U94" s="30"/>
      <c r="V94" s="30"/>
      <c r="W94" s="30"/>
      <c r="X94" s="30"/>
      <c r="Y94" t="s">
        <v>6499</v>
      </c>
    </row>
    <row r="95" spans="1:25" x14ac:dyDescent="0.3">
      <c r="A95" s="28" t="s">
        <v>399</v>
      </c>
      <c r="B95" s="28" t="s">
        <v>6248</v>
      </c>
      <c r="C95" s="2" t="s">
        <v>400</v>
      </c>
      <c r="D95" s="2" t="s">
        <v>6474</v>
      </c>
      <c r="E95" s="28" t="s">
        <v>6475</v>
      </c>
      <c r="F95" s="28" t="str">
        <f>A95&amp;B95&amp;E95</f>
        <v>0500District LevelDDL</v>
      </c>
      <c r="G95" s="28" t="s">
        <v>6233</v>
      </c>
      <c r="H95" s="28" t="str">
        <f t="shared" si="6"/>
        <v>0500District LevelDistrict Design and Led</v>
      </c>
      <c r="I95" s="29">
        <v>5</v>
      </c>
      <c r="J95" s="28" t="str">
        <f t="shared" si="7"/>
        <v>0500District LevelDistrict Design and Led5</v>
      </c>
      <c r="K95" s="30">
        <v>0</v>
      </c>
      <c r="L95" s="30">
        <v>0</v>
      </c>
      <c r="M95" s="30">
        <v>0</v>
      </c>
      <c r="N95" s="30">
        <v>0</v>
      </c>
      <c r="O95" s="30">
        <v>0</v>
      </c>
      <c r="P95" s="30">
        <v>0</v>
      </c>
      <c r="Q95" s="30">
        <v>0</v>
      </c>
      <c r="R95" s="30">
        <v>0</v>
      </c>
      <c r="S95" s="30">
        <v>0</v>
      </c>
      <c r="T95" s="30">
        <v>0</v>
      </c>
      <c r="U95" s="30">
        <v>23000</v>
      </c>
      <c r="V95" s="30">
        <v>47255</v>
      </c>
      <c r="W95" s="30">
        <v>47255</v>
      </c>
      <c r="X95" s="30">
        <v>0</v>
      </c>
      <c r="Y95" t="s">
        <v>6499</v>
      </c>
    </row>
    <row r="96" spans="1:25" x14ac:dyDescent="0.3">
      <c r="A96" s="2" t="s">
        <v>555</v>
      </c>
      <c r="B96" s="2" t="s">
        <v>1327</v>
      </c>
      <c r="C96" s="2" t="s">
        <v>556</v>
      </c>
      <c r="D96" s="2" t="s">
        <v>1328</v>
      </c>
      <c r="E96" s="28" t="s">
        <v>6468</v>
      </c>
      <c r="F96" s="28" t="s">
        <v>6470</v>
      </c>
      <c r="G96" s="28" t="s">
        <v>6240</v>
      </c>
      <c r="H96" s="28" t="str">
        <f t="shared" si="6"/>
        <v>05506339Diagnostic Review</v>
      </c>
      <c r="I96" s="29">
        <v>4</v>
      </c>
      <c r="J96" s="28" t="str">
        <f t="shared" si="7"/>
        <v>05506339Diagnostic Review4</v>
      </c>
      <c r="K96" s="30"/>
      <c r="L96" s="30"/>
      <c r="M96" s="30"/>
      <c r="N96" s="30"/>
      <c r="O96" s="30"/>
      <c r="P96" s="30"/>
      <c r="Q96" s="30">
        <v>20000</v>
      </c>
      <c r="R96" s="30">
        <v>0</v>
      </c>
      <c r="S96" s="30">
        <v>0</v>
      </c>
      <c r="T96" s="30">
        <v>10000</v>
      </c>
      <c r="U96" s="30"/>
      <c r="V96" s="30"/>
      <c r="W96" s="30"/>
      <c r="X96" s="30"/>
      <c r="Y96" t="s">
        <v>6499</v>
      </c>
    </row>
    <row r="97" spans="1:25" x14ac:dyDescent="0.3">
      <c r="A97" s="2" t="s">
        <v>3805</v>
      </c>
      <c r="B97" s="2" t="s">
        <v>5929</v>
      </c>
      <c r="C97" s="2" t="s">
        <v>3806</v>
      </c>
      <c r="D97" s="2" t="s">
        <v>5930</v>
      </c>
      <c r="E97" s="28" t="s">
        <v>6478</v>
      </c>
      <c r="F97" s="28" t="str">
        <f t="shared" ref="F97:F107" si="8">A97&amp;B97&amp;E97</f>
        <v>05800248District Design and Led 19-22</v>
      </c>
      <c r="G97" s="28" t="s">
        <v>6233</v>
      </c>
      <c r="H97" s="28" t="str">
        <f t="shared" si="6"/>
        <v>05800248District Design and Led</v>
      </c>
      <c r="I97" s="29">
        <v>3</v>
      </c>
      <c r="J97" s="28" t="str">
        <f t="shared" si="7"/>
        <v>05800248District Design and Led3</v>
      </c>
      <c r="K97" s="30"/>
      <c r="L97" s="30"/>
      <c r="M97" s="30"/>
      <c r="N97" s="30">
        <v>5000</v>
      </c>
      <c r="O97" s="30">
        <v>0</v>
      </c>
      <c r="P97" s="30">
        <v>80947.5</v>
      </c>
      <c r="Q97" s="30">
        <v>0</v>
      </c>
      <c r="R97" s="30">
        <v>0</v>
      </c>
      <c r="S97" s="30">
        <v>64430.603999999999</v>
      </c>
      <c r="T97" s="30">
        <v>0</v>
      </c>
      <c r="U97" s="30"/>
      <c r="V97" s="30"/>
      <c r="W97" s="30"/>
      <c r="X97" s="30"/>
      <c r="Y97" t="s">
        <v>6499</v>
      </c>
    </row>
    <row r="98" spans="1:25" x14ac:dyDescent="0.3">
      <c r="A98" s="2" t="s">
        <v>3805</v>
      </c>
      <c r="B98" s="2" t="s">
        <v>4555</v>
      </c>
      <c r="C98" s="2" t="s">
        <v>3806</v>
      </c>
      <c r="D98" s="2" t="s">
        <v>4556</v>
      </c>
      <c r="E98" s="28" t="s">
        <v>6478</v>
      </c>
      <c r="F98" s="28" t="str">
        <f t="shared" si="8"/>
        <v>05800252District Design and Led 19-22</v>
      </c>
      <c r="G98" s="28" t="s">
        <v>6233</v>
      </c>
      <c r="H98" s="28" t="str">
        <f t="shared" si="6"/>
        <v>05800252District Design and Led</v>
      </c>
      <c r="I98" s="29">
        <v>3</v>
      </c>
      <c r="J98" s="28" t="str">
        <f t="shared" si="7"/>
        <v>05800252District Design and Led3</v>
      </c>
      <c r="K98" s="30"/>
      <c r="L98" s="30"/>
      <c r="M98" s="30"/>
      <c r="N98" s="30">
        <v>5000</v>
      </c>
      <c r="O98" s="30">
        <v>0</v>
      </c>
      <c r="P98" s="30">
        <v>80947.5</v>
      </c>
      <c r="Q98" s="30">
        <v>0</v>
      </c>
      <c r="R98" s="30">
        <v>0</v>
      </c>
      <c r="S98" s="30">
        <v>64430.603999999999</v>
      </c>
      <c r="T98" s="30">
        <v>0</v>
      </c>
      <c r="U98" s="30"/>
      <c r="V98" s="30"/>
      <c r="W98" s="30"/>
      <c r="X98" s="30"/>
      <c r="Y98" t="s">
        <v>6499</v>
      </c>
    </row>
    <row r="99" spans="1:25" x14ac:dyDescent="0.3">
      <c r="A99" s="28" t="s">
        <v>3805</v>
      </c>
      <c r="B99" s="28" t="s">
        <v>6248</v>
      </c>
      <c r="C99" s="2" t="s">
        <v>3806</v>
      </c>
      <c r="D99" s="2" t="s">
        <v>6474</v>
      </c>
      <c r="E99" s="28" t="s">
        <v>6455</v>
      </c>
      <c r="F99" s="28" t="str">
        <f t="shared" si="8"/>
        <v>0580District LevelConnect For Success 17-20</v>
      </c>
      <c r="G99" s="28" t="s">
        <v>6234</v>
      </c>
      <c r="H99" s="28" t="str">
        <f t="shared" si="6"/>
        <v>0580District LevelConnect For Success</v>
      </c>
      <c r="I99" s="29">
        <v>1</v>
      </c>
      <c r="J99" s="28" t="str">
        <f t="shared" si="7"/>
        <v>0580District LevelConnect For Success1</v>
      </c>
      <c r="K99" s="30">
        <v>20000</v>
      </c>
      <c r="L99" s="30">
        <v>80000</v>
      </c>
      <c r="M99" s="30">
        <v>80000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/>
      <c r="V99" s="30"/>
      <c r="W99" s="30"/>
      <c r="X99" s="30"/>
      <c r="Y99" t="s">
        <v>6499</v>
      </c>
    </row>
    <row r="100" spans="1:25" x14ac:dyDescent="0.3">
      <c r="A100" s="2" t="s">
        <v>3811</v>
      </c>
      <c r="B100" s="2" t="s">
        <v>5931</v>
      </c>
      <c r="C100" s="2" t="s">
        <v>3812</v>
      </c>
      <c r="D100" s="2" t="s">
        <v>5932</v>
      </c>
      <c r="E100" s="28" t="s">
        <v>6464</v>
      </c>
      <c r="F100" s="28" t="str">
        <f t="shared" si="8"/>
        <v>07407880Diagnostic Review 17-18</v>
      </c>
      <c r="G100" s="28" t="s">
        <v>6240</v>
      </c>
      <c r="H100" s="28" t="str">
        <f t="shared" si="6"/>
        <v>07407880Diagnostic Review</v>
      </c>
      <c r="I100" s="29">
        <v>2</v>
      </c>
      <c r="J100" s="28" t="str">
        <f t="shared" si="7"/>
        <v>07407880Diagnostic Review2</v>
      </c>
      <c r="K100" s="32">
        <v>49590</v>
      </c>
      <c r="L100" s="32"/>
      <c r="M100" s="32"/>
      <c r="N100" s="32">
        <v>0</v>
      </c>
      <c r="O100" s="32">
        <v>0</v>
      </c>
      <c r="P100" s="32">
        <v>0</v>
      </c>
      <c r="Q100" s="32">
        <v>0</v>
      </c>
      <c r="R100" s="32">
        <v>0</v>
      </c>
      <c r="S100" s="32">
        <v>0</v>
      </c>
      <c r="T100" s="32">
        <v>0</v>
      </c>
      <c r="U100" s="32"/>
      <c r="V100" s="32"/>
      <c r="W100" s="32"/>
      <c r="X100" s="32"/>
      <c r="Y100" t="s">
        <v>6499</v>
      </c>
    </row>
    <row r="101" spans="1:25" x14ac:dyDescent="0.3">
      <c r="A101" s="2" t="s">
        <v>776</v>
      </c>
      <c r="B101" s="2" t="s">
        <v>5325</v>
      </c>
      <c r="C101" s="2" t="s">
        <v>777</v>
      </c>
      <c r="D101" s="2" t="s">
        <v>5326</v>
      </c>
      <c r="E101" s="28" t="s">
        <v>6463</v>
      </c>
      <c r="F101" s="28" t="str">
        <f t="shared" si="8"/>
        <v>08702155Diagnostic Review 18-19</v>
      </c>
      <c r="G101" s="28" t="s">
        <v>6240</v>
      </c>
      <c r="H101" s="28" t="str">
        <f t="shared" si="6"/>
        <v>08702155Diagnostic Review</v>
      </c>
      <c r="I101" s="29">
        <v>3</v>
      </c>
      <c r="J101" s="28" t="str">
        <f t="shared" si="7"/>
        <v>08702155Diagnostic Review3</v>
      </c>
      <c r="K101" s="30"/>
      <c r="L101" s="30">
        <v>54281</v>
      </c>
      <c r="M101" s="30"/>
      <c r="N101" s="30">
        <v>0</v>
      </c>
      <c r="O101" s="30">
        <v>0</v>
      </c>
      <c r="P101" s="30">
        <v>0</v>
      </c>
      <c r="Q101" s="30">
        <v>0</v>
      </c>
      <c r="R101" s="30">
        <v>0</v>
      </c>
      <c r="S101" s="30">
        <v>0</v>
      </c>
      <c r="T101" s="30">
        <v>0</v>
      </c>
      <c r="U101" s="30"/>
      <c r="V101" s="30"/>
      <c r="W101" s="30"/>
      <c r="X101" s="30"/>
      <c r="Y101" t="s">
        <v>6499</v>
      </c>
    </row>
    <row r="102" spans="1:25" x14ac:dyDescent="0.3">
      <c r="A102" s="2" t="s">
        <v>776</v>
      </c>
      <c r="B102" s="2" t="s">
        <v>3919</v>
      </c>
      <c r="C102" s="2" t="s">
        <v>777</v>
      </c>
      <c r="D102" s="2" t="s">
        <v>3920</v>
      </c>
      <c r="E102" s="28" t="s">
        <v>6463</v>
      </c>
      <c r="F102" s="28" t="str">
        <f t="shared" si="8"/>
        <v>08702166Diagnostic Review 18-19</v>
      </c>
      <c r="G102" s="28" t="s">
        <v>6240</v>
      </c>
      <c r="H102" s="28" t="str">
        <f t="shared" si="6"/>
        <v>08702166Diagnostic Review</v>
      </c>
      <c r="I102" s="29">
        <v>3</v>
      </c>
      <c r="J102" s="28" t="str">
        <f t="shared" si="7"/>
        <v>08702166Diagnostic Review3</v>
      </c>
      <c r="K102" s="32"/>
      <c r="L102" s="32">
        <v>28283</v>
      </c>
      <c r="M102" s="32"/>
      <c r="N102" s="30">
        <v>0</v>
      </c>
      <c r="O102" s="32">
        <v>0</v>
      </c>
      <c r="P102" s="32">
        <v>0</v>
      </c>
      <c r="Q102" s="30">
        <v>0</v>
      </c>
      <c r="R102" s="30">
        <v>0</v>
      </c>
      <c r="S102" s="30">
        <v>0</v>
      </c>
      <c r="T102" s="30">
        <v>0</v>
      </c>
      <c r="U102" s="30"/>
      <c r="V102" s="30"/>
      <c r="W102" s="30"/>
      <c r="X102" s="30"/>
      <c r="Y102" t="s">
        <v>6499</v>
      </c>
    </row>
    <row r="103" spans="1:25" x14ac:dyDescent="0.3">
      <c r="A103" s="2" t="s">
        <v>667</v>
      </c>
      <c r="B103" s="2" t="s">
        <v>461</v>
      </c>
      <c r="C103" s="2" t="s">
        <v>668</v>
      </c>
      <c r="D103" s="2" t="s">
        <v>1616</v>
      </c>
      <c r="E103" s="28" t="s">
        <v>6477</v>
      </c>
      <c r="F103" s="28" t="str">
        <f t="shared" si="8"/>
        <v>08800010District Design and Led 18-21</v>
      </c>
      <c r="G103" s="28" t="s">
        <v>6233</v>
      </c>
      <c r="H103" s="28" t="str">
        <f t="shared" si="6"/>
        <v>08800010District Design and Led</v>
      </c>
      <c r="I103" s="29">
        <v>3</v>
      </c>
      <c r="J103" s="28" t="str">
        <f t="shared" si="7"/>
        <v>08800010District Design and Led3</v>
      </c>
      <c r="K103" s="30"/>
      <c r="L103" s="30">
        <v>7837</v>
      </c>
      <c r="M103" s="30"/>
      <c r="N103" s="30">
        <v>0</v>
      </c>
      <c r="O103" s="30">
        <v>0</v>
      </c>
      <c r="P103" s="30">
        <v>0</v>
      </c>
      <c r="Q103" s="30">
        <v>0</v>
      </c>
      <c r="R103" s="30">
        <v>0</v>
      </c>
      <c r="S103" s="30">
        <v>0</v>
      </c>
      <c r="T103" s="30">
        <v>0</v>
      </c>
      <c r="U103" s="30"/>
      <c r="V103" s="30"/>
      <c r="W103" s="30"/>
      <c r="X103" s="30"/>
      <c r="Y103" t="s">
        <v>6499</v>
      </c>
    </row>
    <row r="104" spans="1:25" x14ac:dyDescent="0.3">
      <c r="A104" s="2" t="s">
        <v>667</v>
      </c>
      <c r="B104" s="2" t="s">
        <v>473</v>
      </c>
      <c r="C104" s="2" t="s">
        <v>668</v>
      </c>
      <c r="D104" s="2" t="s">
        <v>5970</v>
      </c>
      <c r="E104" s="28" t="s">
        <v>6477</v>
      </c>
      <c r="F104" s="28" t="str">
        <f t="shared" si="8"/>
        <v>08800040District Design and Led 18-21</v>
      </c>
      <c r="G104" s="28" t="s">
        <v>6233</v>
      </c>
      <c r="H104" s="28" t="str">
        <f t="shared" si="6"/>
        <v>08800040District Design and Led</v>
      </c>
      <c r="I104" s="29">
        <v>3</v>
      </c>
      <c r="J104" s="28" t="str">
        <f t="shared" si="7"/>
        <v>08800040District Design and Led3</v>
      </c>
      <c r="K104" s="30"/>
      <c r="L104" s="30">
        <v>28278</v>
      </c>
      <c r="M104" s="30"/>
      <c r="N104" s="30">
        <v>0</v>
      </c>
      <c r="O104" s="30">
        <v>0</v>
      </c>
      <c r="P104" s="30">
        <v>0</v>
      </c>
      <c r="Q104" s="30">
        <v>0</v>
      </c>
      <c r="R104" s="30">
        <v>0</v>
      </c>
      <c r="S104" s="30">
        <v>0</v>
      </c>
      <c r="T104" s="30">
        <v>0</v>
      </c>
      <c r="U104" s="30"/>
      <c r="V104" s="30"/>
      <c r="W104" s="30"/>
      <c r="X104" s="30"/>
      <c r="Y104" t="s">
        <v>6499</v>
      </c>
    </row>
    <row r="105" spans="1:25" x14ac:dyDescent="0.3">
      <c r="A105" s="2" t="s">
        <v>667</v>
      </c>
      <c r="B105" s="2" t="s">
        <v>473</v>
      </c>
      <c r="C105" s="2" t="s">
        <v>668</v>
      </c>
      <c r="D105" s="2" t="s">
        <v>5970</v>
      </c>
      <c r="E105" s="28" t="s">
        <v>6477</v>
      </c>
      <c r="F105" s="28" t="str">
        <f t="shared" si="8"/>
        <v>08800040District Design and Led 18-21</v>
      </c>
      <c r="G105" s="28" t="s">
        <v>6233</v>
      </c>
      <c r="H105" s="28" t="str">
        <f t="shared" si="6"/>
        <v>08800040District Design and Led</v>
      </c>
      <c r="I105" s="29">
        <v>3</v>
      </c>
      <c r="J105" s="28" t="str">
        <f t="shared" si="7"/>
        <v>08800040District Design and Led3</v>
      </c>
      <c r="K105" s="30"/>
      <c r="L105" s="30">
        <v>14191</v>
      </c>
      <c r="M105" s="30"/>
      <c r="N105" s="30">
        <v>0</v>
      </c>
      <c r="O105" s="30">
        <v>0</v>
      </c>
      <c r="P105" s="30">
        <v>73037.1728</v>
      </c>
      <c r="Q105" s="30">
        <v>0</v>
      </c>
      <c r="R105" s="30">
        <v>0</v>
      </c>
      <c r="S105" s="30">
        <v>0</v>
      </c>
      <c r="T105" s="30">
        <v>0</v>
      </c>
      <c r="U105" s="30"/>
      <c r="V105" s="30"/>
      <c r="W105" s="30"/>
      <c r="X105" s="30"/>
      <c r="Y105" t="s">
        <v>6499</v>
      </c>
    </row>
    <row r="106" spans="1:25" x14ac:dyDescent="0.3">
      <c r="A106" s="2" t="s">
        <v>667</v>
      </c>
      <c r="B106" s="28" t="s">
        <v>473</v>
      </c>
      <c r="C106" s="2" t="s">
        <v>668</v>
      </c>
      <c r="D106" s="2" t="s">
        <v>5970</v>
      </c>
      <c r="E106" s="28" t="s">
        <v>6481</v>
      </c>
      <c r="F106" s="28" t="str">
        <f t="shared" si="8"/>
        <v>08800040Expansion</v>
      </c>
      <c r="G106" s="28" t="s">
        <v>6233</v>
      </c>
      <c r="H106" s="28" t="str">
        <f t="shared" si="6"/>
        <v>08800040District Design and Led</v>
      </c>
      <c r="I106" s="29">
        <v>3</v>
      </c>
      <c r="J106" s="28" t="str">
        <f t="shared" si="7"/>
        <v>08800040District Design and Led3</v>
      </c>
      <c r="K106" s="30"/>
      <c r="L106" s="30"/>
      <c r="M106" s="30"/>
      <c r="N106" s="30">
        <v>810</v>
      </c>
      <c r="O106" s="30"/>
      <c r="P106" s="30"/>
      <c r="Q106" s="30">
        <v>0</v>
      </c>
      <c r="R106" s="30">
        <v>0</v>
      </c>
      <c r="S106" s="30">
        <v>16825.466703499998</v>
      </c>
      <c r="T106" s="30">
        <v>0</v>
      </c>
      <c r="U106" s="30"/>
      <c r="V106" s="30"/>
      <c r="W106" s="30"/>
      <c r="X106" s="30"/>
      <c r="Y106" t="s">
        <v>6499</v>
      </c>
    </row>
    <row r="107" spans="1:25" x14ac:dyDescent="0.3">
      <c r="A107" s="2" t="s">
        <v>667</v>
      </c>
      <c r="B107" s="2" t="s">
        <v>5280</v>
      </c>
      <c r="C107" s="2" t="s">
        <v>668</v>
      </c>
      <c r="D107" s="2" t="s">
        <v>5281</v>
      </c>
      <c r="E107" s="2" t="s">
        <v>6484</v>
      </c>
      <c r="F107" s="28" t="str">
        <f t="shared" si="8"/>
        <v>08800067School Turnaround Leaders Program</v>
      </c>
      <c r="G107" s="2" t="s">
        <v>6241</v>
      </c>
      <c r="H107" s="28" t="str">
        <f t="shared" si="6"/>
        <v>08800067School Turnaround Leadership Development Program</v>
      </c>
      <c r="I107" s="29">
        <v>2</v>
      </c>
      <c r="J107" s="28" t="str">
        <f t="shared" si="7"/>
        <v>08800067School Turnaround Leadership Development Program2</v>
      </c>
      <c r="K107" s="32"/>
      <c r="L107" s="32">
        <v>21560</v>
      </c>
      <c r="M107" s="32"/>
      <c r="N107" s="30">
        <v>0</v>
      </c>
      <c r="O107" s="30">
        <v>21808</v>
      </c>
      <c r="P107" s="30"/>
      <c r="Q107" s="30">
        <v>0</v>
      </c>
      <c r="R107" s="30">
        <v>0</v>
      </c>
      <c r="S107" s="30">
        <v>0</v>
      </c>
      <c r="T107" s="30">
        <v>0</v>
      </c>
      <c r="U107" s="30"/>
      <c r="V107" s="30"/>
      <c r="W107" s="30"/>
      <c r="X107" s="30"/>
      <c r="Y107" t="s">
        <v>6499</v>
      </c>
    </row>
    <row r="108" spans="1:25" x14ac:dyDescent="0.3">
      <c r="A108" s="2" t="s">
        <v>667</v>
      </c>
      <c r="B108" s="2" t="s">
        <v>5280</v>
      </c>
      <c r="C108" s="2" t="s">
        <v>668</v>
      </c>
      <c r="D108" s="2" t="s">
        <v>5281</v>
      </c>
      <c r="E108" s="2" t="s">
        <v>6457</v>
      </c>
      <c r="F108" s="28" t="s">
        <v>6483</v>
      </c>
      <c r="G108" s="2" t="s">
        <v>6241</v>
      </c>
      <c r="H108" s="28" t="str">
        <f t="shared" si="6"/>
        <v>08800067School Turnaround Leadership Development Program</v>
      </c>
      <c r="I108" s="29">
        <v>4</v>
      </c>
      <c r="J108" s="28" t="str">
        <f t="shared" si="7"/>
        <v>08800067School Turnaround Leadership Development Program4</v>
      </c>
      <c r="K108" s="32"/>
      <c r="L108" s="32"/>
      <c r="M108" s="32"/>
      <c r="N108" s="30"/>
      <c r="O108" s="30"/>
      <c r="P108" s="30"/>
      <c r="Q108" s="30">
        <v>30000</v>
      </c>
      <c r="R108" s="30">
        <v>0</v>
      </c>
      <c r="S108" s="30">
        <v>0</v>
      </c>
      <c r="T108" s="30">
        <v>0</v>
      </c>
      <c r="U108" s="30"/>
      <c r="V108" s="30"/>
      <c r="W108" s="30"/>
      <c r="X108" s="30"/>
      <c r="Y108" t="s">
        <v>6499</v>
      </c>
    </row>
    <row r="109" spans="1:25" x14ac:dyDescent="0.3">
      <c r="A109" s="2" t="s">
        <v>667</v>
      </c>
      <c r="B109" s="2" t="s">
        <v>450</v>
      </c>
      <c r="C109" s="2" t="s">
        <v>668</v>
      </c>
      <c r="D109" s="2" t="s">
        <v>4595</v>
      </c>
      <c r="E109" s="28" t="s">
        <v>6473</v>
      </c>
      <c r="F109" s="28" t="str">
        <f t="shared" ref="F109:F128" si="9">A109&amp;B109&amp;E109</f>
        <v>08800220District Design and Led 17-20</v>
      </c>
      <c r="G109" s="28" t="s">
        <v>6233</v>
      </c>
      <c r="H109" s="28" t="str">
        <f t="shared" si="6"/>
        <v>08800220District Design and Led</v>
      </c>
      <c r="I109" s="29">
        <v>2</v>
      </c>
      <c r="J109" s="28" t="str">
        <f t="shared" si="7"/>
        <v>08800220District Design and Led2</v>
      </c>
      <c r="K109" s="30">
        <v>8046</v>
      </c>
      <c r="L109" s="30">
        <v>7631</v>
      </c>
      <c r="M109" s="30"/>
      <c r="N109" s="30">
        <v>0</v>
      </c>
      <c r="O109" s="30">
        <v>0</v>
      </c>
      <c r="P109" s="30">
        <v>0</v>
      </c>
      <c r="Q109" s="30">
        <v>0</v>
      </c>
      <c r="R109" s="30">
        <v>0</v>
      </c>
      <c r="S109" s="30">
        <v>0</v>
      </c>
      <c r="T109" s="30">
        <v>0</v>
      </c>
      <c r="U109" s="30"/>
      <c r="V109" s="30"/>
      <c r="W109" s="30"/>
      <c r="X109" s="30"/>
      <c r="Y109" t="s">
        <v>6499</v>
      </c>
    </row>
    <row r="110" spans="1:25" x14ac:dyDescent="0.3">
      <c r="A110" s="2" t="s">
        <v>667</v>
      </c>
      <c r="B110" s="2" t="s">
        <v>450</v>
      </c>
      <c r="C110" s="2" t="s">
        <v>668</v>
      </c>
      <c r="D110" s="2" t="s">
        <v>4595</v>
      </c>
      <c r="E110" s="2" t="s">
        <v>6484</v>
      </c>
      <c r="F110" s="28" t="str">
        <f t="shared" si="9"/>
        <v>08800220School Turnaround Leaders Program</v>
      </c>
      <c r="G110" s="2" t="s">
        <v>6241</v>
      </c>
      <c r="H110" s="28" t="str">
        <f t="shared" si="6"/>
        <v>08800220School Turnaround Leadership Development Program</v>
      </c>
      <c r="I110" s="29">
        <v>2</v>
      </c>
      <c r="J110" s="28" t="str">
        <f t="shared" si="7"/>
        <v>08800220School Turnaround Leadership Development Program2</v>
      </c>
      <c r="K110" s="32"/>
      <c r="L110" s="32">
        <v>25053</v>
      </c>
      <c r="M110" s="32"/>
      <c r="N110" s="30">
        <v>0</v>
      </c>
      <c r="O110" s="30" t="s">
        <v>6462</v>
      </c>
      <c r="P110" s="30" t="s">
        <v>6462</v>
      </c>
      <c r="Q110" s="30">
        <v>0</v>
      </c>
      <c r="R110" s="30">
        <v>0</v>
      </c>
      <c r="S110" s="30">
        <v>0</v>
      </c>
      <c r="T110" s="30">
        <v>0</v>
      </c>
      <c r="U110" s="30"/>
      <c r="V110" s="30"/>
      <c r="W110" s="30"/>
      <c r="X110" s="30"/>
      <c r="Y110" t="s">
        <v>6499</v>
      </c>
    </row>
    <row r="111" spans="1:25" x14ac:dyDescent="0.3">
      <c r="A111" s="2" t="s">
        <v>667</v>
      </c>
      <c r="B111" s="2" t="s">
        <v>450</v>
      </c>
      <c r="C111" s="2" t="s">
        <v>668</v>
      </c>
      <c r="D111" s="2" t="s">
        <v>4595</v>
      </c>
      <c r="E111" s="28" t="s">
        <v>6477</v>
      </c>
      <c r="F111" s="28" t="str">
        <f t="shared" si="9"/>
        <v>08800220District Design and Led 18-21</v>
      </c>
      <c r="G111" s="28" t="s">
        <v>6233</v>
      </c>
      <c r="H111" s="28" t="str">
        <f t="shared" si="6"/>
        <v>08800220District Design and Led</v>
      </c>
      <c r="I111" s="29">
        <v>3</v>
      </c>
      <c r="J111" s="28" t="str">
        <f t="shared" si="7"/>
        <v>08800220District Design and Led3</v>
      </c>
      <c r="K111" s="30"/>
      <c r="L111" s="30">
        <v>14191</v>
      </c>
      <c r="M111" s="30"/>
      <c r="N111" s="30">
        <v>0</v>
      </c>
      <c r="O111" s="30">
        <v>0</v>
      </c>
      <c r="P111" s="30">
        <v>0</v>
      </c>
      <c r="Q111" s="30">
        <v>0</v>
      </c>
      <c r="R111" s="30">
        <v>0</v>
      </c>
      <c r="S111" s="30">
        <v>0</v>
      </c>
      <c r="T111" s="30">
        <v>0</v>
      </c>
      <c r="U111" s="30"/>
      <c r="V111" s="30"/>
      <c r="W111" s="30"/>
      <c r="X111" s="30"/>
      <c r="Y111" t="s">
        <v>6499</v>
      </c>
    </row>
    <row r="112" spans="1:25" x14ac:dyDescent="0.3">
      <c r="A112" s="2" t="s">
        <v>667</v>
      </c>
      <c r="B112" s="2" t="s">
        <v>5985</v>
      </c>
      <c r="C112" s="2" t="s">
        <v>668</v>
      </c>
      <c r="D112" s="2" t="s">
        <v>5986</v>
      </c>
      <c r="E112" s="28" t="s">
        <v>6473</v>
      </c>
      <c r="F112" s="28" t="str">
        <f t="shared" si="9"/>
        <v>08800388District Design and Led 17-20</v>
      </c>
      <c r="G112" s="28" t="s">
        <v>6233</v>
      </c>
      <c r="H112" s="28" t="str">
        <f t="shared" si="6"/>
        <v>08800388District Design and Led</v>
      </c>
      <c r="I112" s="29">
        <v>2</v>
      </c>
      <c r="J112" s="28" t="str">
        <f t="shared" si="7"/>
        <v>08800388District Design and Led2</v>
      </c>
      <c r="K112" s="30">
        <v>13946</v>
      </c>
      <c r="L112" s="30">
        <v>9946</v>
      </c>
      <c r="M112" s="30"/>
      <c r="N112" s="30">
        <v>0</v>
      </c>
      <c r="O112" s="30">
        <v>0</v>
      </c>
      <c r="P112" s="30">
        <v>0</v>
      </c>
      <c r="Q112" s="30">
        <v>0</v>
      </c>
      <c r="R112" s="30">
        <v>0</v>
      </c>
      <c r="S112" s="30">
        <v>0</v>
      </c>
      <c r="T112" s="30">
        <v>0</v>
      </c>
      <c r="U112" s="30"/>
      <c r="V112" s="30"/>
      <c r="W112" s="30"/>
      <c r="X112" s="30"/>
      <c r="Y112" t="s">
        <v>6499</v>
      </c>
    </row>
    <row r="113" spans="1:25" x14ac:dyDescent="0.3">
      <c r="A113" s="2" t="s">
        <v>667</v>
      </c>
      <c r="B113" s="2" t="s">
        <v>5985</v>
      </c>
      <c r="C113" s="2" t="s">
        <v>668</v>
      </c>
      <c r="D113" s="2" t="s">
        <v>5986</v>
      </c>
      <c r="E113" s="28" t="s">
        <v>6477</v>
      </c>
      <c r="F113" s="28" t="str">
        <f t="shared" si="9"/>
        <v>08800388District Design and Led 18-21</v>
      </c>
      <c r="G113" s="28" t="s">
        <v>6233</v>
      </c>
      <c r="H113" s="28" t="str">
        <f t="shared" si="6"/>
        <v>08800388District Design and Led</v>
      </c>
      <c r="I113" s="29">
        <v>3</v>
      </c>
      <c r="J113" s="28" t="str">
        <f t="shared" si="7"/>
        <v>08800388District Design and Led3</v>
      </c>
      <c r="K113" s="30"/>
      <c r="L113" s="30">
        <v>28278</v>
      </c>
      <c r="M113" s="30"/>
      <c r="N113" s="30">
        <v>0</v>
      </c>
      <c r="O113" s="30">
        <v>0</v>
      </c>
      <c r="P113" s="30">
        <v>0</v>
      </c>
      <c r="Q113" s="30">
        <v>0</v>
      </c>
      <c r="R113" s="30">
        <v>0</v>
      </c>
      <c r="S113" s="30">
        <v>0</v>
      </c>
      <c r="T113" s="30">
        <v>0</v>
      </c>
      <c r="U113" s="30"/>
      <c r="V113" s="30"/>
      <c r="W113" s="30"/>
      <c r="X113" s="30"/>
      <c r="Y113" t="s">
        <v>6499</v>
      </c>
    </row>
    <row r="114" spans="1:25" x14ac:dyDescent="0.3">
      <c r="A114" s="2" t="s">
        <v>667</v>
      </c>
      <c r="B114" s="2" t="s">
        <v>5985</v>
      </c>
      <c r="C114" s="2" t="s">
        <v>668</v>
      </c>
      <c r="D114" s="2" t="s">
        <v>5986</v>
      </c>
      <c r="E114" s="28" t="s">
        <v>6477</v>
      </c>
      <c r="F114" s="28" t="str">
        <f t="shared" si="9"/>
        <v>08800388District Design and Led 18-21</v>
      </c>
      <c r="G114" s="28" t="s">
        <v>6233</v>
      </c>
      <c r="H114" s="28" t="str">
        <f t="shared" si="6"/>
        <v>08800388District Design and Led</v>
      </c>
      <c r="I114" s="29">
        <v>3</v>
      </c>
      <c r="J114" s="28" t="str">
        <f t="shared" si="7"/>
        <v>08800388District Design and Led3</v>
      </c>
      <c r="K114" s="32"/>
      <c r="L114" s="32">
        <v>14191</v>
      </c>
      <c r="M114" s="32"/>
      <c r="N114" s="30">
        <v>0</v>
      </c>
      <c r="O114" s="32">
        <v>0</v>
      </c>
      <c r="P114" s="32">
        <v>0</v>
      </c>
      <c r="Q114" s="30">
        <v>0</v>
      </c>
      <c r="R114" s="30">
        <v>0</v>
      </c>
      <c r="S114" s="30">
        <v>0</v>
      </c>
      <c r="T114" s="30">
        <v>0</v>
      </c>
      <c r="U114" s="30"/>
      <c r="V114" s="30"/>
      <c r="W114" s="30"/>
      <c r="X114" s="30"/>
      <c r="Y114" t="s">
        <v>6499</v>
      </c>
    </row>
    <row r="115" spans="1:25" x14ac:dyDescent="0.3">
      <c r="A115" s="2" t="s">
        <v>667</v>
      </c>
      <c r="B115" s="2" t="s">
        <v>767</v>
      </c>
      <c r="C115" s="2" t="s">
        <v>668</v>
      </c>
      <c r="D115" s="2" t="s">
        <v>5290</v>
      </c>
      <c r="E115" s="28" t="s">
        <v>6473</v>
      </c>
      <c r="F115" s="28" t="str">
        <f t="shared" si="9"/>
        <v>08800520District Design and Led 17-20</v>
      </c>
      <c r="G115" s="28" t="s">
        <v>6233</v>
      </c>
      <c r="H115" s="28" t="str">
        <f t="shared" si="6"/>
        <v>08800520District Design and Led</v>
      </c>
      <c r="I115" s="29">
        <v>2</v>
      </c>
      <c r="J115" s="28" t="str">
        <f t="shared" si="7"/>
        <v>08800520District Design and Led2</v>
      </c>
      <c r="K115" s="30">
        <v>13946</v>
      </c>
      <c r="L115" s="30">
        <v>9946</v>
      </c>
      <c r="M115" s="30"/>
      <c r="N115" s="30">
        <v>0</v>
      </c>
      <c r="O115" s="30">
        <v>0</v>
      </c>
      <c r="P115" s="30">
        <v>0</v>
      </c>
      <c r="Q115" s="30">
        <v>0</v>
      </c>
      <c r="R115" s="30">
        <v>0</v>
      </c>
      <c r="S115" s="30">
        <v>0</v>
      </c>
      <c r="T115" s="30">
        <v>0</v>
      </c>
      <c r="U115" s="30"/>
      <c r="V115" s="30"/>
      <c r="W115" s="30"/>
      <c r="X115" s="30"/>
      <c r="Y115" t="s">
        <v>6499</v>
      </c>
    </row>
    <row r="116" spans="1:25" x14ac:dyDescent="0.3">
      <c r="A116" s="2" t="s">
        <v>667</v>
      </c>
      <c r="B116" s="2" t="s">
        <v>767</v>
      </c>
      <c r="C116" s="2" t="s">
        <v>668</v>
      </c>
      <c r="D116" s="2" t="s">
        <v>5290</v>
      </c>
      <c r="E116" s="2" t="s">
        <v>6484</v>
      </c>
      <c r="F116" s="28" t="str">
        <f t="shared" si="9"/>
        <v>08800520School Turnaround Leaders Program</v>
      </c>
      <c r="G116" s="2" t="s">
        <v>6241</v>
      </c>
      <c r="H116" s="28" t="str">
        <f t="shared" si="6"/>
        <v>08800520School Turnaround Leadership Development Program</v>
      </c>
      <c r="I116" s="29">
        <v>2</v>
      </c>
      <c r="J116" s="28" t="str">
        <f t="shared" si="7"/>
        <v>08800520School Turnaround Leadership Development Program2</v>
      </c>
      <c r="K116" s="32"/>
      <c r="L116" s="32">
        <v>101437</v>
      </c>
      <c r="M116" s="32"/>
      <c r="N116" s="30">
        <v>0</v>
      </c>
      <c r="O116" s="30" t="s">
        <v>6462</v>
      </c>
      <c r="P116" s="30" t="s">
        <v>6462</v>
      </c>
      <c r="Q116" s="30">
        <v>0</v>
      </c>
      <c r="R116" s="30">
        <v>0</v>
      </c>
      <c r="S116" s="30">
        <v>0</v>
      </c>
      <c r="T116" s="30">
        <v>0</v>
      </c>
      <c r="U116" s="30"/>
      <c r="V116" s="30"/>
      <c r="W116" s="30"/>
      <c r="X116" s="30"/>
      <c r="Y116" t="s">
        <v>6499</v>
      </c>
    </row>
    <row r="117" spans="1:25" x14ac:dyDescent="0.3">
      <c r="A117" s="2" t="s">
        <v>667</v>
      </c>
      <c r="B117" s="2" t="s">
        <v>767</v>
      </c>
      <c r="C117" s="2" t="s">
        <v>668</v>
      </c>
      <c r="D117" s="2" t="s">
        <v>5290</v>
      </c>
      <c r="E117" s="28" t="s">
        <v>6477</v>
      </c>
      <c r="F117" s="28" t="str">
        <f t="shared" si="9"/>
        <v>08800520District Design and Led 18-21</v>
      </c>
      <c r="G117" s="28" t="s">
        <v>6233</v>
      </c>
      <c r="H117" s="28" t="str">
        <f t="shared" si="6"/>
        <v>08800520District Design and Led</v>
      </c>
      <c r="I117" s="29">
        <v>3</v>
      </c>
      <c r="J117" s="28" t="str">
        <f t="shared" si="7"/>
        <v>08800520District Design and Led3</v>
      </c>
      <c r="K117" s="30"/>
      <c r="L117" s="30">
        <v>28278</v>
      </c>
      <c r="M117" s="30"/>
      <c r="N117" s="30">
        <v>0</v>
      </c>
      <c r="O117" s="30">
        <v>0</v>
      </c>
      <c r="P117" s="30">
        <v>0</v>
      </c>
      <c r="Q117" s="30">
        <v>0</v>
      </c>
      <c r="R117" s="30">
        <v>0</v>
      </c>
      <c r="S117" s="30">
        <v>0</v>
      </c>
      <c r="T117" s="30">
        <v>0</v>
      </c>
      <c r="U117" s="30"/>
      <c r="V117" s="30"/>
      <c r="W117" s="30"/>
      <c r="X117" s="30"/>
      <c r="Y117" t="s">
        <v>6499</v>
      </c>
    </row>
    <row r="118" spans="1:25" x14ac:dyDescent="0.3">
      <c r="A118" s="2" t="s">
        <v>667</v>
      </c>
      <c r="B118" s="2" t="s">
        <v>3090</v>
      </c>
      <c r="C118" s="2" t="s">
        <v>668</v>
      </c>
      <c r="D118" s="2" t="s">
        <v>3091</v>
      </c>
      <c r="E118" s="28" t="s">
        <v>6473</v>
      </c>
      <c r="F118" s="28" t="str">
        <f t="shared" si="9"/>
        <v>08800650District Design and Led 17-20</v>
      </c>
      <c r="G118" s="28" t="s">
        <v>6233</v>
      </c>
      <c r="H118" s="28" t="str">
        <f t="shared" si="6"/>
        <v>08800650District Design and Led</v>
      </c>
      <c r="I118" s="29">
        <v>2</v>
      </c>
      <c r="J118" s="28" t="str">
        <f t="shared" si="7"/>
        <v>08800650District Design and Led2</v>
      </c>
      <c r="K118" s="30">
        <v>13946</v>
      </c>
      <c r="L118" s="30">
        <v>9946</v>
      </c>
      <c r="M118" s="30"/>
      <c r="N118" s="30">
        <v>0</v>
      </c>
      <c r="O118" s="30">
        <v>0</v>
      </c>
      <c r="P118" s="30">
        <v>0</v>
      </c>
      <c r="Q118" s="30">
        <v>0</v>
      </c>
      <c r="R118" s="30">
        <v>0</v>
      </c>
      <c r="S118" s="30">
        <v>0</v>
      </c>
      <c r="T118" s="30">
        <v>0</v>
      </c>
      <c r="U118" s="30"/>
      <c r="V118" s="30"/>
      <c r="W118" s="30"/>
      <c r="X118" s="30"/>
      <c r="Y118" t="s">
        <v>6499</v>
      </c>
    </row>
    <row r="119" spans="1:25" x14ac:dyDescent="0.3">
      <c r="A119" s="2" t="s">
        <v>667</v>
      </c>
      <c r="B119" s="2" t="s">
        <v>3090</v>
      </c>
      <c r="C119" s="2" t="s">
        <v>668</v>
      </c>
      <c r="D119" s="2" t="s">
        <v>3091</v>
      </c>
      <c r="E119" s="28" t="s">
        <v>6463</v>
      </c>
      <c r="F119" s="28" t="str">
        <f t="shared" si="9"/>
        <v>08800650Diagnostic Review 18-19</v>
      </c>
      <c r="G119" s="28" t="s">
        <v>6240</v>
      </c>
      <c r="H119" s="28" t="str">
        <f t="shared" si="6"/>
        <v>08800650Diagnostic Review</v>
      </c>
      <c r="I119" s="29">
        <v>3</v>
      </c>
      <c r="J119" s="28" t="str">
        <f t="shared" si="7"/>
        <v>08800650Diagnostic Review3</v>
      </c>
      <c r="K119" s="30"/>
      <c r="L119" s="30">
        <v>18296</v>
      </c>
      <c r="M119" s="30"/>
      <c r="N119" s="30">
        <v>0</v>
      </c>
      <c r="O119" s="30">
        <v>0</v>
      </c>
      <c r="P119" s="30">
        <v>0</v>
      </c>
      <c r="Q119" s="30">
        <v>0</v>
      </c>
      <c r="R119" s="30">
        <v>0</v>
      </c>
      <c r="S119" s="30">
        <v>0</v>
      </c>
      <c r="T119" s="30">
        <v>0</v>
      </c>
      <c r="U119" s="30"/>
      <c r="V119" s="30"/>
      <c r="W119" s="30"/>
      <c r="X119" s="30"/>
      <c r="Y119" t="s">
        <v>6499</v>
      </c>
    </row>
    <row r="120" spans="1:25" x14ac:dyDescent="0.3">
      <c r="A120" s="2" t="s">
        <v>667</v>
      </c>
      <c r="B120" s="2" t="s">
        <v>3090</v>
      </c>
      <c r="C120" s="2" t="s">
        <v>668</v>
      </c>
      <c r="D120" s="2" t="s">
        <v>3091</v>
      </c>
      <c r="E120" s="28" t="s">
        <v>6477</v>
      </c>
      <c r="F120" s="28" t="str">
        <f t="shared" si="9"/>
        <v>08800650District Design and Led 18-21</v>
      </c>
      <c r="G120" s="28" t="s">
        <v>6233</v>
      </c>
      <c r="H120" s="28" t="str">
        <f t="shared" si="6"/>
        <v>08800650District Design and Led</v>
      </c>
      <c r="I120" s="29">
        <v>3</v>
      </c>
      <c r="J120" s="28" t="str">
        <f t="shared" si="7"/>
        <v>08800650District Design and Led3</v>
      </c>
      <c r="K120" s="30"/>
      <c r="L120" s="30">
        <v>14191</v>
      </c>
      <c r="M120" s="30"/>
      <c r="N120" s="30">
        <v>0</v>
      </c>
      <c r="O120" s="30">
        <v>0</v>
      </c>
      <c r="P120" s="30">
        <v>0</v>
      </c>
      <c r="Q120" s="30">
        <v>0</v>
      </c>
      <c r="R120" s="30">
        <v>0</v>
      </c>
      <c r="S120" s="30">
        <v>0</v>
      </c>
      <c r="T120" s="30">
        <v>0</v>
      </c>
      <c r="U120" s="30"/>
      <c r="V120" s="30"/>
      <c r="W120" s="30"/>
      <c r="X120" s="30"/>
      <c r="Y120" t="s">
        <v>6499</v>
      </c>
    </row>
    <row r="121" spans="1:25" x14ac:dyDescent="0.3">
      <c r="A121" s="2" t="s">
        <v>667</v>
      </c>
      <c r="B121" s="2" t="s">
        <v>3090</v>
      </c>
      <c r="C121" s="2" t="s">
        <v>668</v>
      </c>
      <c r="D121" s="2" t="s">
        <v>3091</v>
      </c>
      <c r="E121" s="28" t="s">
        <v>6477</v>
      </c>
      <c r="F121" s="28" t="str">
        <f t="shared" si="9"/>
        <v>08800650District Design and Led 18-21</v>
      </c>
      <c r="G121" s="28" t="s">
        <v>6233</v>
      </c>
      <c r="H121" s="28" t="str">
        <f t="shared" si="6"/>
        <v>08800650District Design and Led</v>
      </c>
      <c r="I121" s="29">
        <v>3</v>
      </c>
      <c r="J121" s="28" t="str">
        <f t="shared" si="7"/>
        <v>08800650District Design and Led3</v>
      </c>
      <c r="K121" s="30"/>
      <c r="L121" s="30">
        <v>7837</v>
      </c>
      <c r="M121" s="30"/>
      <c r="N121" s="30">
        <v>0</v>
      </c>
      <c r="O121" s="30">
        <v>0</v>
      </c>
      <c r="P121" s="30">
        <v>0</v>
      </c>
      <c r="Q121" s="30">
        <v>0</v>
      </c>
      <c r="R121" s="30">
        <v>0</v>
      </c>
      <c r="S121" s="30">
        <v>0</v>
      </c>
      <c r="T121" s="30">
        <v>0</v>
      </c>
      <c r="U121" s="30"/>
      <c r="V121" s="30"/>
      <c r="W121" s="30"/>
      <c r="X121" s="30"/>
      <c r="Y121" t="s">
        <v>6499</v>
      </c>
    </row>
    <row r="122" spans="1:25" x14ac:dyDescent="0.3">
      <c r="A122" s="2" t="s">
        <v>667</v>
      </c>
      <c r="B122" s="2" t="s">
        <v>1614</v>
      </c>
      <c r="C122" s="2" t="s">
        <v>668</v>
      </c>
      <c r="D122" s="2" t="s">
        <v>1615</v>
      </c>
      <c r="E122" s="28" t="s">
        <v>6477</v>
      </c>
      <c r="F122" s="28" t="str">
        <f t="shared" si="9"/>
        <v>08801076District Design and Led 18-21</v>
      </c>
      <c r="G122" s="28" t="s">
        <v>6233</v>
      </c>
      <c r="H122" s="28" t="str">
        <f t="shared" si="6"/>
        <v>08801076District Design and Led</v>
      </c>
      <c r="I122" s="29">
        <v>3</v>
      </c>
      <c r="J122" s="28" t="str">
        <f t="shared" si="7"/>
        <v>08801076District Design and Led3</v>
      </c>
      <c r="K122" s="30"/>
      <c r="L122" s="30">
        <v>7837</v>
      </c>
      <c r="M122" s="30"/>
      <c r="N122" s="30">
        <v>0</v>
      </c>
      <c r="O122" s="30">
        <v>0</v>
      </c>
      <c r="P122" s="30">
        <v>0</v>
      </c>
      <c r="Q122" s="30">
        <v>0</v>
      </c>
      <c r="R122" s="30">
        <v>0</v>
      </c>
      <c r="S122" s="30">
        <v>0</v>
      </c>
      <c r="T122" s="30">
        <v>0</v>
      </c>
      <c r="U122" s="30"/>
      <c r="V122" s="30"/>
      <c r="W122" s="30"/>
      <c r="X122" s="30"/>
      <c r="Y122" t="s">
        <v>6499</v>
      </c>
    </row>
    <row r="123" spans="1:25" x14ac:dyDescent="0.3">
      <c r="A123" s="28" t="s">
        <v>667</v>
      </c>
      <c r="B123" s="2" t="s">
        <v>677</v>
      </c>
      <c r="C123" s="2" t="s">
        <v>668</v>
      </c>
      <c r="D123" s="2" t="s">
        <v>678</v>
      </c>
      <c r="E123" s="28" t="s">
        <v>6456</v>
      </c>
      <c r="F123" s="28" t="str">
        <f t="shared" si="9"/>
        <v>08801295Connect For Success 18-21</v>
      </c>
      <c r="G123" s="28" t="s">
        <v>6234</v>
      </c>
      <c r="H123" s="28" t="str">
        <f t="shared" si="6"/>
        <v>08801295Connect For Success</v>
      </c>
      <c r="I123" s="29">
        <v>2</v>
      </c>
      <c r="J123" s="28" t="str">
        <f t="shared" si="7"/>
        <v>08801295Connect For Success2</v>
      </c>
      <c r="K123" s="30"/>
      <c r="L123" s="30">
        <v>19878</v>
      </c>
      <c r="M123" s="30">
        <v>79993</v>
      </c>
      <c r="N123" s="30">
        <v>0</v>
      </c>
      <c r="O123" s="30">
        <v>87232</v>
      </c>
      <c r="P123" s="30">
        <v>0</v>
      </c>
      <c r="Q123" s="30">
        <v>0</v>
      </c>
      <c r="R123" s="30">
        <v>0</v>
      </c>
      <c r="S123" s="30">
        <v>0</v>
      </c>
      <c r="T123" s="30">
        <v>0</v>
      </c>
      <c r="U123" s="30"/>
      <c r="V123" s="30"/>
      <c r="W123" s="30"/>
      <c r="X123" s="30"/>
      <c r="Y123" t="s">
        <v>6499</v>
      </c>
    </row>
    <row r="124" spans="1:25" x14ac:dyDescent="0.3">
      <c r="A124" s="2" t="s">
        <v>667</v>
      </c>
      <c r="B124" s="2" t="s">
        <v>677</v>
      </c>
      <c r="C124" s="2" t="s">
        <v>668</v>
      </c>
      <c r="D124" s="2" t="s">
        <v>678</v>
      </c>
      <c r="E124" s="28" t="s">
        <v>6473</v>
      </c>
      <c r="F124" s="28" t="str">
        <f t="shared" si="9"/>
        <v>08801295District Design and Led 17-20</v>
      </c>
      <c r="G124" s="28" t="s">
        <v>6233</v>
      </c>
      <c r="H124" s="28" t="str">
        <f t="shared" si="6"/>
        <v>08801295District Design and Led</v>
      </c>
      <c r="I124" s="29">
        <v>2</v>
      </c>
      <c r="J124" s="28" t="str">
        <f t="shared" si="7"/>
        <v>08801295District Design and Led2</v>
      </c>
      <c r="K124" s="32">
        <v>18112</v>
      </c>
      <c r="L124" s="32">
        <v>14908</v>
      </c>
      <c r="M124" s="32"/>
      <c r="N124" s="32">
        <v>0</v>
      </c>
      <c r="O124" s="32">
        <v>0</v>
      </c>
      <c r="P124" s="32">
        <v>0</v>
      </c>
      <c r="Q124" s="32">
        <v>0</v>
      </c>
      <c r="R124" s="32">
        <v>0</v>
      </c>
      <c r="S124" s="32">
        <v>0</v>
      </c>
      <c r="T124" s="32">
        <v>0</v>
      </c>
      <c r="U124" s="32"/>
      <c r="V124" s="32"/>
      <c r="W124" s="32"/>
      <c r="X124" s="32"/>
      <c r="Y124" t="s">
        <v>6499</v>
      </c>
    </row>
    <row r="125" spans="1:25" x14ac:dyDescent="0.3">
      <c r="A125" s="2" t="s">
        <v>667</v>
      </c>
      <c r="B125" s="2" t="s">
        <v>3839</v>
      </c>
      <c r="C125" s="2" t="s">
        <v>668</v>
      </c>
      <c r="D125" s="2" t="s">
        <v>3840</v>
      </c>
      <c r="E125" s="28" t="s">
        <v>6473</v>
      </c>
      <c r="F125" s="28" t="str">
        <f t="shared" si="9"/>
        <v>08801489District Design and Led 17-20</v>
      </c>
      <c r="G125" s="28" t="s">
        <v>6233</v>
      </c>
      <c r="H125" s="28" t="str">
        <f t="shared" si="6"/>
        <v>08801489District Design and Led</v>
      </c>
      <c r="I125" s="29">
        <v>2</v>
      </c>
      <c r="J125" s="28" t="str">
        <f t="shared" si="7"/>
        <v>08801489District Design and Led2</v>
      </c>
      <c r="K125" s="30">
        <v>8046</v>
      </c>
      <c r="L125" s="30">
        <v>130979</v>
      </c>
      <c r="M125" s="30"/>
      <c r="N125" s="30">
        <v>0</v>
      </c>
      <c r="O125" s="30">
        <v>0</v>
      </c>
      <c r="P125" s="30">
        <v>0</v>
      </c>
      <c r="Q125" s="30">
        <v>0</v>
      </c>
      <c r="R125" s="30">
        <v>0</v>
      </c>
      <c r="S125" s="30">
        <v>0</v>
      </c>
      <c r="T125" s="30">
        <v>0</v>
      </c>
      <c r="U125" s="30"/>
      <c r="V125" s="30"/>
      <c r="W125" s="30"/>
      <c r="X125" s="30"/>
      <c r="Y125" t="s">
        <v>6499</v>
      </c>
    </row>
    <row r="126" spans="1:25" x14ac:dyDescent="0.3">
      <c r="A126" s="2" t="s">
        <v>667</v>
      </c>
      <c r="B126" s="2" t="s">
        <v>3839</v>
      </c>
      <c r="C126" s="2" t="s">
        <v>668</v>
      </c>
      <c r="D126" s="2" t="s">
        <v>3840</v>
      </c>
      <c r="E126" s="28" t="s">
        <v>6477</v>
      </c>
      <c r="F126" s="28" t="str">
        <f t="shared" si="9"/>
        <v>08801489District Design and Led 18-21</v>
      </c>
      <c r="G126" s="28" t="s">
        <v>6233</v>
      </c>
      <c r="H126" s="28" t="str">
        <f t="shared" si="6"/>
        <v>08801489District Design and Led</v>
      </c>
      <c r="I126" s="29">
        <v>3</v>
      </c>
      <c r="J126" s="28" t="str">
        <f t="shared" si="7"/>
        <v>08801489District Design and Led3</v>
      </c>
      <c r="K126" s="30"/>
      <c r="L126" s="30">
        <v>7837</v>
      </c>
      <c r="M126" s="30"/>
      <c r="N126" s="30">
        <v>0</v>
      </c>
      <c r="O126" s="30">
        <v>0</v>
      </c>
      <c r="P126" s="30">
        <v>81780</v>
      </c>
      <c r="Q126" s="30">
        <v>0</v>
      </c>
      <c r="R126" s="30">
        <v>0</v>
      </c>
      <c r="S126" s="30">
        <v>0</v>
      </c>
      <c r="T126" s="30">
        <v>0</v>
      </c>
      <c r="U126" s="30"/>
      <c r="V126" s="30"/>
      <c r="W126" s="30"/>
      <c r="X126" s="30"/>
      <c r="Y126" t="s">
        <v>6499</v>
      </c>
    </row>
    <row r="127" spans="1:25" x14ac:dyDescent="0.3">
      <c r="A127" s="28" t="s">
        <v>667</v>
      </c>
      <c r="B127" s="28" t="s">
        <v>3839</v>
      </c>
      <c r="C127" s="2" t="s">
        <v>668</v>
      </c>
      <c r="D127" s="2" t="s">
        <v>3840</v>
      </c>
      <c r="E127" s="28" t="s">
        <v>6457</v>
      </c>
      <c r="F127" s="28" t="str">
        <f t="shared" si="9"/>
        <v>08801489OfferedServices</v>
      </c>
      <c r="G127" s="2" t="s">
        <v>6241</v>
      </c>
      <c r="H127" s="28" t="str">
        <f t="shared" si="6"/>
        <v>08801489School Turnaround Leadership Development Program</v>
      </c>
      <c r="I127" s="29">
        <v>5</v>
      </c>
      <c r="J127" s="28" t="str">
        <f t="shared" si="7"/>
        <v>08801489School Turnaround Leadership Development Program5</v>
      </c>
      <c r="K127" s="30">
        <v>0</v>
      </c>
      <c r="L127" s="30">
        <v>0</v>
      </c>
      <c r="M127" s="30">
        <v>0</v>
      </c>
      <c r="N127" s="30">
        <v>0</v>
      </c>
      <c r="O127" s="30">
        <v>0</v>
      </c>
      <c r="P127" s="30">
        <v>0</v>
      </c>
      <c r="Q127" s="30">
        <v>0</v>
      </c>
      <c r="R127" s="30">
        <v>0</v>
      </c>
      <c r="S127" s="30">
        <v>0</v>
      </c>
      <c r="T127" s="30">
        <v>0</v>
      </c>
      <c r="U127" s="30">
        <v>0</v>
      </c>
      <c r="V127" s="30">
        <v>16350</v>
      </c>
      <c r="W127" s="30">
        <v>16350</v>
      </c>
      <c r="X127" s="30">
        <v>0</v>
      </c>
      <c r="Y127" t="s">
        <v>6500</v>
      </c>
    </row>
    <row r="128" spans="1:25" x14ac:dyDescent="0.3">
      <c r="A128" s="2" t="s">
        <v>667</v>
      </c>
      <c r="B128" s="2" t="s">
        <v>1606</v>
      </c>
      <c r="C128" s="2" t="s">
        <v>668</v>
      </c>
      <c r="D128" s="2" t="s">
        <v>1607</v>
      </c>
      <c r="E128" s="2" t="s">
        <v>6484</v>
      </c>
      <c r="F128" s="28" t="str">
        <f t="shared" si="9"/>
        <v>08801748School Turnaround Leaders Program</v>
      </c>
      <c r="G128" s="2" t="s">
        <v>6241</v>
      </c>
      <c r="H128" s="28" t="str">
        <f t="shared" si="6"/>
        <v>08801748School Turnaround Leadership Development Program</v>
      </c>
      <c r="I128" s="29">
        <v>3</v>
      </c>
      <c r="J128" s="28" t="str">
        <f t="shared" si="7"/>
        <v>08801748School Turnaround Leadership Development Program3</v>
      </c>
      <c r="K128" s="32"/>
      <c r="L128" s="32"/>
      <c r="M128" s="32"/>
      <c r="N128" s="30">
        <v>56853</v>
      </c>
      <c r="O128" s="30"/>
      <c r="P128" s="30"/>
      <c r="Q128" s="30">
        <v>0</v>
      </c>
      <c r="R128" s="30">
        <v>0</v>
      </c>
      <c r="S128" s="30">
        <v>0</v>
      </c>
      <c r="T128" s="30">
        <v>0</v>
      </c>
      <c r="U128" s="30"/>
      <c r="V128" s="30"/>
      <c r="W128" s="30"/>
      <c r="X128" s="30"/>
      <c r="Y128" t="s">
        <v>6499</v>
      </c>
    </row>
    <row r="129" spans="1:25" x14ac:dyDescent="0.3">
      <c r="A129" s="2" t="s">
        <v>667</v>
      </c>
      <c r="B129" s="2" t="s">
        <v>1606</v>
      </c>
      <c r="C129" s="2" t="s">
        <v>668</v>
      </c>
      <c r="D129" s="2" t="s">
        <v>1607</v>
      </c>
      <c r="E129" s="2" t="s">
        <v>6457</v>
      </c>
      <c r="F129" s="28" t="s">
        <v>6483</v>
      </c>
      <c r="G129" s="2" t="s">
        <v>6241</v>
      </c>
      <c r="H129" s="28" t="str">
        <f t="shared" si="6"/>
        <v>08801748School Turnaround Leadership Development Program</v>
      </c>
      <c r="I129" s="29">
        <v>4</v>
      </c>
      <c r="J129" s="28" t="str">
        <f t="shared" si="7"/>
        <v>08801748School Turnaround Leadership Development Program4</v>
      </c>
      <c r="K129" s="32"/>
      <c r="L129" s="32"/>
      <c r="M129" s="32"/>
      <c r="N129" s="30"/>
      <c r="O129" s="30"/>
      <c r="P129" s="30"/>
      <c r="Q129" s="30">
        <v>11000</v>
      </c>
      <c r="R129" s="30">
        <v>0</v>
      </c>
      <c r="S129" s="30">
        <v>0</v>
      </c>
      <c r="T129" s="30">
        <v>0</v>
      </c>
      <c r="U129" s="30"/>
      <c r="V129" s="30"/>
      <c r="W129" s="30"/>
      <c r="X129" s="30"/>
      <c r="Y129" t="s">
        <v>6499</v>
      </c>
    </row>
    <row r="130" spans="1:25" x14ac:dyDescent="0.3">
      <c r="A130" s="28" t="s">
        <v>667</v>
      </c>
      <c r="B130" s="28" t="s">
        <v>1606</v>
      </c>
      <c r="C130" s="2" t="s">
        <v>668</v>
      </c>
      <c r="D130" s="2" t="s">
        <v>1607</v>
      </c>
      <c r="E130" s="28" t="s">
        <v>6457</v>
      </c>
      <c r="F130" s="28" t="str">
        <f t="shared" ref="F130:F144" si="10">A130&amp;B130&amp;E130</f>
        <v>08801748OfferedServices</v>
      </c>
      <c r="G130" s="2" t="s">
        <v>6241</v>
      </c>
      <c r="H130" s="28" t="str">
        <f t="shared" ref="H130:H193" si="11">A130&amp;B130&amp;G130</f>
        <v>08801748School Turnaround Leadership Development Program</v>
      </c>
      <c r="I130" s="29">
        <v>5</v>
      </c>
      <c r="J130" s="28" t="str">
        <f t="shared" ref="J130:J193" si="12">H130&amp;I130</f>
        <v>08801748School Turnaround Leadership Development Program5</v>
      </c>
      <c r="K130" s="30">
        <v>0</v>
      </c>
      <c r="L130" s="30">
        <v>0</v>
      </c>
      <c r="M130" s="30">
        <v>0</v>
      </c>
      <c r="N130" s="30">
        <v>0</v>
      </c>
      <c r="O130" s="30">
        <v>0</v>
      </c>
      <c r="P130" s="30">
        <v>0</v>
      </c>
      <c r="Q130" s="30">
        <v>0</v>
      </c>
      <c r="R130" s="30">
        <v>0</v>
      </c>
      <c r="S130" s="30">
        <v>0</v>
      </c>
      <c r="T130" s="30">
        <v>0</v>
      </c>
      <c r="U130" s="30">
        <v>28340</v>
      </c>
      <c r="V130" s="30">
        <v>0</v>
      </c>
      <c r="W130" s="30">
        <v>0</v>
      </c>
      <c r="X130" s="30">
        <v>0</v>
      </c>
      <c r="Y130" t="s">
        <v>6500</v>
      </c>
    </row>
    <row r="131" spans="1:25" x14ac:dyDescent="0.3">
      <c r="A131" s="28" t="s">
        <v>667</v>
      </c>
      <c r="B131" s="28" t="s">
        <v>695</v>
      </c>
      <c r="C131" s="2" t="s">
        <v>668</v>
      </c>
      <c r="D131" s="2" t="s">
        <v>696</v>
      </c>
      <c r="E131" s="28" t="s">
        <v>6457</v>
      </c>
      <c r="F131" s="28" t="str">
        <f t="shared" si="10"/>
        <v>08801785OfferedServices</v>
      </c>
      <c r="G131" s="2" t="s">
        <v>6241</v>
      </c>
      <c r="H131" s="28" t="str">
        <f t="shared" si="11"/>
        <v>08801785School Turnaround Leadership Development Program</v>
      </c>
      <c r="I131" s="29">
        <v>5</v>
      </c>
      <c r="J131" s="28" t="str">
        <f t="shared" si="12"/>
        <v>08801785School Turnaround Leadership Development Program5</v>
      </c>
      <c r="K131" s="30">
        <v>0</v>
      </c>
      <c r="L131" s="30">
        <v>0</v>
      </c>
      <c r="M131" s="30">
        <v>0</v>
      </c>
      <c r="N131" s="30">
        <v>0</v>
      </c>
      <c r="O131" s="30">
        <v>0</v>
      </c>
      <c r="P131" s="30">
        <v>0</v>
      </c>
      <c r="Q131" s="30">
        <v>0</v>
      </c>
      <c r="R131" s="30">
        <v>0</v>
      </c>
      <c r="S131" s="30">
        <v>0</v>
      </c>
      <c r="T131" s="30">
        <v>0</v>
      </c>
      <c r="U131" s="30">
        <v>7630</v>
      </c>
      <c r="V131" s="30">
        <v>0</v>
      </c>
      <c r="W131" s="30">
        <v>0</v>
      </c>
      <c r="X131" s="30">
        <v>0</v>
      </c>
      <c r="Y131" t="s">
        <v>6500</v>
      </c>
    </row>
    <row r="132" spans="1:25" x14ac:dyDescent="0.3">
      <c r="A132" s="2" t="s">
        <v>667</v>
      </c>
      <c r="B132" s="2" t="s">
        <v>4596</v>
      </c>
      <c r="C132" s="2" t="s">
        <v>668</v>
      </c>
      <c r="D132" s="2" t="s">
        <v>98</v>
      </c>
      <c r="E132" s="28" t="s">
        <v>6460</v>
      </c>
      <c r="F132" s="28" t="str">
        <f t="shared" si="10"/>
        <v>08801816Connect For Success 16-19</v>
      </c>
      <c r="G132" s="28" t="s">
        <v>6234</v>
      </c>
      <c r="H132" s="28" t="str">
        <f t="shared" si="11"/>
        <v>08801816Connect For Success</v>
      </c>
      <c r="I132" s="29">
        <v>1</v>
      </c>
      <c r="J132" s="28" t="str">
        <f t="shared" si="12"/>
        <v>08801816Connect For Success1</v>
      </c>
      <c r="K132" s="30">
        <v>0</v>
      </c>
      <c r="L132" s="30">
        <v>116511</v>
      </c>
      <c r="M132" s="30"/>
      <c r="N132" s="30">
        <v>0</v>
      </c>
      <c r="O132" s="30">
        <v>0</v>
      </c>
      <c r="P132" s="30">
        <v>0</v>
      </c>
      <c r="Q132" s="30">
        <v>0</v>
      </c>
      <c r="R132" s="30">
        <v>0</v>
      </c>
      <c r="S132" s="30">
        <v>0</v>
      </c>
      <c r="T132" s="30">
        <v>0</v>
      </c>
      <c r="U132" s="30"/>
      <c r="V132" s="30"/>
      <c r="W132" s="30"/>
      <c r="X132" s="30"/>
      <c r="Y132" t="s">
        <v>6499</v>
      </c>
    </row>
    <row r="133" spans="1:25" x14ac:dyDescent="0.3">
      <c r="A133" s="2" t="s">
        <v>667</v>
      </c>
      <c r="B133" s="2" t="s">
        <v>4596</v>
      </c>
      <c r="C133" s="2" t="s">
        <v>668</v>
      </c>
      <c r="D133" s="2" t="s">
        <v>98</v>
      </c>
      <c r="E133" s="28" t="s">
        <v>6473</v>
      </c>
      <c r="F133" s="28" t="str">
        <f t="shared" si="10"/>
        <v>08801816District Design and Led 17-20</v>
      </c>
      <c r="G133" s="28" t="s">
        <v>6233</v>
      </c>
      <c r="H133" s="28" t="str">
        <f t="shared" si="11"/>
        <v>08801816District Design and Led</v>
      </c>
      <c r="I133" s="29">
        <v>2</v>
      </c>
      <c r="J133" s="28" t="str">
        <f t="shared" si="12"/>
        <v>08801816District Design and Led2</v>
      </c>
      <c r="K133" s="30">
        <v>18112</v>
      </c>
      <c r="L133" s="30">
        <v>14908</v>
      </c>
      <c r="M133" s="30"/>
      <c r="N133" s="30">
        <v>0</v>
      </c>
      <c r="O133" s="30">
        <v>0</v>
      </c>
      <c r="P133" s="30">
        <v>0</v>
      </c>
      <c r="Q133" s="30">
        <v>0</v>
      </c>
      <c r="R133" s="30">
        <v>0</v>
      </c>
      <c r="S133" s="30">
        <v>0</v>
      </c>
      <c r="T133" s="30">
        <v>0</v>
      </c>
      <c r="U133" s="30"/>
      <c r="V133" s="30"/>
      <c r="W133" s="30"/>
      <c r="X133" s="30"/>
      <c r="Y133" t="s">
        <v>6499</v>
      </c>
    </row>
    <row r="134" spans="1:25" x14ac:dyDescent="0.3">
      <c r="A134" s="2" t="s">
        <v>667</v>
      </c>
      <c r="B134" s="2" t="s">
        <v>5270</v>
      </c>
      <c r="C134" s="2" t="s">
        <v>668</v>
      </c>
      <c r="D134" s="2" t="s">
        <v>5271</v>
      </c>
      <c r="E134" s="28" t="s">
        <v>6473</v>
      </c>
      <c r="F134" s="28" t="str">
        <f t="shared" si="10"/>
        <v>08802129District Design and Led 17-20</v>
      </c>
      <c r="G134" s="28" t="s">
        <v>6233</v>
      </c>
      <c r="H134" s="28" t="str">
        <f t="shared" si="11"/>
        <v>08802129District Design and Led</v>
      </c>
      <c r="I134" s="29">
        <v>2</v>
      </c>
      <c r="J134" s="28" t="str">
        <f t="shared" si="12"/>
        <v>08802129District Design and Led2</v>
      </c>
      <c r="K134" s="30">
        <v>8046</v>
      </c>
      <c r="L134" s="30">
        <v>7631</v>
      </c>
      <c r="M134" s="30"/>
      <c r="N134" s="30">
        <v>0</v>
      </c>
      <c r="O134" s="30">
        <v>0</v>
      </c>
      <c r="P134" s="30">
        <v>0</v>
      </c>
      <c r="Q134" s="30">
        <v>0</v>
      </c>
      <c r="R134" s="30">
        <v>0</v>
      </c>
      <c r="S134" s="30">
        <v>0</v>
      </c>
      <c r="T134" s="30">
        <v>0</v>
      </c>
      <c r="U134" s="30"/>
      <c r="V134" s="30"/>
      <c r="W134" s="30"/>
      <c r="X134" s="30"/>
      <c r="Y134" t="s">
        <v>6499</v>
      </c>
    </row>
    <row r="135" spans="1:25" x14ac:dyDescent="0.3">
      <c r="A135" s="2" t="s">
        <v>667</v>
      </c>
      <c r="B135" s="2" t="s">
        <v>5270</v>
      </c>
      <c r="C135" s="2" t="s">
        <v>668</v>
      </c>
      <c r="D135" s="2" t="s">
        <v>5271</v>
      </c>
      <c r="E135" s="2" t="s">
        <v>6484</v>
      </c>
      <c r="F135" s="28" t="str">
        <f t="shared" si="10"/>
        <v>08802129School Turnaround Leaders Program</v>
      </c>
      <c r="G135" s="2" t="s">
        <v>6241</v>
      </c>
      <c r="H135" s="28" t="str">
        <f t="shared" si="11"/>
        <v>08802129School Turnaround Leadership Development Program</v>
      </c>
      <c r="I135" s="29">
        <v>2</v>
      </c>
      <c r="J135" s="28" t="str">
        <f t="shared" si="12"/>
        <v>08802129School Turnaround Leadership Development Program2</v>
      </c>
      <c r="K135" s="32"/>
      <c r="L135" s="32">
        <v>25053</v>
      </c>
      <c r="M135" s="32"/>
      <c r="N135" s="30">
        <v>0</v>
      </c>
      <c r="O135" s="30" t="s">
        <v>6462</v>
      </c>
      <c r="P135" s="30" t="s">
        <v>6462</v>
      </c>
      <c r="Q135" s="30">
        <v>0</v>
      </c>
      <c r="R135" s="30">
        <v>0</v>
      </c>
      <c r="S135" s="30">
        <v>0</v>
      </c>
      <c r="T135" s="30">
        <v>0</v>
      </c>
      <c r="U135" s="30"/>
      <c r="V135" s="30"/>
      <c r="W135" s="30"/>
      <c r="X135" s="30"/>
      <c r="Y135" t="s">
        <v>6499</v>
      </c>
    </row>
    <row r="136" spans="1:25" x14ac:dyDescent="0.3">
      <c r="A136" s="2" t="s">
        <v>667</v>
      </c>
      <c r="B136" s="2" t="s">
        <v>5270</v>
      </c>
      <c r="C136" s="2" t="s">
        <v>668</v>
      </c>
      <c r="D136" s="2" t="s">
        <v>5271</v>
      </c>
      <c r="E136" s="28" t="s">
        <v>6477</v>
      </c>
      <c r="F136" s="28" t="str">
        <f t="shared" si="10"/>
        <v>08802129District Design and Led 18-21</v>
      </c>
      <c r="G136" s="28" t="s">
        <v>6233</v>
      </c>
      <c r="H136" s="28" t="str">
        <f t="shared" si="11"/>
        <v>08802129District Design and Led</v>
      </c>
      <c r="I136" s="29">
        <v>3</v>
      </c>
      <c r="J136" s="28" t="str">
        <f t="shared" si="12"/>
        <v>08802129District Design and Led3</v>
      </c>
      <c r="K136" s="30"/>
      <c r="L136" s="30">
        <v>7837</v>
      </c>
      <c r="M136" s="30"/>
      <c r="N136" s="30">
        <v>0</v>
      </c>
      <c r="O136" s="30">
        <v>0</v>
      </c>
      <c r="P136" s="30">
        <v>0</v>
      </c>
      <c r="Q136" s="30">
        <v>0</v>
      </c>
      <c r="R136" s="30">
        <v>0</v>
      </c>
      <c r="S136" s="30">
        <v>0</v>
      </c>
      <c r="T136" s="30">
        <v>0</v>
      </c>
      <c r="U136" s="30"/>
      <c r="V136" s="30"/>
      <c r="W136" s="30"/>
      <c r="X136" s="30"/>
      <c r="Y136" t="s">
        <v>6499</v>
      </c>
    </row>
    <row r="137" spans="1:25" x14ac:dyDescent="0.3">
      <c r="A137" s="28" t="s">
        <v>667</v>
      </c>
      <c r="B137" s="28" t="s">
        <v>5270</v>
      </c>
      <c r="C137" s="2" t="s">
        <v>668</v>
      </c>
      <c r="D137" s="2" t="s">
        <v>5271</v>
      </c>
      <c r="E137" s="28" t="s">
        <v>6457</v>
      </c>
      <c r="F137" s="28" t="str">
        <f t="shared" si="10"/>
        <v>08802129OfferedServices</v>
      </c>
      <c r="G137" s="28" t="s">
        <v>6458</v>
      </c>
      <c r="H137" s="28" t="str">
        <f t="shared" si="11"/>
        <v>08802129Connect for Success</v>
      </c>
      <c r="I137" s="29">
        <v>5</v>
      </c>
      <c r="J137" s="28" t="str">
        <f t="shared" si="12"/>
        <v>08802129Connect for Success5</v>
      </c>
      <c r="K137" s="30">
        <v>0</v>
      </c>
      <c r="L137" s="30">
        <v>0</v>
      </c>
      <c r="M137" s="30">
        <v>0</v>
      </c>
      <c r="N137" s="30">
        <v>0</v>
      </c>
      <c r="O137" s="30">
        <v>0</v>
      </c>
      <c r="P137" s="30">
        <v>0</v>
      </c>
      <c r="Q137" s="30">
        <v>0</v>
      </c>
      <c r="R137" s="30">
        <v>0</v>
      </c>
      <c r="S137" s="30">
        <v>0</v>
      </c>
      <c r="T137" s="30">
        <v>0</v>
      </c>
      <c r="U137" s="30">
        <v>20000</v>
      </c>
      <c r="V137" s="30">
        <v>80000</v>
      </c>
      <c r="W137" s="30">
        <v>80000</v>
      </c>
      <c r="X137" s="30">
        <v>0</v>
      </c>
      <c r="Y137" t="s">
        <v>6500</v>
      </c>
    </row>
    <row r="138" spans="1:25" x14ac:dyDescent="0.3">
      <c r="A138" s="2" t="s">
        <v>667</v>
      </c>
      <c r="B138" s="2" t="s">
        <v>5971</v>
      </c>
      <c r="C138" s="2" t="s">
        <v>668</v>
      </c>
      <c r="D138" s="2" t="s">
        <v>5972</v>
      </c>
      <c r="E138" s="2" t="s">
        <v>6484</v>
      </c>
      <c r="F138" s="28" t="str">
        <f t="shared" si="10"/>
        <v>08802183School Turnaround Leaders Program</v>
      </c>
      <c r="G138" s="2" t="s">
        <v>6241</v>
      </c>
      <c r="H138" s="28" t="str">
        <f t="shared" si="11"/>
        <v>08802183School Turnaround Leadership Development Program</v>
      </c>
      <c r="I138" s="29">
        <v>2</v>
      </c>
      <c r="J138" s="28" t="str">
        <f t="shared" si="12"/>
        <v>08802183School Turnaround Leadership Development Program2</v>
      </c>
      <c r="K138" s="32"/>
      <c r="L138" s="32">
        <v>94153</v>
      </c>
      <c r="M138" s="32"/>
      <c r="N138" s="30">
        <v>0</v>
      </c>
      <c r="O138" s="30" t="s">
        <v>6462</v>
      </c>
      <c r="P138" s="30" t="s">
        <v>6462</v>
      </c>
      <c r="Q138" s="30">
        <v>0</v>
      </c>
      <c r="R138" s="30">
        <v>0</v>
      </c>
      <c r="S138" s="30">
        <v>0</v>
      </c>
      <c r="T138" s="30">
        <v>0</v>
      </c>
      <c r="U138" s="30"/>
      <c r="V138" s="30"/>
      <c r="W138" s="30"/>
      <c r="X138" s="30"/>
      <c r="Y138" t="s">
        <v>6499</v>
      </c>
    </row>
    <row r="139" spans="1:25" x14ac:dyDescent="0.3">
      <c r="A139" s="28" t="s">
        <v>667</v>
      </c>
      <c r="B139" s="28" t="s">
        <v>5971</v>
      </c>
      <c r="C139" s="2" t="s">
        <v>668</v>
      </c>
      <c r="D139" s="2" t="s">
        <v>5972</v>
      </c>
      <c r="E139" s="28" t="s">
        <v>6457</v>
      </c>
      <c r="F139" s="28" t="str">
        <f t="shared" si="10"/>
        <v>08802183OfferedServices</v>
      </c>
      <c r="G139" s="28" t="s">
        <v>6237</v>
      </c>
      <c r="H139" s="28" t="str">
        <f t="shared" si="11"/>
        <v>08802183Turnaround Network</v>
      </c>
      <c r="I139" s="29">
        <v>5</v>
      </c>
      <c r="J139" s="28" t="str">
        <f t="shared" si="12"/>
        <v>08802183Turnaround Network5</v>
      </c>
      <c r="K139" s="30">
        <v>0</v>
      </c>
      <c r="L139" s="30">
        <v>0</v>
      </c>
      <c r="M139" s="30">
        <v>0</v>
      </c>
      <c r="N139" s="30">
        <v>0</v>
      </c>
      <c r="O139" s="30">
        <v>0</v>
      </c>
      <c r="P139" s="30">
        <v>0</v>
      </c>
      <c r="Q139" s="30">
        <v>0</v>
      </c>
      <c r="R139" s="30">
        <v>0</v>
      </c>
      <c r="S139" s="30">
        <v>0</v>
      </c>
      <c r="T139" s="30">
        <v>0</v>
      </c>
      <c r="U139" s="30">
        <v>0</v>
      </c>
      <c r="V139" s="30">
        <v>30000</v>
      </c>
      <c r="W139" s="30">
        <v>75000</v>
      </c>
      <c r="X139" s="30">
        <v>30000</v>
      </c>
      <c r="Y139" t="s">
        <v>6499</v>
      </c>
    </row>
    <row r="140" spans="1:25" x14ac:dyDescent="0.3">
      <c r="A140" s="2" t="s">
        <v>667</v>
      </c>
      <c r="B140" s="2" t="s">
        <v>3835</v>
      </c>
      <c r="C140" s="2" t="s">
        <v>668</v>
      </c>
      <c r="D140" s="2" t="s">
        <v>3836</v>
      </c>
      <c r="E140" s="28" t="s">
        <v>6473</v>
      </c>
      <c r="F140" s="28" t="str">
        <f t="shared" si="10"/>
        <v>08802188District Design and Led 17-20</v>
      </c>
      <c r="G140" s="28" t="s">
        <v>6233</v>
      </c>
      <c r="H140" s="28" t="str">
        <f t="shared" si="11"/>
        <v>08802188District Design and Led</v>
      </c>
      <c r="I140" s="29">
        <v>2</v>
      </c>
      <c r="J140" s="28" t="str">
        <f t="shared" si="12"/>
        <v>08802188District Design and Led2</v>
      </c>
      <c r="K140" s="30">
        <v>8046</v>
      </c>
      <c r="L140" s="30">
        <v>130979</v>
      </c>
      <c r="M140" s="30"/>
      <c r="N140" s="30">
        <v>0</v>
      </c>
      <c r="O140" s="30">
        <v>0</v>
      </c>
      <c r="P140" s="30">
        <v>0</v>
      </c>
      <c r="Q140" s="30">
        <v>0</v>
      </c>
      <c r="R140" s="30">
        <v>0</v>
      </c>
      <c r="S140" s="30">
        <v>0</v>
      </c>
      <c r="T140" s="30">
        <v>0</v>
      </c>
      <c r="U140" s="30"/>
      <c r="V140" s="30"/>
      <c r="W140" s="30"/>
      <c r="X140" s="30"/>
      <c r="Y140" t="s">
        <v>6499</v>
      </c>
    </row>
    <row r="141" spans="1:25" x14ac:dyDescent="0.3">
      <c r="A141" s="2" t="s">
        <v>667</v>
      </c>
      <c r="B141" s="2" t="s">
        <v>3835</v>
      </c>
      <c r="C141" s="2" t="s">
        <v>668</v>
      </c>
      <c r="D141" s="2" t="s">
        <v>3836</v>
      </c>
      <c r="E141" s="28" t="s">
        <v>6477</v>
      </c>
      <c r="F141" s="28" t="str">
        <f t="shared" si="10"/>
        <v>08802188District Design and Led 18-21</v>
      </c>
      <c r="G141" s="28" t="s">
        <v>6233</v>
      </c>
      <c r="H141" s="28" t="str">
        <f t="shared" si="11"/>
        <v>08802188District Design and Led</v>
      </c>
      <c r="I141" s="29">
        <v>3</v>
      </c>
      <c r="J141" s="28" t="str">
        <f t="shared" si="12"/>
        <v>08802188District Design and Led3</v>
      </c>
      <c r="K141" s="30"/>
      <c r="L141" s="30">
        <v>7837</v>
      </c>
      <c r="M141" s="30"/>
      <c r="N141" s="30">
        <v>0</v>
      </c>
      <c r="O141" s="30">
        <v>0</v>
      </c>
      <c r="P141" s="30">
        <v>81780</v>
      </c>
      <c r="Q141" s="30">
        <v>0</v>
      </c>
      <c r="R141" s="30">
        <v>0</v>
      </c>
      <c r="S141" s="30">
        <v>0</v>
      </c>
      <c r="T141" s="30">
        <v>0</v>
      </c>
      <c r="U141" s="30"/>
      <c r="V141" s="30"/>
      <c r="W141" s="30"/>
      <c r="X141" s="30"/>
      <c r="Y141" t="s">
        <v>6499</v>
      </c>
    </row>
    <row r="142" spans="1:25" x14ac:dyDescent="0.3">
      <c r="A142" s="2" t="s">
        <v>667</v>
      </c>
      <c r="B142" s="2" t="s">
        <v>4569</v>
      </c>
      <c r="C142" s="2" t="s">
        <v>668</v>
      </c>
      <c r="D142" s="2" t="s">
        <v>4570</v>
      </c>
      <c r="E142" s="28" t="s">
        <v>6473</v>
      </c>
      <c r="F142" s="28" t="str">
        <f t="shared" si="10"/>
        <v>08802209District Design and Led 17-20</v>
      </c>
      <c r="G142" s="28" t="s">
        <v>6233</v>
      </c>
      <c r="H142" s="28" t="str">
        <f t="shared" si="11"/>
        <v>08802209District Design and Led</v>
      </c>
      <c r="I142" s="29">
        <v>2</v>
      </c>
      <c r="J142" s="28" t="str">
        <f t="shared" si="12"/>
        <v>08802209District Design and Led2</v>
      </c>
      <c r="K142" s="30">
        <v>13946</v>
      </c>
      <c r="L142" s="30">
        <v>9946</v>
      </c>
      <c r="M142" s="30"/>
      <c r="N142" s="30">
        <v>0</v>
      </c>
      <c r="O142" s="30">
        <v>0</v>
      </c>
      <c r="P142" s="30">
        <v>0</v>
      </c>
      <c r="Q142" s="30">
        <v>0</v>
      </c>
      <c r="R142" s="30">
        <v>0</v>
      </c>
      <c r="S142" s="30">
        <v>0</v>
      </c>
      <c r="T142" s="30">
        <v>0</v>
      </c>
      <c r="U142" s="30"/>
      <c r="V142" s="30"/>
      <c r="W142" s="30"/>
      <c r="X142" s="30"/>
      <c r="Y142" t="s">
        <v>6499</v>
      </c>
    </row>
    <row r="143" spans="1:25" x14ac:dyDescent="0.3">
      <c r="A143" s="2" t="s">
        <v>667</v>
      </c>
      <c r="B143" s="2" t="s">
        <v>4569</v>
      </c>
      <c r="C143" s="2" t="s">
        <v>668</v>
      </c>
      <c r="D143" s="2" t="s">
        <v>4570</v>
      </c>
      <c r="E143" s="2" t="s">
        <v>6484</v>
      </c>
      <c r="F143" s="28" t="str">
        <f t="shared" si="10"/>
        <v>08802209School Turnaround Leaders Program</v>
      </c>
      <c r="G143" s="2" t="s">
        <v>6241</v>
      </c>
      <c r="H143" s="28" t="str">
        <f t="shared" si="11"/>
        <v>08802209School Turnaround Leadership Development Program</v>
      </c>
      <c r="I143" s="29">
        <v>2</v>
      </c>
      <c r="J143" s="28" t="str">
        <f t="shared" si="12"/>
        <v>08802209School Turnaround Leadership Development Program2</v>
      </c>
      <c r="K143" s="32"/>
      <c r="L143" s="32">
        <v>94153</v>
      </c>
      <c r="M143" s="32"/>
      <c r="N143" s="30">
        <v>0</v>
      </c>
      <c r="O143" s="30" t="s">
        <v>6462</v>
      </c>
      <c r="P143" s="30" t="s">
        <v>6462</v>
      </c>
      <c r="Q143" s="30">
        <v>0</v>
      </c>
      <c r="R143" s="30">
        <v>0</v>
      </c>
      <c r="S143" s="30">
        <v>0</v>
      </c>
      <c r="T143" s="30">
        <v>0</v>
      </c>
      <c r="U143" s="30"/>
      <c r="V143" s="30"/>
      <c r="W143" s="30"/>
      <c r="X143" s="30"/>
      <c r="Y143" t="s">
        <v>6499</v>
      </c>
    </row>
    <row r="144" spans="1:25" x14ac:dyDescent="0.3">
      <c r="A144" s="2" t="s">
        <v>667</v>
      </c>
      <c r="B144" s="2" t="s">
        <v>4569</v>
      </c>
      <c r="C144" s="2" t="s">
        <v>668</v>
      </c>
      <c r="D144" s="2" t="s">
        <v>4570</v>
      </c>
      <c r="E144" s="28" t="s">
        <v>6477</v>
      </c>
      <c r="F144" s="28" t="str">
        <f t="shared" si="10"/>
        <v>08802209District Design and Led 18-21</v>
      </c>
      <c r="G144" s="28" t="s">
        <v>6233</v>
      </c>
      <c r="H144" s="28" t="str">
        <f t="shared" si="11"/>
        <v>08802209District Design and Led</v>
      </c>
      <c r="I144" s="29">
        <v>3</v>
      </c>
      <c r="J144" s="28" t="str">
        <f t="shared" si="12"/>
        <v>08802209District Design and Led3</v>
      </c>
      <c r="K144" s="30"/>
      <c r="L144" s="30">
        <v>14191</v>
      </c>
      <c r="M144" s="30"/>
      <c r="N144" s="30">
        <v>0</v>
      </c>
      <c r="O144" s="30">
        <v>0</v>
      </c>
      <c r="P144" s="30">
        <v>0</v>
      </c>
      <c r="Q144" s="30">
        <v>0</v>
      </c>
      <c r="R144" s="30">
        <v>0</v>
      </c>
      <c r="S144" s="30">
        <v>0</v>
      </c>
      <c r="T144" s="30">
        <v>0</v>
      </c>
      <c r="U144" s="30"/>
      <c r="V144" s="30"/>
      <c r="W144" s="30"/>
      <c r="X144" s="30"/>
      <c r="Y144" t="s">
        <v>6499</v>
      </c>
    </row>
    <row r="145" spans="1:25" x14ac:dyDescent="0.3">
      <c r="A145" s="2" t="s">
        <v>667</v>
      </c>
      <c r="B145" s="2" t="s">
        <v>4569</v>
      </c>
      <c r="C145" s="2" t="s">
        <v>668</v>
      </c>
      <c r="D145" s="2" t="s">
        <v>4570</v>
      </c>
      <c r="E145" s="28" t="s">
        <v>6468</v>
      </c>
      <c r="F145" s="28" t="s">
        <v>6471</v>
      </c>
      <c r="G145" s="28" t="s">
        <v>6240</v>
      </c>
      <c r="H145" s="28" t="str">
        <f t="shared" si="11"/>
        <v>08802209Diagnostic Review</v>
      </c>
      <c r="I145" s="29">
        <v>4</v>
      </c>
      <c r="J145" s="28" t="str">
        <f t="shared" si="12"/>
        <v>08802209Diagnostic Review4</v>
      </c>
      <c r="K145" s="30"/>
      <c r="L145" s="30"/>
      <c r="M145" s="30"/>
      <c r="N145" s="30"/>
      <c r="O145" s="30"/>
      <c r="P145" s="30"/>
      <c r="Q145" s="30">
        <v>20000</v>
      </c>
      <c r="R145" s="30">
        <v>0</v>
      </c>
      <c r="S145" s="30">
        <v>0</v>
      </c>
      <c r="T145" s="30">
        <v>20000</v>
      </c>
      <c r="U145" s="30"/>
      <c r="V145" s="30"/>
      <c r="W145" s="30"/>
      <c r="X145" s="30"/>
      <c r="Y145" t="s">
        <v>6499</v>
      </c>
    </row>
    <row r="146" spans="1:25" x14ac:dyDescent="0.3">
      <c r="A146" s="2" t="s">
        <v>667</v>
      </c>
      <c r="B146" s="2" t="s">
        <v>4569</v>
      </c>
      <c r="C146" s="2" t="s">
        <v>668</v>
      </c>
      <c r="D146" s="2" t="s">
        <v>4570</v>
      </c>
      <c r="E146" s="2" t="s">
        <v>6457</v>
      </c>
      <c r="F146" s="28" t="s">
        <v>6483</v>
      </c>
      <c r="G146" s="2" t="s">
        <v>6241</v>
      </c>
      <c r="H146" s="28" t="str">
        <f t="shared" si="11"/>
        <v>08802209School Turnaround Leadership Development Program</v>
      </c>
      <c r="I146" s="29">
        <v>4</v>
      </c>
      <c r="J146" s="28" t="str">
        <f t="shared" si="12"/>
        <v>08802209School Turnaround Leadership Development Program4</v>
      </c>
      <c r="K146" s="32"/>
      <c r="L146" s="32"/>
      <c r="M146" s="32"/>
      <c r="N146" s="30"/>
      <c r="O146" s="30"/>
      <c r="P146" s="30"/>
      <c r="Q146" s="30">
        <v>24000</v>
      </c>
      <c r="R146" s="30">
        <v>0</v>
      </c>
      <c r="S146" s="30">
        <v>0</v>
      </c>
      <c r="T146" s="30">
        <v>5680</v>
      </c>
      <c r="U146" s="30"/>
      <c r="V146" s="30"/>
      <c r="W146" s="30"/>
      <c r="X146" s="30"/>
      <c r="Y146" t="s">
        <v>6499</v>
      </c>
    </row>
    <row r="147" spans="1:25" x14ac:dyDescent="0.3">
      <c r="A147" s="2" t="s">
        <v>667</v>
      </c>
      <c r="B147" s="28" t="s">
        <v>3055</v>
      </c>
      <c r="C147" s="2" t="s">
        <v>668</v>
      </c>
      <c r="D147" s="2" t="s">
        <v>3056</v>
      </c>
      <c r="E147" s="28" t="s">
        <v>6478</v>
      </c>
      <c r="F147" s="28" t="str">
        <f>A147&amp;B147&amp;E147</f>
        <v>08802223District Design and Led 19-22</v>
      </c>
      <c r="G147" s="28" t="s">
        <v>6233</v>
      </c>
      <c r="H147" s="28" t="str">
        <f t="shared" si="11"/>
        <v>08802223District Design and Led</v>
      </c>
      <c r="I147" s="29">
        <v>3</v>
      </c>
      <c r="J147" s="28" t="str">
        <f t="shared" si="12"/>
        <v>08802223District Design and Led3</v>
      </c>
      <c r="K147" s="30"/>
      <c r="L147" s="30"/>
      <c r="M147" s="30"/>
      <c r="N147" s="30">
        <v>0</v>
      </c>
      <c r="O147" s="30">
        <v>50574.932800000002</v>
      </c>
      <c r="P147" s="30">
        <v>0</v>
      </c>
      <c r="Q147" s="30">
        <v>0</v>
      </c>
      <c r="R147" s="30">
        <v>0</v>
      </c>
      <c r="S147" s="30">
        <v>0</v>
      </c>
      <c r="T147" s="30">
        <v>0</v>
      </c>
      <c r="U147" s="30"/>
      <c r="V147" s="30"/>
      <c r="W147" s="30"/>
      <c r="X147" s="30"/>
      <c r="Y147" t="s">
        <v>6499</v>
      </c>
    </row>
    <row r="148" spans="1:25" x14ac:dyDescent="0.3">
      <c r="A148" s="28" t="s">
        <v>667</v>
      </c>
      <c r="B148" s="28" t="s">
        <v>2306</v>
      </c>
      <c r="C148" s="2" t="s">
        <v>668</v>
      </c>
      <c r="D148" s="2" t="s">
        <v>2307</v>
      </c>
      <c r="E148" s="28" t="s">
        <v>6457</v>
      </c>
      <c r="F148" s="28" t="str">
        <f>A148&amp;B148&amp;E148</f>
        <v>08802241OfferedServices</v>
      </c>
      <c r="G148" s="28" t="s">
        <v>6458</v>
      </c>
      <c r="H148" s="28" t="str">
        <f t="shared" si="11"/>
        <v>08802241Connect for Success</v>
      </c>
      <c r="I148" s="29">
        <v>5</v>
      </c>
      <c r="J148" s="28" t="str">
        <f t="shared" si="12"/>
        <v>08802241Connect for Success5</v>
      </c>
      <c r="K148" s="30">
        <v>0</v>
      </c>
      <c r="L148" s="30">
        <v>0</v>
      </c>
      <c r="M148" s="30">
        <v>0</v>
      </c>
      <c r="N148" s="30">
        <v>0</v>
      </c>
      <c r="O148" s="30">
        <v>0</v>
      </c>
      <c r="P148" s="30">
        <v>0</v>
      </c>
      <c r="Q148" s="30">
        <v>0</v>
      </c>
      <c r="R148" s="30">
        <v>0</v>
      </c>
      <c r="S148" s="30">
        <v>0</v>
      </c>
      <c r="T148" s="30">
        <v>0</v>
      </c>
      <c r="U148" s="30">
        <v>20000</v>
      </c>
      <c r="V148" s="30">
        <v>80000</v>
      </c>
      <c r="W148" s="30">
        <v>80000</v>
      </c>
      <c r="X148" s="30">
        <v>0</v>
      </c>
      <c r="Y148" t="s">
        <v>6500</v>
      </c>
    </row>
    <row r="149" spans="1:25" x14ac:dyDescent="0.3">
      <c r="A149" s="2" t="s">
        <v>667</v>
      </c>
      <c r="B149" s="2" t="s">
        <v>3086</v>
      </c>
      <c r="C149" s="2" t="s">
        <v>668</v>
      </c>
      <c r="D149" s="2" t="s">
        <v>3087</v>
      </c>
      <c r="E149" s="28" t="s">
        <v>6460</v>
      </c>
      <c r="F149" s="28" t="str">
        <f>A149&amp;B149&amp;E149</f>
        <v>08802364Connect For Success 16-19</v>
      </c>
      <c r="G149" s="28" t="s">
        <v>6234</v>
      </c>
      <c r="H149" s="28" t="str">
        <f t="shared" si="11"/>
        <v>08802364Connect For Success</v>
      </c>
      <c r="I149" s="29">
        <v>1</v>
      </c>
      <c r="J149" s="28" t="str">
        <f t="shared" si="12"/>
        <v>08802364Connect For Success1</v>
      </c>
      <c r="K149" s="30">
        <v>0</v>
      </c>
      <c r="L149" s="30">
        <v>99026</v>
      </c>
      <c r="M149" s="30"/>
      <c r="N149" s="30">
        <v>0</v>
      </c>
      <c r="O149" s="30">
        <v>0</v>
      </c>
      <c r="P149" s="30">
        <v>0</v>
      </c>
      <c r="Q149" s="30">
        <v>0</v>
      </c>
      <c r="R149" s="30">
        <v>0</v>
      </c>
      <c r="S149" s="30">
        <v>0</v>
      </c>
      <c r="T149" s="30">
        <v>0</v>
      </c>
      <c r="U149" s="30"/>
      <c r="V149" s="30"/>
      <c r="W149" s="30"/>
      <c r="X149" s="30"/>
      <c r="Y149" t="s">
        <v>6499</v>
      </c>
    </row>
    <row r="150" spans="1:25" x14ac:dyDescent="0.3">
      <c r="A150" s="2" t="s">
        <v>667</v>
      </c>
      <c r="B150" s="2" t="s">
        <v>2318</v>
      </c>
      <c r="C150" s="2" t="s">
        <v>668</v>
      </c>
      <c r="D150" s="2" t="s">
        <v>659</v>
      </c>
      <c r="E150" s="28" t="s">
        <v>6477</v>
      </c>
      <c r="F150" s="28" t="str">
        <f>A150&amp;B150&amp;E150</f>
        <v>08802506District Design and Led 18-21</v>
      </c>
      <c r="G150" s="28" t="s">
        <v>6233</v>
      </c>
      <c r="H150" s="28" t="str">
        <f t="shared" si="11"/>
        <v>08802506District Design and Led</v>
      </c>
      <c r="I150" s="29">
        <v>3</v>
      </c>
      <c r="J150" s="28" t="str">
        <f t="shared" si="12"/>
        <v>08802506District Design and Led3</v>
      </c>
      <c r="K150" s="30"/>
      <c r="L150" s="30">
        <v>7837</v>
      </c>
      <c r="M150" s="30"/>
      <c r="N150" s="30">
        <v>0</v>
      </c>
      <c r="O150" s="30">
        <v>0</v>
      </c>
      <c r="P150" s="30">
        <v>0</v>
      </c>
      <c r="Q150" s="30">
        <v>0</v>
      </c>
      <c r="R150" s="30">
        <v>0</v>
      </c>
      <c r="S150" s="30">
        <v>0</v>
      </c>
      <c r="T150" s="30">
        <v>0</v>
      </c>
      <c r="U150" s="30"/>
      <c r="V150" s="30"/>
      <c r="W150" s="30"/>
      <c r="X150" s="30"/>
      <c r="Y150" t="s">
        <v>6499</v>
      </c>
    </row>
    <row r="151" spans="1:25" x14ac:dyDescent="0.3">
      <c r="A151" s="28" t="s">
        <v>667</v>
      </c>
      <c r="B151" s="28" t="s">
        <v>2318</v>
      </c>
      <c r="C151" s="2" t="s">
        <v>668</v>
      </c>
      <c r="D151" s="2" t="s">
        <v>659</v>
      </c>
      <c r="E151" s="28" t="s">
        <v>6457</v>
      </c>
      <c r="F151" s="28" t="str">
        <f>A151&amp;B151&amp;E151</f>
        <v>08802506OfferedServices</v>
      </c>
      <c r="G151" s="28" t="s">
        <v>6237</v>
      </c>
      <c r="H151" s="28" t="str">
        <f t="shared" si="11"/>
        <v>08802506Turnaround Network</v>
      </c>
      <c r="I151" s="29">
        <v>5</v>
      </c>
      <c r="J151" s="28" t="str">
        <f t="shared" si="12"/>
        <v>08802506Turnaround Network5</v>
      </c>
      <c r="K151" s="30">
        <v>0</v>
      </c>
      <c r="L151" s="30">
        <v>0</v>
      </c>
      <c r="M151" s="30">
        <v>0</v>
      </c>
      <c r="N151" s="30">
        <v>0</v>
      </c>
      <c r="O151" s="30">
        <v>0</v>
      </c>
      <c r="P151" s="30">
        <v>0</v>
      </c>
      <c r="Q151" s="30">
        <v>0</v>
      </c>
      <c r="R151" s="30">
        <v>0</v>
      </c>
      <c r="S151" s="30">
        <v>0</v>
      </c>
      <c r="T151" s="30">
        <v>0</v>
      </c>
      <c r="U151" s="30">
        <v>0</v>
      </c>
      <c r="V151" s="30">
        <v>30000</v>
      </c>
      <c r="W151" s="30">
        <v>75000</v>
      </c>
      <c r="X151" s="30">
        <v>30000</v>
      </c>
      <c r="Y151" t="s">
        <v>6499</v>
      </c>
    </row>
    <row r="152" spans="1:25" x14ac:dyDescent="0.3">
      <c r="A152" s="2" t="s">
        <v>667</v>
      </c>
      <c r="B152" s="2" t="s">
        <v>5268</v>
      </c>
      <c r="C152" s="2" t="s">
        <v>668</v>
      </c>
      <c r="D152" s="2" t="s">
        <v>5269</v>
      </c>
      <c r="E152" s="2" t="s">
        <v>6457</v>
      </c>
      <c r="F152" s="28" t="s">
        <v>6483</v>
      </c>
      <c r="G152" s="2" t="s">
        <v>6241</v>
      </c>
      <c r="H152" s="28" t="str">
        <f t="shared" si="11"/>
        <v>08802641School Turnaround Leadership Development Program</v>
      </c>
      <c r="I152" s="29">
        <v>4</v>
      </c>
      <c r="J152" s="28" t="str">
        <f t="shared" si="12"/>
        <v>08802641School Turnaround Leadership Development Program4</v>
      </c>
      <c r="K152" s="32"/>
      <c r="L152" s="32"/>
      <c r="M152" s="32"/>
      <c r="N152" s="30"/>
      <c r="O152" s="30"/>
      <c r="P152" s="30"/>
      <c r="Q152" s="30">
        <v>12000</v>
      </c>
      <c r="R152" s="30">
        <v>0</v>
      </c>
      <c r="S152" s="30">
        <v>0</v>
      </c>
      <c r="T152" s="30">
        <v>2840</v>
      </c>
      <c r="U152" s="30"/>
      <c r="V152" s="30"/>
      <c r="W152" s="30"/>
      <c r="X152" s="30"/>
      <c r="Y152" t="s">
        <v>6499</v>
      </c>
    </row>
    <row r="153" spans="1:25" x14ac:dyDescent="0.3">
      <c r="A153" s="2" t="s">
        <v>667</v>
      </c>
      <c r="B153" s="2" t="s">
        <v>723</v>
      </c>
      <c r="C153" s="2" t="s">
        <v>668</v>
      </c>
      <c r="D153" s="2" t="s">
        <v>724</v>
      </c>
      <c r="E153" s="28" t="s">
        <v>6473</v>
      </c>
      <c r="F153" s="28" t="str">
        <f>A153&amp;B153&amp;E153</f>
        <v>08802652District Design and Led 17-20</v>
      </c>
      <c r="G153" s="28" t="s">
        <v>6233</v>
      </c>
      <c r="H153" s="28" t="str">
        <f t="shared" si="11"/>
        <v>08802652District Design and Led</v>
      </c>
      <c r="I153" s="29">
        <v>2</v>
      </c>
      <c r="J153" s="28" t="str">
        <f t="shared" si="12"/>
        <v>08802652District Design and Led2</v>
      </c>
      <c r="K153" s="30">
        <v>8046</v>
      </c>
      <c r="L153" s="30">
        <v>7631</v>
      </c>
      <c r="M153" s="30"/>
      <c r="N153" s="30">
        <v>0</v>
      </c>
      <c r="O153" s="30">
        <v>0</v>
      </c>
      <c r="P153" s="30">
        <v>0</v>
      </c>
      <c r="Q153" s="30">
        <v>0</v>
      </c>
      <c r="R153" s="30">
        <v>0</v>
      </c>
      <c r="S153" s="30">
        <v>0</v>
      </c>
      <c r="T153" s="30">
        <v>0</v>
      </c>
      <c r="U153" s="30"/>
      <c r="V153" s="30"/>
      <c r="W153" s="30"/>
      <c r="X153" s="30"/>
      <c r="Y153" t="s">
        <v>6499</v>
      </c>
    </row>
    <row r="154" spans="1:25" x14ac:dyDescent="0.3">
      <c r="A154" s="2" t="s">
        <v>667</v>
      </c>
      <c r="B154" s="2" t="s">
        <v>3094</v>
      </c>
      <c r="C154" s="2" t="s">
        <v>668</v>
      </c>
      <c r="D154" s="2" t="s">
        <v>3095</v>
      </c>
      <c r="E154" s="28" t="s">
        <v>6473</v>
      </c>
      <c r="F154" s="28" t="str">
        <f>A154&amp;B154&amp;E154</f>
        <v>08802726District Design and Led 17-20</v>
      </c>
      <c r="G154" s="28" t="s">
        <v>6233</v>
      </c>
      <c r="H154" s="28" t="str">
        <f t="shared" si="11"/>
        <v>08802726District Design and Led</v>
      </c>
      <c r="I154" s="29">
        <v>2</v>
      </c>
      <c r="J154" s="28" t="str">
        <f t="shared" si="12"/>
        <v>08802726District Design and Led2</v>
      </c>
      <c r="K154" s="30">
        <v>8046</v>
      </c>
      <c r="L154" s="30">
        <v>130979</v>
      </c>
      <c r="M154" s="30"/>
      <c r="N154" s="30">
        <v>0</v>
      </c>
      <c r="O154" s="30">
        <v>0</v>
      </c>
      <c r="P154" s="30">
        <v>0</v>
      </c>
      <c r="Q154" s="30">
        <v>0</v>
      </c>
      <c r="R154" s="30">
        <v>0</v>
      </c>
      <c r="S154" s="30">
        <v>0</v>
      </c>
      <c r="T154" s="30">
        <v>0</v>
      </c>
      <c r="U154" s="30"/>
      <c r="V154" s="30"/>
      <c r="W154" s="30"/>
      <c r="X154" s="30"/>
      <c r="Y154" t="s">
        <v>6499</v>
      </c>
    </row>
    <row r="155" spans="1:25" x14ac:dyDescent="0.3">
      <c r="A155" s="2" t="s">
        <v>667</v>
      </c>
      <c r="B155" s="2" t="s">
        <v>3094</v>
      </c>
      <c r="C155" s="2" t="s">
        <v>668</v>
      </c>
      <c r="D155" s="2" t="s">
        <v>3095</v>
      </c>
      <c r="E155" s="28" t="s">
        <v>6477</v>
      </c>
      <c r="F155" s="28" t="str">
        <f>A155&amp;B155&amp;E155</f>
        <v>08802726District Design and Led 18-21</v>
      </c>
      <c r="G155" s="28" t="s">
        <v>6233</v>
      </c>
      <c r="H155" s="28" t="str">
        <f t="shared" si="11"/>
        <v>08802726District Design and Led</v>
      </c>
      <c r="I155" s="29">
        <v>3</v>
      </c>
      <c r="J155" s="28" t="str">
        <f t="shared" si="12"/>
        <v>08802726District Design and Led3</v>
      </c>
      <c r="K155" s="30"/>
      <c r="L155" s="30">
        <v>7837</v>
      </c>
      <c r="M155" s="30"/>
      <c r="N155" s="30">
        <v>0</v>
      </c>
      <c r="O155" s="30">
        <v>0</v>
      </c>
      <c r="P155" s="30">
        <v>81780</v>
      </c>
      <c r="Q155" s="30">
        <v>0</v>
      </c>
      <c r="R155" s="30">
        <v>0</v>
      </c>
      <c r="S155" s="30">
        <v>0</v>
      </c>
      <c r="T155" s="30">
        <v>0</v>
      </c>
      <c r="U155" s="30"/>
      <c r="V155" s="30"/>
      <c r="W155" s="30"/>
      <c r="X155" s="30"/>
      <c r="Y155" t="s">
        <v>6499</v>
      </c>
    </row>
    <row r="156" spans="1:25" x14ac:dyDescent="0.3">
      <c r="A156" s="2" t="s">
        <v>667</v>
      </c>
      <c r="B156" s="2" t="s">
        <v>681</v>
      </c>
      <c r="C156" s="2" t="s">
        <v>668</v>
      </c>
      <c r="D156" s="2" t="s">
        <v>682</v>
      </c>
      <c r="E156" s="28" t="s">
        <v>6473</v>
      </c>
      <c r="F156" s="28" t="str">
        <f>A156&amp;B156&amp;E156</f>
        <v>08802757District Design and Led 17-20</v>
      </c>
      <c r="G156" s="28" t="s">
        <v>6233</v>
      </c>
      <c r="H156" s="28" t="str">
        <f t="shared" si="11"/>
        <v>08802757District Design and Led</v>
      </c>
      <c r="I156" s="29">
        <v>2</v>
      </c>
      <c r="J156" s="28" t="str">
        <f t="shared" si="12"/>
        <v>08802757District Design and Led2</v>
      </c>
      <c r="K156" s="30">
        <v>8046</v>
      </c>
      <c r="L156" s="30">
        <v>7631</v>
      </c>
      <c r="M156" s="30"/>
      <c r="N156" s="30">
        <v>0</v>
      </c>
      <c r="O156" s="30">
        <v>0</v>
      </c>
      <c r="P156" s="30">
        <v>0</v>
      </c>
      <c r="Q156" s="30">
        <v>0</v>
      </c>
      <c r="R156" s="30">
        <v>0</v>
      </c>
      <c r="S156" s="30">
        <v>0</v>
      </c>
      <c r="T156" s="30">
        <v>0</v>
      </c>
      <c r="U156" s="30"/>
      <c r="V156" s="30"/>
      <c r="W156" s="30"/>
      <c r="X156" s="30"/>
      <c r="Y156" t="s">
        <v>6499</v>
      </c>
    </row>
    <row r="157" spans="1:25" x14ac:dyDescent="0.3">
      <c r="A157" s="2" t="s">
        <v>667</v>
      </c>
      <c r="B157" s="2" t="s">
        <v>681</v>
      </c>
      <c r="C157" s="2" t="s">
        <v>668</v>
      </c>
      <c r="D157" s="2" t="s">
        <v>682</v>
      </c>
      <c r="E157" s="2" t="s">
        <v>6484</v>
      </c>
      <c r="F157" s="28" t="str">
        <f>A157&amp;B157&amp;E157</f>
        <v>08802757School Turnaround Leaders Program</v>
      </c>
      <c r="G157" s="2" t="s">
        <v>6241</v>
      </c>
      <c r="H157" s="28" t="str">
        <f t="shared" si="11"/>
        <v>08802757School Turnaround Leadership Development Program</v>
      </c>
      <c r="I157" s="29">
        <v>2</v>
      </c>
      <c r="J157" s="28" t="str">
        <f t="shared" si="12"/>
        <v>08802757School Turnaround Leadership Development Program2</v>
      </c>
      <c r="K157" s="32"/>
      <c r="L157" s="32">
        <v>25053</v>
      </c>
      <c r="M157" s="32"/>
      <c r="N157" s="30">
        <v>0</v>
      </c>
      <c r="O157" s="30" t="s">
        <v>6462</v>
      </c>
      <c r="P157" s="30" t="s">
        <v>6462</v>
      </c>
      <c r="Q157" s="30">
        <v>0</v>
      </c>
      <c r="R157" s="30">
        <v>0</v>
      </c>
      <c r="S157" s="30">
        <v>0</v>
      </c>
      <c r="T157" s="30">
        <v>0</v>
      </c>
      <c r="U157" s="30"/>
      <c r="V157" s="30"/>
      <c r="W157" s="30"/>
      <c r="X157" s="30"/>
      <c r="Y157" t="s">
        <v>6499</v>
      </c>
    </row>
    <row r="158" spans="1:25" x14ac:dyDescent="0.3">
      <c r="A158" s="2" t="s">
        <v>667</v>
      </c>
      <c r="B158" s="2" t="s">
        <v>1020</v>
      </c>
      <c r="C158" s="2" t="s">
        <v>668</v>
      </c>
      <c r="D158" s="2" t="s">
        <v>5286</v>
      </c>
      <c r="E158" s="28" t="s">
        <v>6468</v>
      </c>
      <c r="F158" s="28" t="s">
        <v>6469</v>
      </c>
      <c r="G158" s="28" t="s">
        <v>6240</v>
      </c>
      <c r="H158" s="28" t="str">
        <f t="shared" si="11"/>
        <v>08803000Diagnostic Review</v>
      </c>
      <c r="I158" s="29">
        <v>4</v>
      </c>
      <c r="J158" s="28" t="str">
        <f t="shared" si="12"/>
        <v>08803000Diagnostic Review4</v>
      </c>
      <c r="K158" s="30"/>
      <c r="L158" s="30"/>
      <c r="M158" s="30"/>
      <c r="N158" s="30"/>
      <c r="O158" s="30"/>
      <c r="P158" s="30"/>
      <c r="Q158" s="30">
        <v>25000</v>
      </c>
      <c r="R158" s="30">
        <v>0</v>
      </c>
      <c r="S158" s="30">
        <v>0</v>
      </c>
      <c r="T158" s="30">
        <v>40000</v>
      </c>
      <c r="U158" s="30"/>
      <c r="V158" s="30"/>
      <c r="W158" s="30"/>
      <c r="X158" s="30"/>
      <c r="Y158" t="s">
        <v>6499</v>
      </c>
    </row>
    <row r="159" spans="1:25" x14ac:dyDescent="0.3">
      <c r="A159" s="2" t="s">
        <v>667</v>
      </c>
      <c r="B159" s="2" t="s">
        <v>3069</v>
      </c>
      <c r="C159" s="2" t="s">
        <v>668</v>
      </c>
      <c r="D159" s="2" t="s">
        <v>3070</v>
      </c>
      <c r="E159" s="28" t="s">
        <v>6477</v>
      </c>
      <c r="F159" s="28" t="str">
        <f t="shared" ref="F159:F181" si="13">A159&amp;B159&amp;E159</f>
        <v>08803340District Design and Led 18-21</v>
      </c>
      <c r="G159" s="28" t="s">
        <v>6233</v>
      </c>
      <c r="H159" s="28" t="str">
        <f t="shared" si="11"/>
        <v>08803340District Design and Led</v>
      </c>
      <c r="I159" s="29">
        <v>3</v>
      </c>
      <c r="J159" s="28" t="str">
        <f t="shared" si="12"/>
        <v>08803340District Design and Led3</v>
      </c>
      <c r="K159" s="30"/>
      <c r="L159" s="30">
        <v>7837</v>
      </c>
      <c r="M159" s="30"/>
      <c r="N159" s="30">
        <v>0</v>
      </c>
      <c r="O159" s="30">
        <v>0</v>
      </c>
      <c r="P159" s="30">
        <v>0</v>
      </c>
      <c r="Q159" s="30">
        <v>0</v>
      </c>
      <c r="R159" s="30">
        <v>0</v>
      </c>
      <c r="S159" s="30">
        <v>0</v>
      </c>
      <c r="T159" s="30">
        <v>0</v>
      </c>
      <c r="U159" s="30"/>
      <c r="V159" s="30"/>
      <c r="W159" s="30"/>
      <c r="X159" s="30"/>
      <c r="Y159" t="s">
        <v>6499</v>
      </c>
    </row>
    <row r="160" spans="1:25" x14ac:dyDescent="0.3">
      <c r="A160" s="28" t="s">
        <v>667</v>
      </c>
      <c r="B160" s="28" t="s">
        <v>5254</v>
      </c>
      <c r="C160" s="2" t="s">
        <v>668</v>
      </c>
      <c r="D160" s="2" t="s">
        <v>5255</v>
      </c>
      <c r="E160" s="28" t="s">
        <v>6457</v>
      </c>
      <c r="F160" s="28" t="str">
        <f t="shared" si="13"/>
        <v>08803647OfferedServices</v>
      </c>
      <c r="G160" s="28" t="s">
        <v>6458</v>
      </c>
      <c r="H160" s="28" t="str">
        <f t="shared" si="11"/>
        <v>08803647Connect for Success</v>
      </c>
      <c r="I160" s="29">
        <v>5</v>
      </c>
      <c r="J160" s="28" t="str">
        <f t="shared" si="12"/>
        <v>08803647Connect for Success5</v>
      </c>
      <c r="K160" s="30">
        <v>0</v>
      </c>
      <c r="L160" s="30">
        <v>0</v>
      </c>
      <c r="M160" s="30">
        <v>0</v>
      </c>
      <c r="N160" s="30">
        <v>0</v>
      </c>
      <c r="O160" s="30">
        <v>0</v>
      </c>
      <c r="P160" s="30">
        <v>0</v>
      </c>
      <c r="Q160" s="30">
        <v>0</v>
      </c>
      <c r="R160" s="30">
        <v>0</v>
      </c>
      <c r="S160" s="30">
        <v>0</v>
      </c>
      <c r="T160" s="30">
        <v>0</v>
      </c>
      <c r="U160" s="30">
        <v>20000</v>
      </c>
      <c r="V160" s="30">
        <v>80000</v>
      </c>
      <c r="W160" s="30">
        <v>80000</v>
      </c>
      <c r="X160" s="30">
        <v>0</v>
      </c>
      <c r="Y160" t="s">
        <v>6500</v>
      </c>
    </row>
    <row r="161" spans="1:25" x14ac:dyDescent="0.3">
      <c r="A161" s="28" t="s">
        <v>667</v>
      </c>
      <c r="B161" s="2" t="s">
        <v>3825</v>
      </c>
      <c r="C161" s="2" t="s">
        <v>668</v>
      </c>
      <c r="D161" s="2" t="s">
        <v>3826</v>
      </c>
      <c r="E161" s="28" t="s">
        <v>6456</v>
      </c>
      <c r="F161" s="28" t="str">
        <f t="shared" si="13"/>
        <v>08803655Connect For Success 18-21</v>
      </c>
      <c r="G161" s="28" t="s">
        <v>6234</v>
      </c>
      <c r="H161" s="28" t="str">
        <f t="shared" si="11"/>
        <v>08803655Connect For Success</v>
      </c>
      <c r="I161" s="29">
        <v>2</v>
      </c>
      <c r="J161" s="28" t="str">
        <f t="shared" si="12"/>
        <v>08803655Connect For Success2</v>
      </c>
      <c r="K161" s="30"/>
      <c r="L161" s="30">
        <v>19878</v>
      </c>
      <c r="M161" s="30">
        <v>79993</v>
      </c>
      <c r="N161" s="30">
        <v>0</v>
      </c>
      <c r="O161" s="30">
        <v>87232</v>
      </c>
      <c r="P161" s="30">
        <v>0</v>
      </c>
      <c r="Q161" s="30">
        <v>0</v>
      </c>
      <c r="R161" s="30">
        <v>0</v>
      </c>
      <c r="S161" s="30">
        <v>0</v>
      </c>
      <c r="T161" s="30">
        <v>0</v>
      </c>
      <c r="U161" s="30"/>
      <c r="V161" s="30"/>
      <c r="W161" s="30"/>
      <c r="X161" s="30"/>
      <c r="Y161" t="s">
        <v>6499</v>
      </c>
    </row>
    <row r="162" spans="1:25" x14ac:dyDescent="0.3">
      <c r="A162" s="2" t="s">
        <v>667</v>
      </c>
      <c r="B162" s="2" t="s">
        <v>3825</v>
      </c>
      <c r="C162" s="2" t="s">
        <v>668</v>
      </c>
      <c r="D162" s="2" t="s">
        <v>3826</v>
      </c>
      <c r="E162" s="28" t="s">
        <v>6473</v>
      </c>
      <c r="F162" s="28" t="str">
        <f t="shared" si="13"/>
        <v>08803655District Design and Led 17-20</v>
      </c>
      <c r="G162" s="28" t="s">
        <v>6233</v>
      </c>
      <c r="H162" s="28" t="str">
        <f t="shared" si="11"/>
        <v>08803655District Design and Led</v>
      </c>
      <c r="I162" s="29">
        <v>2</v>
      </c>
      <c r="J162" s="28" t="str">
        <f t="shared" si="12"/>
        <v>08803655District Design and Led2</v>
      </c>
      <c r="K162" s="30">
        <v>13946</v>
      </c>
      <c r="L162" s="30">
        <v>9946</v>
      </c>
      <c r="M162" s="30"/>
      <c r="N162" s="30">
        <v>0</v>
      </c>
      <c r="O162" s="30">
        <v>0</v>
      </c>
      <c r="P162" s="30">
        <v>0</v>
      </c>
      <c r="Q162" s="30">
        <v>0</v>
      </c>
      <c r="R162" s="30">
        <v>0</v>
      </c>
      <c r="S162" s="30">
        <v>0</v>
      </c>
      <c r="T162" s="30">
        <v>0</v>
      </c>
      <c r="U162" s="30"/>
      <c r="V162" s="30"/>
      <c r="W162" s="30"/>
      <c r="X162" s="30"/>
      <c r="Y162" t="s">
        <v>6499</v>
      </c>
    </row>
    <row r="163" spans="1:25" x14ac:dyDescent="0.3">
      <c r="A163" s="28" t="s">
        <v>667</v>
      </c>
      <c r="B163" s="2" t="s">
        <v>3061</v>
      </c>
      <c r="C163" s="2" t="s">
        <v>668</v>
      </c>
      <c r="D163" s="2" t="s">
        <v>3062</v>
      </c>
      <c r="E163" s="28" t="s">
        <v>6456</v>
      </c>
      <c r="F163" s="28" t="str">
        <f t="shared" si="13"/>
        <v>08804049Connect For Success 18-21</v>
      </c>
      <c r="G163" s="28" t="s">
        <v>6234</v>
      </c>
      <c r="H163" s="28" t="str">
        <f t="shared" si="11"/>
        <v>08804049Connect For Success</v>
      </c>
      <c r="I163" s="29">
        <v>2</v>
      </c>
      <c r="J163" s="28" t="str">
        <f t="shared" si="12"/>
        <v>08804049Connect For Success2</v>
      </c>
      <c r="K163" s="30"/>
      <c r="L163" s="30">
        <v>21560</v>
      </c>
      <c r="M163" s="30">
        <v>78432</v>
      </c>
      <c r="N163" s="30">
        <v>0</v>
      </c>
      <c r="O163" s="30">
        <v>87232</v>
      </c>
      <c r="P163" s="30">
        <v>0</v>
      </c>
      <c r="Q163" s="30">
        <v>0</v>
      </c>
      <c r="R163" s="30">
        <v>0</v>
      </c>
      <c r="S163" s="30">
        <v>0</v>
      </c>
      <c r="T163" s="30">
        <v>0</v>
      </c>
      <c r="U163" s="30"/>
      <c r="V163" s="30"/>
      <c r="W163" s="30"/>
      <c r="X163" s="30"/>
      <c r="Y163" t="s">
        <v>6499</v>
      </c>
    </row>
    <row r="164" spans="1:25" x14ac:dyDescent="0.3">
      <c r="A164" s="2" t="s">
        <v>667</v>
      </c>
      <c r="B164" s="2" t="s">
        <v>5975</v>
      </c>
      <c r="C164" s="2" t="s">
        <v>668</v>
      </c>
      <c r="D164" s="2" t="s">
        <v>5976</v>
      </c>
      <c r="E164" s="28" t="s">
        <v>6465</v>
      </c>
      <c r="F164" s="28" t="str">
        <f t="shared" si="13"/>
        <v>08804140Diagnostic Review 19-20</v>
      </c>
      <c r="G164" s="28" t="s">
        <v>6240</v>
      </c>
      <c r="H164" s="28" t="str">
        <f t="shared" si="11"/>
        <v>08804140Diagnostic Review</v>
      </c>
      <c r="I164" s="29">
        <v>3</v>
      </c>
      <c r="J164" s="28" t="str">
        <f t="shared" si="12"/>
        <v>08804140Diagnostic Review3</v>
      </c>
      <c r="K164" s="30"/>
      <c r="L164" s="30"/>
      <c r="M164" s="30"/>
      <c r="N164" s="30">
        <v>21454</v>
      </c>
      <c r="O164" s="30"/>
      <c r="P164" s="30"/>
      <c r="Q164" s="30">
        <v>0</v>
      </c>
      <c r="R164" s="30">
        <v>0</v>
      </c>
      <c r="S164" s="30">
        <v>0</v>
      </c>
      <c r="T164" s="30">
        <v>0</v>
      </c>
      <c r="U164" s="30"/>
      <c r="V164" s="30"/>
      <c r="W164" s="30"/>
      <c r="X164" s="30"/>
      <c r="Y164" t="s">
        <v>6499</v>
      </c>
    </row>
    <row r="165" spans="1:25" x14ac:dyDescent="0.3">
      <c r="A165" s="28" t="s">
        <v>667</v>
      </c>
      <c r="B165" s="28" t="s">
        <v>5975</v>
      </c>
      <c r="C165" s="2" t="s">
        <v>668</v>
      </c>
      <c r="D165" s="2" t="s">
        <v>5976</v>
      </c>
      <c r="E165" s="28" t="s">
        <v>6457</v>
      </c>
      <c r="F165" s="28" t="str">
        <f t="shared" si="13"/>
        <v>08804140OfferedServices</v>
      </c>
      <c r="G165" s="28" t="s">
        <v>6458</v>
      </c>
      <c r="H165" s="28" t="str">
        <f t="shared" si="11"/>
        <v>08804140Connect for Success</v>
      </c>
      <c r="I165" s="29">
        <v>5</v>
      </c>
      <c r="J165" s="28" t="str">
        <f t="shared" si="12"/>
        <v>08804140Connect for Success5</v>
      </c>
      <c r="K165" s="30">
        <v>0</v>
      </c>
      <c r="L165" s="30">
        <v>0</v>
      </c>
      <c r="M165" s="30">
        <v>0</v>
      </c>
      <c r="N165" s="30">
        <v>0</v>
      </c>
      <c r="O165" s="30">
        <v>0</v>
      </c>
      <c r="P165" s="30">
        <v>0</v>
      </c>
      <c r="Q165" s="30">
        <v>0</v>
      </c>
      <c r="R165" s="30">
        <v>0</v>
      </c>
      <c r="S165" s="30">
        <v>0</v>
      </c>
      <c r="T165" s="30">
        <v>0</v>
      </c>
      <c r="U165" s="30">
        <v>20000</v>
      </c>
      <c r="V165" s="30">
        <v>80000</v>
      </c>
      <c r="W165" s="30">
        <v>80000</v>
      </c>
      <c r="X165" s="30">
        <v>0</v>
      </c>
      <c r="Y165" t="s">
        <v>6500</v>
      </c>
    </row>
    <row r="166" spans="1:25" x14ac:dyDescent="0.3">
      <c r="A166" s="28" t="s">
        <v>667</v>
      </c>
      <c r="B166" s="2" t="s">
        <v>3831</v>
      </c>
      <c r="C166" s="2" t="s">
        <v>668</v>
      </c>
      <c r="D166" s="2" t="s">
        <v>3832</v>
      </c>
      <c r="E166" s="28" t="s">
        <v>6456</v>
      </c>
      <c r="F166" s="28" t="str">
        <f t="shared" si="13"/>
        <v>08804383Connect For Success 18-21</v>
      </c>
      <c r="G166" s="28" t="s">
        <v>6234</v>
      </c>
      <c r="H166" s="28" t="str">
        <f t="shared" si="11"/>
        <v>08804383Connect For Success</v>
      </c>
      <c r="I166" s="29">
        <v>2</v>
      </c>
      <c r="J166" s="28" t="str">
        <f t="shared" si="12"/>
        <v>08804383Connect For Success2</v>
      </c>
      <c r="K166" s="30"/>
      <c r="L166" s="30">
        <v>19878</v>
      </c>
      <c r="M166" s="30">
        <v>79993</v>
      </c>
      <c r="N166" s="30">
        <v>0</v>
      </c>
      <c r="O166" s="30">
        <v>87232</v>
      </c>
      <c r="P166" s="30">
        <v>0</v>
      </c>
      <c r="Q166" s="30">
        <v>0</v>
      </c>
      <c r="R166" s="30">
        <v>0</v>
      </c>
      <c r="S166" s="30">
        <v>0</v>
      </c>
      <c r="T166" s="30">
        <v>0</v>
      </c>
      <c r="U166" s="30"/>
      <c r="V166" s="30"/>
      <c r="W166" s="30"/>
      <c r="X166" s="30"/>
      <c r="Y166" t="s">
        <v>6499</v>
      </c>
    </row>
    <row r="167" spans="1:25" x14ac:dyDescent="0.3">
      <c r="A167" s="2" t="s">
        <v>667</v>
      </c>
      <c r="B167" s="2" t="s">
        <v>3857</v>
      </c>
      <c r="C167" s="2" t="s">
        <v>668</v>
      </c>
      <c r="D167" s="2" t="s">
        <v>3858</v>
      </c>
      <c r="E167" s="2" t="s">
        <v>6484</v>
      </c>
      <c r="F167" s="28" t="str">
        <f t="shared" si="13"/>
        <v>08804444School Turnaround Leaders Program</v>
      </c>
      <c r="G167" s="2" t="s">
        <v>6241</v>
      </c>
      <c r="H167" s="28" t="str">
        <f t="shared" si="11"/>
        <v>08804444School Turnaround Leadership Development Program</v>
      </c>
      <c r="I167" s="29">
        <v>2</v>
      </c>
      <c r="J167" s="28" t="str">
        <f t="shared" si="12"/>
        <v>08804444School Turnaround Leadership Development Program2</v>
      </c>
      <c r="K167" s="32"/>
      <c r="L167" s="32">
        <v>25053</v>
      </c>
      <c r="M167" s="32"/>
      <c r="N167" s="30">
        <v>0</v>
      </c>
      <c r="O167" s="30" t="s">
        <v>6462</v>
      </c>
      <c r="P167" s="30" t="s">
        <v>6462</v>
      </c>
      <c r="Q167" s="30">
        <v>0</v>
      </c>
      <c r="R167" s="30">
        <v>0</v>
      </c>
      <c r="S167" s="30">
        <v>0</v>
      </c>
      <c r="T167" s="30">
        <v>0</v>
      </c>
      <c r="U167" s="30"/>
      <c r="V167" s="30"/>
      <c r="W167" s="30"/>
      <c r="X167" s="30"/>
      <c r="Y167" t="s">
        <v>6499</v>
      </c>
    </row>
    <row r="168" spans="1:25" x14ac:dyDescent="0.3">
      <c r="A168" s="2" t="s">
        <v>667</v>
      </c>
      <c r="B168" s="2" t="s">
        <v>3857</v>
      </c>
      <c r="C168" s="2" t="s">
        <v>668</v>
      </c>
      <c r="D168" s="2" t="s">
        <v>3858</v>
      </c>
      <c r="E168" s="28" t="s">
        <v>6477</v>
      </c>
      <c r="F168" s="28" t="str">
        <f t="shared" si="13"/>
        <v>08804444District Design and Led 18-21</v>
      </c>
      <c r="G168" s="28" t="s">
        <v>6233</v>
      </c>
      <c r="H168" s="28" t="str">
        <f t="shared" si="11"/>
        <v>08804444District Design and Led</v>
      </c>
      <c r="I168" s="29">
        <v>3</v>
      </c>
      <c r="J168" s="28" t="str">
        <f t="shared" si="12"/>
        <v>08804444District Design and Led3</v>
      </c>
      <c r="K168" s="30"/>
      <c r="L168" s="30">
        <v>28278</v>
      </c>
      <c r="M168" s="30"/>
      <c r="N168" s="30">
        <v>0</v>
      </c>
      <c r="O168" s="30">
        <v>0</v>
      </c>
      <c r="P168" s="30">
        <v>0</v>
      </c>
      <c r="Q168" s="30">
        <v>0</v>
      </c>
      <c r="R168" s="30">
        <v>0</v>
      </c>
      <c r="S168" s="30">
        <v>0</v>
      </c>
      <c r="T168" s="30">
        <v>0</v>
      </c>
      <c r="U168" s="30"/>
      <c r="V168" s="30"/>
      <c r="W168" s="30"/>
      <c r="X168" s="30"/>
      <c r="Y168" t="s">
        <v>6499</v>
      </c>
    </row>
    <row r="169" spans="1:25" x14ac:dyDescent="0.3">
      <c r="A169" s="2" t="s">
        <v>667</v>
      </c>
      <c r="B169" s="2" t="s">
        <v>4603</v>
      </c>
      <c r="C169" s="2" t="s">
        <v>668</v>
      </c>
      <c r="D169" s="2" t="s">
        <v>228</v>
      </c>
      <c r="E169" s="28" t="s">
        <v>6460</v>
      </c>
      <c r="F169" s="28" t="str">
        <f t="shared" si="13"/>
        <v>08804450Connect For Success 16-19</v>
      </c>
      <c r="G169" s="28" t="s">
        <v>6234</v>
      </c>
      <c r="H169" s="28" t="str">
        <f t="shared" si="11"/>
        <v>08804450Connect For Success</v>
      </c>
      <c r="I169" s="29">
        <v>1</v>
      </c>
      <c r="J169" s="28" t="str">
        <f t="shared" si="12"/>
        <v>08804450Connect For Success1</v>
      </c>
      <c r="K169" s="30">
        <v>0</v>
      </c>
      <c r="L169" s="30">
        <v>102734</v>
      </c>
      <c r="M169" s="30"/>
      <c r="N169" s="30">
        <v>0</v>
      </c>
      <c r="O169" s="30">
        <v>0</v>
      </c>
      <c r="P169" s="30">
        <v>0</v>
      </c>
      <c r="Q169" s="30">
        <v>0</v>
      </c>
      <c r="R169" s="30">
        <v>0</v>
      </c>
      <c r="S169" s="30">
        <v>0</v>
      </c>
      <c r="T169" s="30">
        <v>0</v>
      </c>
      <c r="U169" s="30"/>
      <c r="V169" s="30"/>
      <c r="W169" s="30"/>
      <c r="X169" s="30"/>
      <c r="Y169" t="s">
        <v>6499</v>
      </c>
    </row>
    <row r="170" spans="1:25" x14ac:dyDescent="0.3">
      <c r="A170" s="2" t="s">
        <v>667</v>
      </c>
      <c r="B170" s="2" t="s">
        <v>5276</v>
      </c>
      <c r="C170" s="2" t="s">
        <v>668</v>
      </c>
      <c r="D170" s="2" t="s">
        <v>5277</v>
      </c>
      <c r="E170" s="28" t="s">
        <v>6477</v>
      </c>
      <c r="F170" s="28" t="str">
        <f t="shared" si="13"/>
        <v>08804494District Design and Led 18-21</v>
      </c>
      <c r="G170" s="28" t="s">
        <v>6233</v>
      </c>
      <c r="H170" s="28" t="str">
        <f t="shared" si="11"/>
        <v>08804494District Design and Led</v>
      </c>
      <c r="I170" s="29">
        <v>3</v>
      </c>
      <c r="J170" s="28" t="str">
        <f t="shared" si="12"/>
        <v>08804494District Design and Led3</v>
      </c>
      <c r="K170" s="30"/>
      <c r="L170" s="30">
        <v>7837</v>
      </c>
      <c r="M170" s="30"/>
      <c r="N170" s="30">
        <v>0</v>
      </c>
      <c r="O170" s="30">
        <v>0</v>
      </c>
      <c r="P170" s="30">
        <v>99206.772800000006</v>
      </c>
      <c r="Q170" s="30">
        <v>0</v>
      </c>
      <c r="R170" s="30">
        <v>0</v>
      </c>
      <c r="S170" s="30">
        <v>0</v>
      </c>
      <c r="T170" s="30">
        <v>0</v>
      </c>
      <c r="U170" s="30"/>
      <c r="V170" s="30"/>
      <c r="W170" s="30"/>
      <c r="X170" s="30"/>
      <c r="Y170" t="s">
        <v>6499</v>
      </c>
    </row>
    <row r="171" spans="1:25" x14ac:dyDescent="0.3">
      <c r="A171" s="2" t="s">
        <v>667</v>
      </c>
      <c r="B171" s="2" t="s">
        <v>5276</v>
      </c>
      <c r="C171" s="2" t="s">
        <v>668</v>
      </c>
      <c r="D171" s="2" t="s">
        <v>5277</v>
      </c>
      <c r="E171" s="28" t="s">
        <v>6477</v>
      </c>
      <c r="F171" s="28" t="str">
        <f t="shared" si="13"/>
        <v>08804494District Design and Led 18-21</v>
      </c>
      <c r="G171" s="28" t="s">
        <v>6233</v>
      </c>
      <c r="H171" s="28" t="str">
        <f t="shared" si="11"/>
        <v>08804494District Design and Led</v>
      </c>
      <c r="I171" s="29">
        <v>3</v>
      </c>
      <c r="J171" s="28" t="str">
        <f t="shared" si="12"/>
        <v>08804494District Design and Led3</v>
      </c>
      <c r="K171" s="30"/>
      <c r="L171" s="30">
        <v>28278</v>
      </c>
      <c r="M171" s="30"/>
      <c r="N171" s="30">
        <v>0</v>
      </c>
      <c r="O171" s="30">
        <v>0</v>
      </c>
      <c r="P171" s="30">
        <v>0</v>
      </c>
      <c r="Q171" s="30">
        <v>0</v>
      </c>
      <c r="R171" s="30">
        <v>0</v>
      </c>
      <c r="S171" s="30">
        <v>0</v>
      </c>
      <c r="T171" s="30">
        <v>0</v>
      </c>
      <c r="U171" s="30"/>
      <c r="V171" s="30"/>
      <c r="W171" s="30"/>
      <c r="X171" s="30"/>
      <c r="Y171" t="s">
        <v>6499</v>
      </c>
    </row>
    <row r="172" spans="1:25" x14ac:dyDescent="0.3">
      <c r="A172" s="2" t="s">
        <v>667</v>
      </c>
      <c r="B172" s="28" t="s">
        <v>5276</v>
      </c>
      <c r="C172" s="2" t="s">
        <v>668</v>
      </c>
      <c r="D172" s="2" t="s">
        <v>5277</v>
      </c>
      <c r="E172" s="28" t="s">
        <v>6481</v>
      </c>
      <c r="F172" s="28" t="str">
        <f t="shared" si="13"/>
        <v>08804494Expansion</v>
      </c>
      <c r="G172" s="28" t="s">
        <v>6233</v>
      </c>
      <c r="H172" s="28" t="str">
        <f t="shared" si="11"/>
        <v>08804494District Design and Led</v>
      </c>
      <c r="I172" s="29">
        <v>3</v>
      </c>
      <c r="J172" s="28" t="str">
        <f t="shared" si="12"/>
        <v>08804494District Design and Led3</v>
      </c>
      <c r="K172" s="30"/>
      <c r="L172" s="30"/>
      <c r="M172" s="30"/>
      <c r="N172" s="30">
        <v>810</v>
      </c>
      <c r="O172" s="30"/>
      <c r="P172" s="30"/>
      <c r="Q172" s="30">
        <v>0</v>
      </c>
      <c r="R172" s="30">
        <v>0</v>
      </c>
      <c r="S172" s="30">
        <v>16825.466703499998</v>
      </c>
      <c r="T172" s="30">
        <v>0</v>
      </c>
      <c r="U172" s="30"/>
      <c r="V172" s="30"/>
      <c r="W172" s="30"/>
      <c r="X172" s="30"/>
      <c r="Y172" t="s">
        <v>6499</v>
      </c>
    </row>
    <row r="173" spans="1:25" x14ac:dyDescent="0.3">
      <c r="A173" s="2" t="s">
        <v>667</v>
      </c>
      <c r="B173" s="2" t="s">
        <v>719</v>
      </c>
      <c r="C173" s="2" t="s">
        <v>668</v>
      </c>
      <c r="D173" s="2" t="s">
        <v>720</v>
      </c>
      <c r="E173" s="28" t="s">
        <v>6460</v>
      </c>
      <c r="F173" s="28" t="str">
        <f t="shared" si="13"/>
        <v>08804782Connect For Success 16-19</v>
      </c>
      <c r="G173" s="28" t="s">
        <v>6234</v>
      </c>
      <c r="H173" s="28" t="str">
        <f t="shared" si="11"/>
        <v>08804782Connect For Success</v>
      </c>
      <c r="I173" s="29">
        <v>1</v>
      </c>
      <c r="J173" s="28" t="str">
        <f t="shared" si="12"/>
        <v>08804782Connect For Success1</v>
      </c>
      <c r="K173" s="30">
        <v>0</v>
      </c>
      <c r="L173" s="30">
        <v>107981</v>
      </c>
      <c r="M173" s="30"/>
      <c r="N173" s="30">
        <v>0</v>
      </c>
      <c r="O173" s="30">
        <v>0</v>
      </c>
      <c r="P173" s="30">
        <v>0</v>
      </c>
      <c r="Q173" s="30">
        <v>0</v>
      </c>
      <c r="R173" s="30">
        <v>0</v>
      </c>
      <c r="S173" s="30">
        <v>0</v>
      </c>
      <c r="T173" s="30">
        <v>0</v>
      </c>
      <c r="U173" s="30"/>
      <c r="V173" s="30"/>
      <c r="W173" s="30"/>
      <c r="X173" s="30"/>
      <c r="Y173" t="s">
        <v>6499</v>
      </c>
    </row>
    <row r="174" spans="1:25" x14ac:dyDescent="0.3">
      <c r="A174" s="2" t="s">
        <v>667</v>
      </c>
      <c r="B174" s="2" t="s">
        <v>719</v>
      </c>
      <c r="C174" s="2" t="s">
        <v>668</v>
      </c>
      <c r="D174" s="2" t="s">
        <v>720</v>
      </c>
      <c r="E174" s="28" t="s">
        <v>6473</v>
      </c>
      <c r="F174" s="28" t="str">
        <f t="shared" si="13"/>
        <v>08804782District Design and Led 17-20</v>
      </c>
      <c r="G174" s="28" t="s">
        <v>6233</v>
      </c>
      <c r="H174" s="28" t="str">
        <f t="shared" si="11"/>
        <v>08804782District Design and Led</v>
      </c>
      <c r="I174" s="29">
        <v>2</v>
      </c>
      <c r="J174" s="28" t="str">
        <f t="shared" si="12"/>
        <v>08804782District Design and Led2</v>
      </c>
      <c r="K174" s="30">
        <v>8046</v>
      </c>
      <c r="L174" s="30">
        <v>7631</v>
      </c>
      <c r="M174" s="30"/>
      <c r="N174" s="30">
        <v>0</v>
      </c>
      <c r="O174" s="30">
        <v>0</v>
      </c>
      <c r="P174" s="30">
        <v>0</v>
      </c>
      <c r="Q174" s="30">
        <v>0</v>
      </c>
      <c r="R174" s="30">
        <v>0</v>
      </c>
      <c r="S174" s="30">
        <v>0</v>
      </c>
      <c r="T174" s="30">
        <v>0</v>
      </c>
      <c r="U174" s="30"/>
      <c r="V174" s="30"/>
      <c r="W174" s="30"/>
      <c r="X174" s="30"/>
      <c r="Y174" t="s">
        <v>6499</v>
      </c>
    </row>
    <row r="175" spans="1:25" x14ac:dyDescent="0.3">
      <c r="A175" s="2" t="s">
        <v>667</v>
      </c>
      <c r="B175" s="2" t="s">
        <v>719</v>
      </c>
      <c r="C175" s="2" t="s">
        <v>668</v>
      </c>
      <c r="D175" s="2" t="s">
        <v>720</v>
      </c>
      <c r="E175" s="28" t="s">
        <v>6463</v>
      </c>
      <c r="F175" s="28" t="str">
        <f t="shared" si="13"/>
        <v>08804782Diagnostic Review 18-19</v>
      </c>
      <c r="G175" s="28" t="s">
        <v>6240</v>
      </c>
      <c r="H175" s="28" t="str">
        <f t="shared" si="11"/>
        <v>08804782Diagnostic Review</v>
      </c>
      <c r="I175" s="29">
        <v>3</v>
      </c>
      <c r="J175" s="28" t="str">
        <f t="shared" si="12"/>
        <v>08804782Diagnostic Review3</v>
      </c>
      <c r="K175" s="30"/>
      <c r="L175" s="30">
        <v>18296</v>
      </c>
      <c r="M175" s="30"/>
      <c r="N175" s="30">
        <v>0</v>
      </c>
      <c r="O175" s="30">
        <v>0</v>
      </c>
      <c r="P175" s="30">
        <v>0</v>
      </c>
      <c r="Q175" s="30">
        <v>0</v>
      </c>
      <c r="R175" s="30">
        <v>0</v>
      </c>
      <c r="S175" s="30">
        <v>0</v>
      </c>
      <c r="T175" s="30">
        <v>0</v>
      </c>
      <c r="U175" s="30"/>
      <c r="V175" s="30"/>
      <c r="W175" s="30"/>
      <c r="X175" s="30"/>
      <c r="Y175" t="s">
        <v>6499</v>
      </c>
    </row>
    <row r="176" spans="1:25" x14ac:dyDescent="0.3">
      <c r="A176" s="2" t="s">
        <v>667</v>
      </c>
      <c r="B176" s="2" t="s">
        <v>719</v>
      </c>
      <c r="C176" s="2" t="s">
        <v>668</v>
      </c>
      <c r="D176" s="2" t="s">
        <v>720</v>
      </c>
      <c r="E176" s="28" t="s">
        <v>6477</v>
      </c>
      <c r="F176" s="28" t="str">
        <f t="shared" si="13"/>
        <v>08804782District Design and Led 18-21</v>
      </c>
      <c r="G176" s="28" t="s">
        <v>6233</v>
      </c>
      <c r="H176" s="28" t="str">
        <f t="shared" si="11"/>
        <v>08804782District Design and Led</v>
      </c>
      <c r="I176" s="29">
        <v>3</v>
      </c>
      <c r="J176" s="28" t="str">
        <f t="shared" si="12"/>
        <v>08804782District Design and Led3</v>
      </c>
      <c r="K176" s="30"/>
      <c r="L176" s="30">
        <v>7837</v>
      </c>
      <c r="M176" s="30"/>
      <c r="N176" s="30">
        <v>0</v>
      </c>
      <c r="O176" s="30">
        <v>0</v>
      </c>
      <c r="P176" s="30">
        <v>0</v>
      </c>
      <c r="Q176" s="30">
        <v>0</v>
      </c>
      <c r="R176" s="30">
        <v>0</v>
      </c>
      <c r="S176" s="30">
        <v>0</v>
      </c>
      <c r="T176" s="30">
        <v>0</v>
      </c>
      <c r="U176" s="30"/>
      <c r="V176" s="30"/>
      <c r="W176" s="30"/>
      <c r="X176" s="30"/>
      <c r="Y176" t="s">
        <v>6499</v>
      </c>
    </row>
    <row r="177" spans="1:25" x14ac:dyDescent="0.3">
      <c r="A177" s="2" t="s">
        <v>667</v>
      </c>
      <c r="B177" s="2" t="s">
        <v>697</v>
      </c>
      <c r="C177" s="2" t="s">
        <v>668</v>
      </c>
      <c r="D177" s="2" t="s">
        <v>698</v>
      </c>
      <c r="E177" s="2" t="s">
        <v>6484</v>
      </c>
      <c r="F177" s="28" t="str">
        <f t="shared" si="13"/>
        <v>08804795School Turnaround Leaders Program</v>
      </c>
      <c r="G177" s="2" t="s">
        <v>6241</v>
      </c>
      <c r="H177" s="28" t="str">
        <f t="shared" si="11"/>
        <v>08804795School Turnaround Leadership Development Program</v>
      </c>
      <c r="I177" s="29">
        <v>2</v>
      </c>
      <c r="J177" s="28" t="str">
        <f t="shared" si="12"/>
        <v>08804795School Turnaround Leadership Development Program2</v>
      </c>
      <c r="K177" s="30"/>
      <c r="L177" s="30">
        <v>7837</v>
      </c>
      <c r="M177" s="30"/>
      <c r="N177" s="30">
        <v>0</v>
      </c>
      <c r="O177" s="30" t="s">
        <v>6462</v>
      </c>
      <c r="P177" s="30" t="s">
        <v>6462</v>
      </c>
      <c r="Q177" s="30">
        <v>0</v>
      </c>
      <c r="R177" s="30">
        <v>0</v>
      </c>
      <c r="S177" s="30">
        <v>0</v>
      </c>
      <c r="T177" s="30">
        <v>0</v>
      </c>
      <c r="U177" s="30"/>
      <c r="V177" s="30"/>
      <c r="W177" s="30"/>
      <c r="X177" s="30"/>
      <c r="Y177" t="s">
        <v>6499</v>
      </c>
    </row>
    <row r="178" spans="1:25" x14ac:dyDescent="0.3">
      <c r="A178" s="2" t="s">
        <v>667</v>
      </c>
      <c r="B178" s="2" t="s">
        <v>697</v>
      </c>
      <c r="C178" s="2" t="s">
        <v>668</v>
      </c>
      <c r="D178" s="2" t="s">
        <v>698</v>
      </c>
      <c r="E178" s="28" t="s">
        <v>6477</v>
      </c>
      <c r="F178" s="28" t="str">
        <f t="shared" si="13"/>
        <v>08804795District Design and Led 18-21</v>
      </c>
      <c r="G178" s="28" t="s">
        <v>6233</v>
      </c>
      <c r="H178" s="28" t="str">
        <f t="shared" si="11"/>
        <v>08804795District Design and Led</v>
      </c>
      <c r="I178" s="29">
        <v>3</v>
      </c>
      <c r="J178" s="28" t="str">
        <f t="shared" si="12"/>
        <v>08804795District Design and Led3</v>
      </c>
      <c r="K178" s="30"/>
      <c r="L178" s="30">
        <v>14191</v>
      </c>
      <c r="M178" s="30"/>
      <c r="N178" s="30">
        <v>0</v>
      </c>
      <c r="O178" s="30">
        <v>0</v>
      </c>
      <c r="P178" s="30">
        <v>0</v>
      </c>
      <c r="Q178" s="30">
        <v>0</v>
      </c>
      <c r="R178" s="30">
        <v>0</v>
      </c>
      <c r="S178" s="30">
        <v>0</v>
      </c>
      <c r="T178" s="30">
        <v>0</v>
      </c>
      <c r="U178" s="30"/>
      <c r="V178" s="30"/>
      <c r="W178" s="30"/>
      <c r="X178" s="30"/>
      <c r="Y178" t="s">
        <v>6499</v>
      </c>
    </row>
    <row r="179" spans="1:25" x14ac:dyDescent="0.3">
      <c r="A179" s="2" t="s">
        <v>667</v>
      </c>
      <c r="B179" s="2" t="s">
        <v>3823</v>
      </c>
      <c r="C179" s="2" t="s">
        <v>668</v>
      </c>
      <c r="D179" s="2" t="s">
        <v>3824</v>
      </c>
      <c r="E179" s="28" t="s">
        <v>6477</v>
      </c>
      <c r="F179" s="28" t="str">
        <f t="shared" si="13"/>
        <v>08805044District Design and Led 18-21</v>
      </c>
      <c r="G179" s="28" t="s">
        <v>6233</v>
      </c>
      <c r="H179" s="28" t="str">
        <f t="shared" si="11"/>
        <v>08805044District Design and Led</v>
      </c>
      <c r="I179" s="29">
        <v>3</v>
      </c>
      <c r="J179" s="28" t="str">
        <f t="shared" si="12"/>
        <v>08805044District Design and Led3</v>
      </c>
      <c r="K179" s="30"/>
      <c r="L179" s="30">
        <v>7837</v>
      </c>
      <c r="M179" s="30"/>
      <c r="N179" s="30">
        <v>0</v>
      </c>
      <c r="O179" s="30">
        <v>0</v>
      </c>
      <c r="P179" s="30">
        <v>81780</v>
      </c>
      <c r="Q179" s="30">
        <v>0</v>
      </c>
      <c r="R179" s="30">
        <v>0</v>
      </c>
      <c r="S179" s="30">
        <v>0</v>
      </c>
      <c r="T179" s="30">
        <v>0</v>
      </c>
      <c r="U179" s="30"/>
      <c r="V179" s="30"/>
      <c r="W179" s="30"/>
      <c r="X179" s="30"/>
      <c r="Y179" t="s">
        <v>6499</v>
      </c>
    </row>
    <row r="180" spans="1:25" x14ac:dyDescent="0.3">
      <c r="A180" s="2" t="s">
        <v>667</v>
      </c>
      <c r="B180" s="2" t="s">
        <v>4561</v>
      </c>
      <c r="C180" s="2" t="s">
        <v>668</v>
      </c>
      <c r="D180" s="2" t="s">
        <v>4562</v>
      </c>
      <c r="E180" s="28" t="s">
        <v>6477</v>
      </c>
      <c r="F180" s="28" t="str">
        <f t="shared" si="13"/>
        <v>08805255District Design and Led 18-21</v>
      </c>
      <c r="G180" s="28" t="s">
        <v>6233</v>
      </c>
      <c r="H180" s="28" t="str">
        <f t="shared" si="11"/>
        <v>08805255District Design and Led</v>
      </c>
      <c r="I180" s="29">
        <v>3</v>
      </c>
      <c r="J180" s="28" t="str">
        <f t="shared" si="12"/>
        <v>08805255District Design and Led3</v>
      </c>
      <c r="K180" s="30"/>
      <c r="L180" s="30">
        <v>14191</v>
      </c>
      <c r="M180" s="30"/>
      <c r="N180" s="30">
        <v>0</v>
      </c>
      <c r="O180" s="30">
        <v>0</v>
      </c>
      <c r="P180" s="30">
        <v>0</v>
      </c>
      <c r="Q180" s="30">
        <v>0</v>
      </c>
      <c r="R180" s="30">
        <v>0</v>
      </c>
      <c r="S180" s="30">
        <v>0</v>
      </c>
      <c r="T180" s="30">
        <v>0</v>
      </c>
      <c r="U180" s="30"/>
      <c r="V180" s="30"/>
      <c r="W180" s="30"/>
      <c r="X180" s="30"/>
      <c r="Y180" t="s">
        <v>6499</v>
      </c>
    </row>
    <row r="181" spans="1:25" x14ac:dyDescent="0.3">
      <c r="A181" s="28" t="s">
        <v>667</v>
      </c>
      <c r="B181" s="2" t="s">
        <v>4561</v>
      </c>
      <c r="C181" s="2" t="s">
        <v>668</v>
      </c>
      <c r="D181" s="2" t="s">
        <v>4562</v>
      </c>
      <c r="E181" s="2" t="s">
        <v>6484</v>
      </c>
      <c r="F181" s="28" t="str">
        <f t="shared" si="13"/>
        <v>08805255School Turnaround Leaders Program</v>
      </c>
      <c r="G181" s="2" t="s">
        <v>6241</v>
      </c>
      <c r="H181" s="28" t="str">
        <f t="shared" si="11"/>
        <v>08805255School Turnaround Leadership Development Program</v>
      </c>
      <c r="I181" s="29">
        <v>3</v>
      </c>
      <c r="J181" s="28" t="str">
        <f t="shared" si="12"/>
        <v>08805255School Turnaround Leadership Development Program3</v>
      </c>
      <c r="K181" s="32"/>
      <c r="L181" s="32"/>
      <c r="M181" s="32"/>
      <c r="N181" s="30">
        <v>38617</v>
      </c>
      <c r="O181" s="30"/>
      <c r="P181" s="30"/>
      <c r="Q181" s="30">
        <v>0</v>
      </c>
      <c r="R181" s="30">
        <v>0</v>
      </c>
      <c r="S181" s="30">
        <v>0</v>
      </c>
      <c r="T181" s="30">
        <v>0</v>
      </c>
      <c r="U181" s="30"/>
      <c r="V181" s="30"/>
      <c r="W181" s="30"/>
      <c r="X181" s="30"/>
      <c r="Y181" t="s">
        <v>6499</v>
      </c>
    </row>
    <row r="182" spans="1:25" x14ac:dyDescent="0.3">
      <c r="A182" s="2" t="s">
        <v>667</v>
      </c>
      <c r="B182" s="28" t="s">
        <v>4561</v>
      </c>
      <c r="C182" s="2" t="s">
        <v>668</v>
      </c>
      <c r="D182" s="2" t="s">
        <v>4562</v>
      </c>
      <c r="E182" s="28" t="s">
        <v>6457</v>
      </c>
      <c r="F182" s="28" t="s">
        <v>6458</v>
      </c>
      <c r="G182" s="28" t="s">
        <v>6234</v>
      </c>
      <c r="H182" s="28" t="str">
        <f t="shared" si="11"/>
        <v>08805255Connect For Success</v>
      </c>
      <c r="I182" s="29">
        <v>4</v>
      </c>
      <c r="J182" s="28" t="str">
        <f t="shared" si="12"/>
        <v>08805255Connect For Success4</v>
      </c>
      <c r="K182" s="30"/>
      <c r="L182" s="30"/>
      <c r="M182" s="30"/>
      <c r="N182" s="30"/>
      <c r="O182" s="30"/>
      <c r="P182" s="30"/>
      <c r="Q182" s="30">
        <v>20000</v>
      </c>
      <c r="R182" s="30">
        <v>0</v>
      </c>
      <c r="S182" s="30">
        <v>0</v>
      </c>
      <c r="T182" s="30">
        <v>80000</v>
      </c>
      <c r="U182" s="30"/>
      <c r="V182" s="30"/>
      <c r="W182" s="30"/>
      <c r="X182" s="30"/>
      <c r="Y182" t="s">
        <v>6499</v>
      </c>
    </row>
    <row r="183" spans="1:25" x14ac:dyDescent="0.3">
      <c r="A183" s="2" t="s">
        <v>667</v>
      </c>
      <c r="B183" s="2" t="s">
        <v>4561</v>
      </c>
      <c r="C183" s="2" t="s">
        <v>668</v>
      </c>
      <c r="D183" s="2" t="s">
        <v>4562</v>
      </c>
      <c r="E183" s="2" t="s">
        <v>6457</v>
      </c>
      <c r="F183" s="28" t="s">
        <v>6483</v>
      </c>
      <c r="G183" s="2" t="s">
        <v>6241</v>
      </c>
      <c r="H183" s="28" t="str">
        <f t="shared" si="11"/>
        <v>08805255School Turnaround Leadership Development Program</v>
      </c>
      <c r="I183" s="29">
        <v>4</v>
      </c>
      <c r="J183" s="28" t="str">
        <f t="shared" si="12"/>
        <v>08805255School Turnaround Leadership Development Program4</v>
      </c>
      <c r="K183" s="32"/>
      <c r="L183" s="32"/>
      <c r="M183" s="32"/>
      <c r="N183" s="30"/>
      <c r="O183" s="30"/>
      <c r="P183" s="30"/>
      <c r="Q183" s="30">
        <v>24000</v>
      </c>
      <c r="R183" s="30">
        <v>0</v>
      </c>
      <c r="S183" s="30">
        <v>0</v>
      </c>
      <c r="T183" s="30">
        <v>5680</v>
      </c>
      <c r="U183" s="30"/>
      <c r="V183" s="30"/>
      <c r="W183" s="30"/>
      <c r="X183" s="30"/>
      <c r="Y183" t="s">
        <v>6499</v>
      </c>
    </row>
    <row r="184" spans="1:25" x14ac:dyDescent="0.3">
      <c r="A184" s="2" t="s">
        <v>667</v>
      </c>
      <c r="B184" s="2" t="s">
        <v>2312</v>
      </c>
      <c r="C184" s="2" t="s">
        <v>668</v>
      </c>
      <c r="D184" s="2" t="s">
        <v>2313</v>
      </c>
      <c r="E184" s="2" t="s">
        <v>6484</v>
      </c>
      <c r="F184" s="28" t="str">
        <f t="shared" ref="F184:F192" si="14">A184&amp;B184&amp;E184</f>
        <v>08805448School Turnaround Leaders Program</v>
      </c>
      <c r="G184" s="2" t="s">
        <v>6241</v>
      </c>
      <c r="H184" s="28" t="str">
        <f t="shared" si="11"/>
        <v>08805448School Turnaround Leadership Development Program</v>
      </c>
      <c r="I184" s="29">
        <v>2</v>
      </c>
      <c r="J184" s="28" t="str">
        <f t="shared" si="12"/>
        <v>08805448School Turnaround Leadership Development Program2</v>
      </c>
      <c r="K184" s="32"/>
      <c r="L184" s="32">
        <v>94153</v>
      </c>
      <c r="M184" s="32"/>
      <c r="N184" s="30">
        <v>0</v>
      </c>
      <c r="O184" s="30" t="s">
        <v>6462</v>
      </c>
      <c r="P184" s="30" t="s">
        <v>6462</v>
      </c>
      <c r="Q184" s="30">
        <v>0</v>
      </c>
      <c r="R184" s="30">
        <v>0</v>
      </c>
      <c r="S184" s="30">
        <v>0</v>
      </c>
      <c r="T184" s="30">
        <v>0</v>
      </c>
      <c r="U184" s="30"/>
      <c r="V184" s="30"/>
      <c r="W184" s="30"/>
      <c r="X184" s="30"/>
      <c r="Y184" t="s">
        <v>6499</v>
      </c>
    </row>
    <row r="185" spans="1:25" x14ac:dyDescent="0.3">
      <c r="A185" s="2" t="s">
        <v>667</v>
      </c>
      <c r="B185" s="2" t="s">
        <v>1608</v>
      </c>
      <c r="C185" s="2" t="s">
        <v>668</v>
      </c>
      <c r="D185" s="2" t="s">
        <v>1609</v>
      </c>
      <c r="E185" s="28" t="s">
        <v>6463</v>
      </c>
      <c r="F185" s="28" t="str">
        <f t="shared" si="14"/>
        <v>08805578Diagnostic Review 18-19</v>
      </c>
      <c r="G185" s="28" t="s">
        <v>6240</v>
      </c>
      <c r="H185" s="28" t="str">
        <f t="shared" si="11"/>
        <v>08805578Diagnostic Review</v>
      </c>
      <c r="I185" s="29">
        <v>3</v>
      </c>
      <c r="J185" s="28" t="str">
        <f t="shared" si="12"/>
        <v>08805578Diagnostic Review3</v>
      </c>
      <c r="K185" s="30"/>
      <c r="L185" s="30">
        <v>18296</v>
      </c>
      <c r="M185" s="30"/>
      <c r="N185" s="30">
        <v>0</v>
      </c>
      <c r="O185" s="30">
        <v>0</v>
      </c>
      <c r="P185" s="30">
        <v>0</v>
      </c>
      <c r="Q185" s="30">
        <v>0</v>
      </c>
      <c r="R185" s="30">
        <v>0</v>
      </c>
      <c r="S185" s="30">
        <v>0</v>
      </c>
      <c r="T185" s="30">
        <v>0</v>
      </c>
      <c r="U185" s="30"/>
      <c r="V185" s="30"/>
      <c r="W185" s="30"/>
      <c r="X185" s="30"/>
      <c r="Y185" t="s">
        <v>6499</v>
      </c>
    </row>
    <row r="186" spans="1:25" x14ac:dyDescent="0.3">
      <c r="A186" s="2" t="s">
        <v>667</v>
      </c>
      <c r="B186" s="2" t="s">
        <v>4601</v>
      </c>
      <c r="C186" s="2" t="s">
        <v>668</v>
      </c>
      <c r="D186" s="2" t="s">
        <v>4602</v>
      </c>
      <c r="E186" s="28" t="s">
        <v>6477</v>
      </c>
      <c r="F186" s="28" t="str">
        <f t="shared" si="14"/>
        <v>08805605District Design and Led 18-21</v>
      </c>
      <c r="G186" s="28" t="s">
        <v>6233</v>
      </c>
      <c r="H186" s="28" t="str">
        <f t="shared" si="11"/>
        <v>08805605District Design and Led</v>
      </c>
      <c r="I186" s="29">
        <v>3</v>
      </c>
      <c r="J186" s="28" t="str">
        <f t="shared" si="12"/>
        <v>08805605District Design and Led3</v>
      </c>
      <c r="K186" s="30"/>
      <c r="L186" s="30">
        <v>14191</v>
      </c>
      <c r="M186" s="30"/>
      <c r="N186" s="30">
        <v>0</v>
      </c>
      <c r="O186" s="30">
        <v>0</v>
      </c>
      <c r="P186" s="30">
        <v>0</v>
      </c>
      <c r="Q186" s="30">
        <v>0</v>
      </c>
      <c r="R186" s="30">
        <v>0</v>
      </c>
      <c r="S186" s="30">
        <v>0</v>
      </c>
      <c r="T186" s="30">
        <v>0</v>
      </c>
      <c r="U186" s="30"/>
      <c r="V186" s="30"/>
      <c r="W186" s="30"/>
      <c r="X186" s="30"/>
      <c r="Y186" t="s">
        <v>6499</v>
      </c>
    </row>
    <row r="187" spans="1:25" x14ac:dyDescent="0.3">
      <c r="A187" s="28" t="s">
        <v>667</v>
      </c>
      <c r="B187" s="2" t="s">
        <v>5958</v>
      </c>
      <c r="C187" s="2" t="s">
        <v>668</v>
      </c>
      <c r="D187" s="2" t="s">
        <v>5959</v>
      </c>
      <c r="E187" s="28" t="s">
        <v>6456</v>
      </c>
      <c r="F187" s="28" t="str">
        <f t="shared" si="14"/>
        <v>08805621Connect For Success 18-21</v>
      </c>
      <c r="G187" s="28" t="s">
        <v>6234</v>
      </c>
      <c r="H187" s="28" t="str">
        <f t="shared" si="11"/>
        <v>08805621Connect For Success</v>
      </c>
      <c r="I187" s="29">
        <v>2</v>
      </c>
      <c r="J187" s="28" t="str">
        <f t="shared" si="12"/>
        <v>08805621Connect For Success2</v>
      </c>
      <c r="K187" s="30"/>
      <c r="L187" s="30">
        <v>21452</v>
      </c>
      <c r="M187" s="30">
        <v>78540</v>
      </c>
      <c r="N187" s="30">
        <v>0</v>
      </c>
      <c r="O187" s="30">
        <v>87232</v>
      </c>
      <c r="P187" s="30">
        <v>0</v>
      </c>
      <c r="Q187" s="30">
        <v>0</v>
      </c>
      <c r="R187" s="30">
        <v>0</v>
      </c>
      <c r="S187" s="30">
        <v>0</v>
      </c>
      <c r="T187" s="30">
        <v>0</v>
      </c>
      <c r="U187" s="30"/>
      <c r="V187" s="30"/>
      <c r="W187" s="30"/>
      <c r="X187" s="30"/>
      <c r="Y187" t="s">
        <v>6499</v>
      </c>
    </row>
    <row r="188" spans="1:25" x14ac:dyDescent="0.3">
      <c r="A188" s="2" t="s">
        <v>667</v>
      </c>
      <c r="B188" s="2" t="s">
        <v>4587</v>
      </c>
      <c r="C188" s="2" t="s">
        <v>668</v>
      </c>
      <c r="D188" s="2" t="s">
        <v>4588</v>
      </c>
      <c r="E188" s="28" t="s">
        <v>6473</v>
      </c>
      <c r="F188" s="28" t="str">
        <f t="shared" si="14"/>
        <v>08805844District Design and Led 17-20</v>
      </c>
      <c r="G188" s="28" t="s">
        <v>6233</v>
      </c>
      <c r="H188" s="28" t="str">
        <f t="shared" si="11"/>
        <v>08805844District Design and Led</v>
      </c>
      <c r="I188" s="29">
        <v>2</v>
      </c>
      <c r="J188" s="28" t="str">
        <f t="shared" si="12"/>
        <v>08805844District Design and Led2</v>
      </c>
      <c r="K188" s="30">
        <v>8046</v>
      </c>
      <c r="L188" s="30">
        <v>7631</v>
      </c>
      <c r="M188" s="30"/>
      <c r="N188" s="30">
        <v>0</v>
      </c>
      <c r="O188" s="30">
        <v>0</v>
      </c>
      <c r="P188" s="30">
        <v>0</v>
      </c>
      <c r="Q188" s="30">
        <v>0</v>
      </c>
      <c r="R188" s="30">
        <v>0</v>
      </c>
      <c r="S188" s="30">
        <v>0</v>
      </c>
      <c r="T188" s="30">
        <v>0</v>
      </c>
      <c r="U188" s="30"/>
      <c r="V188" s="30"/>
      <c r="W188" s="30"/>
      <c r="X188" s="30"/>
      <c r="Y188" t="s">
        <v>6499</v>
      </c>
    </row>
    <row r="189" spans="1:25" x14ac:dyDescent="0.3">
      <c r="A189" s="2" t="s">
        <v>667</v>
      </c>
      <c r="B189" s="2" t="s">
        <v>4587</v>
      </c>
      <c r="C189" s="2" t="s">
        <v>668</v>
      </c>
      <c r="D189" s="2" t="s">
        <v>4588</v>
      </c>
      <c r="E189" s="28" t="s">
        <v>6477</v>
      </c>
      <c r="F189" s="28" t="str">
        <f t="shared" si="14"/>
        <v>08805844District Design and Led 18-21</v>
      </c>
      <c r="G189" s="28" t="s">
        <v>6233</v>
      </c>
      <c r="H189" s="28" t="str">
        <f t="shared" si="11"/>
        <v>08805844District Design and Led</v>
      </c>
      <c r="I189" s="29">
        <v>3</v>
      </c>
      <c r="J189" s="28" t="str">
        <f t="shared" si="12"/>
        <v>08805844District Design and Led3</v>
      </c>
      <c r="K189" s="30"/>
      <c r="L189" s="30">
        <v>7837</v>
      </c>
      <c r="M189" s="30"/>
      <c r="N189" s="30">
        <v>0</v>
      </c>
      <c r="O189" s="30">
        <v>0</v>
      </c>
      <c r="P189" s="30">
        <v>81780</v>
      </c>
      <c r="Q189" s="30">
        <v>0</v>
      </c>
      <c r="R189" s="30">
        <v>0</v>
      </c>
      <c r="S189" s="30">
        <v>0</v>
      </c>
      <c r="T189" s="30">
        <v>0</v>
      </c>
      <c r="U189" s="30"/>
      <c r="V189" s="30"/>
      <c r="W189" s="30"/>
      <c r="X189" s="30"/>
      <c r="Y189" t="s">
        <v>6499</v>
      </c>
    </row>
    <row r="190" spans="1:25" x14ac:dyDescent="0.3">
      <c r="A190" s="2" t="s">
        <v>667</v>
      </c>
      <c r="B190" s="28" t="s">
        <v>4587</v>
      </c>
      <c r="C190" s="2" t="s">
        <v>668</v>
      </c>
      <c r="D190" s="2" t="s">
        <v>4588</v>
      </c>
      <c r="E190" s="28" t="s">
        <v>6481</v>
      </c>
      <c r="F190" s="28" t="str">
        <f t="shared" si="14"/>
        <v>08805844Expansion</v>
      </c>
      <c r="G190" s="28" t="s">
        <v>6233</v>
      </c>
      <c r="H190" s="28" t="str">
        <f t="shared" si="11"/>
        <v>08805844District Design and Led</v>
      </c>
      <c r="I190" s="29">
        <v>4</v>
      </c>
      <c r="J190" s="28" t="str">
        <f t="shared" si="12"/>
        <v>08805844District Design and Led4</v>
      </c>
      <c r="K190" s="30"/>
      <c r="L190" s="30"/>
      <c r="M190" s="30"/>
      <c r="N190" s="30"/>
      <c r="O190" s="30"/>
      <c r="P190" s="30"/>
      <c r="Q190" s="30">
        <v>0</v>
      </c>
      <c r="R190" s="30">
        <v>0</v>
      </c>
      <c r="S190" s="30">
        <v>0</v>
      </c>
      <c r="T190" s="30">
        <v>50000</v>
      </c>
      <c r="U190" s="30"/>
      <c r="V190" s="30"/>
      <c r="W190" s="30"/>
      <c r="X190" s="30"/>
      <c r="Y190" t="s">
        <v>6499</v>
      </c>
    </row>
    <row r="191" spans="1:25" x14ac:dyDescent="0.3">
      <c r="A191" s="2" t="s">
        <v>667</v>
      </c>
      <c r="B191" s="2" t="s">
        <v>705</v>
      </c>
      <c r="C191" s="2" t="s">
        <v>668</v>
      </c>
      <c r="D191" s="2" t="s">
        <v>706</v>
      </c>
      <c r="E191" s="28" t="s">
        <v>6473</v>
      </c>
      <c r="F191" s="28" t="str">
        <f t="shared" si="14"/>
        <v>08806002District Design and Led 17-20</v>
      </c>
      <c r="G191" s="28" t="s">
        <v>6233</v>
      </c>
      <c r="H191" s="28" t="str">
        <f t="shared" si="11"/>
        <v>08806002District Design and Led</v>
      </c>
      <c r="I191" s="29">
        <v>2</v>
      </c>
      <c r="J191" s="28" t="str">
        <f t="shared" si="12"/>
        <v>08806002District Design and Led2</v>
      </c>
      <c r="K191" s="30">
        <v>18112</v>
      </c>
      <c r="L191" s="30">
        <v>14908</v>
      </c>
      <c r="M191" s="30"/>
      <c r="N191" s="30">
        <v>0</v>
      </c>
      <c r="O191" s="30">
        <v>0</v>
      </c>
      <c r="P191" s="30">
        <v>0</v>
      </c>
      <c r="Q191" s="30">
        <v>0</v>
      </c>
      <c r="R191" s="30">
        <v>0</v>
      </c>
      <c r="S191" s="30">
        <v>0</v>
      </c>
      <c r="T191" s="30">
        <v>0</v>
      </c>
      <c r="U191" s="30"/>
      <c r="V191" s="30"/>
      <c r="W191" s="30"/>
      <c r="X191" s="30"/>
      <c r="Y191" t="s">
        <v>6499</v>
      </c>
    </row>
    <row r="192" spans="1:25" x14ac:dyDescent="0.3">
      <c r="A192" s="2" t="s">
        <v>667</v>
      </c>
      <c r="B192" s="2" t="s">
        <v>705</v>
      </c>
      <c r="C192" s="2" t="s">
        <v>668</v>
      </c>
      <c r="D192" s="2" t="s">
        <v>706</v>
      </c>
      <c r="E192" s="28" t="s">
        <v>6463</v>
      </c>
      <c r="F192" s="28" t="str">
        <f t="shared" si="14"/>
        <v>08806002Diagnostic Review 18-19</v>
      </c>
      <c r="G192" s="28" t="s">
        <v>6240</v>
      </c>
      <c r="H192" s="28" t="str">
        <f t="shared" si="11"/>
        <v>08806002Diagnostic Review</v>
      </c>
      <c r="I192" s="29">
        <v>3</v>
      </c>
      <c r="J192" s="28" t="str">
        <f t="shared" si="12"/>
        <v>08806002Diagnostic Review3</v>
      </c>
      <c r="K192" s="30"/>
      <c r="L192" s="30">
        <v>18296</v>
      </c>
      <c r="M192" s="30"/>
      <c r="N192" s="30">
        <v>0</v>
      </c>
      <c r="O192" s="30">
        <v>0</v>
      </c>
      <c r="P192" s="30">
        <v>0</v>
      </c>
      <c r="Q192" s="30">
        <v>0</v>
      </c>
      <c r="R192" s="30">
        <v>0</v>
      </c>
      <c r="S192" s="30">
        <v>0</v>
      </c>
      <c r="T192" s="30">
        <v>0</v>
      </c>
      <c r="U192" s="30"/>
      <c r="V192" s="30"/>
      <c r="W192" s="30"/>
      <c r="X192" s="30"/>
      <c r="Y192" t="s">
        <v>6499</v>
      </c>
    </row>
    <row r="193" spans="1:25" x14ac:dyDescent="0.3">
      <c r="A193" s="2" t="s">
        <v>667</v>
      </c>
      <c r="B193" s="28" t="s">
        <v>705</v>
      </c>
      <c r="C193" s="2" t="s">
        <v>668</v>
      </c>
      <c r="D193" s="2" t="s">
        <v>706</v>
      </c>
      <c r="E193" s="28" t="s">
        <v>6457</v>
      </c>
      <c r="F193" s="28" t="s">
        <v>6237</v>
      </c>
      <c r="G193" s="28" t="s">
        <v>6237</v>
      </c>
      <c r="H193" s="28" t="str">
        <f t="shared" si="11"/>
        <v>08806002Turnaround Network</v>
      </c>
      <c r="I193" s="29">
        <v>4</v>
      </c>
      <c r="J193" s="28" t="str">
        <f t="shared" si="12"/>
        <v>08806002Turnaround Network4</v>
      </c>
      <c r="K193" s="32"/>
      <c r="L193" s="32"/>
      <c r="M193" s="32"/>
      <c r="N193" s="30"/>
      <c r="O193" s="32"/>
      <c r="P193" s="32"/>
      <c r="Q193" s="30">
        <v>30000</v>
      </c>
      <c r="R193" s="30">
        <v>0</v>
      </c>
      <c r="S193" s="30">
        <v>0</v>
      </c>
      <c r="T193" s="30">
        <v>0</v>
      </c>
      <c r="U193" s="30"/>
      <c r="V193" s="30"/>
      <c r="W193" s="30"/>
      <c r="X193" s="30"/>
      <c r="Y193" t="s">
        <v>6499</v>
      </c>
    </row>
    <row r="194" spans="1:25" x14ac:dyDescent="0.3">
      <c r="A194" s="2" t="s">
        <v>667</v>
      </c>
      <c r="B194" s="2" t="s">
        <v>5962</v>
      </c>
      <c r="C194" s="2" t="s">
        <v>668</v>
      </c>
      <c r="D194" s="2" t="s">
        <v>5963</v>
      </c>
      <c r="E194" s="2" t="s">
        <v>6484</v>
      </c>
      <c r="F194" s="28" t="str">
        <f>A194&amp;B194&amp;E194</f>
        <v>08806239School Turnaround Leaders Program</v>
      </c>
      <c r="G194" s="2" t="s">
        <v>6241</v>
      </c>
      <c r="H194" s="28" t="str">
        <f t="shared" ref="H194:H257" si="15">A194&amp;B194&amp;G194</f>
        <v>08806239School Turnaround Leadership Development Program</v>
      </c>
      <c r="I194" s="29">
        <v>2</v>
      </c>
      <c r="J194" s="28" t="str">
        <f t="shared" ref="J194:J257" si="16">H194&amp;I194</f>
        <v>08806239School Turnaround Leadership Development Program2</v>
      </c>
      <c r="K194" s="32"/>
      <c r="L194" s="32">
        <v>94153</v>
      </c>
      <c r="M194" s="32"/>
      <c r="N194" s="30">
        <v>0</v>
      </c>
      <c r="O194" s="30" t="s">
        <v>6462</v>
      </c>
      <c r="P194" s="30" t="s">
        <v>6462</v>
      </c>
      <c r="Q194" s="30">
        <v>0</v>
      </c>
      <c r="R194" s="30">
        <v>0</v>
      </c>
      <c r="S194" s="30">
        <v>0</v>
      </c>
      <c r="T194" s="30">
        <v>0</v>
      </c>
      <c r="U194" s="30"/>
      <c r="V194" s="30"/>
      <c r="W194" s="30"/>
      <c r="X194" s="30"/>
      <c r="Y194" t="s">
        <v>6499</v>
      </c>
    </row>
    <row r="195" spans="1:25" x14ac:dyDescent="0.3">
      <c r="A195" s="2" t="s">
        <v>667</v>
      </c>
      <c r="B195" s="2" t="s">
        <v>5962</v>
      </c>
      <c r="C195" s="2" t="s">
        <v>668</v>
      </c>
      <c r="D195" s="2" t="s">
        <v>5963</v>
      </c>
      <c r="E195" s="28" t="s">
        <v>6468</v>
      </c>
      <c r="F195" s="28" t="s">
        <v>6471</v>
      </c>
      <c r="G195" s="28" t="s">
        <v>6240</v>
      </c>
      <c r="H195" s="28" t="str">
        <f t="shared" si="15"/>
        <v>08806239Diagnostic Review</v>
      </c>
      <c r="I195" s="29">
        <v>4</v>
      </c>
      <c r="J195" s="28" t="str">
        <f t="shared" si="16"/>
        <v>08806239Diagnostic Review4</v>
      </c>
      <c r="K195" s="30"/>
      <c r="L195" s="30"/>
      <c r="M195" s="30"/>
      <c r="N195" s="30"/>
      <c r="O195" s="30"/>
      <c r="P195" s="30"/>
      <c r="Q195" s="30">
        <v>20000</v>
      </c>
      <c r="R195" s="30">
        <v>0</v>
      </c>
      <c r="S195" s="30">
        <v>0</v>
      </c>
      <c r="T195" s="30">
        <v>20000</v>
      </c>
      <c r="U195" s="30"/>
      <c r="V195" s="30"/>
      <c r="W195" s="30"/>
      <c r="X195" s="30"/>
      <c r="Y195" t="s">
        <v>6499</v>
      </c>
    </row>
    <row r="196" spans="1:25" x14ac:dyDescent="0.3">
      <c r="A196" s="2" t="s">
        <v>667</v>
      </c>
      <c r="B196" s="2" t="s">
        <v>4571</v>
      </c>
      <c r="C196" s="2" t="s">
        <v>668</v>
      </c>
      <c r="D196" s="2" t="s">
        <v>4572</v>
      </c>
      <c r="E196" s="28" t="s">
        <v>6477</v>
      </c>
      <c r="F196" s="28" t="str">
        <f t="shared" ref="F196:F201" si="17">A196&amp;B196&amp;E196</f>
        <v>08806308District Design and Led 18-21</v>
      </c>
      <c r="G196" s="28" t="s">
        <v>6233</v>
      </c>
      <c r="H196" s="28" t="str">
        <f t="shared" si="15"/>
        <v>08806308District Design and Led</v>
      </c>
      <c r="I196" s="29">
        <v>3</v>
      </c>
      <c r="J196" s="28" t="str">
        <f t="shared" si="16"/>
        <v>08806308District Design and Led3</v>
      </c>
      <c r="K196" s="30"/>
      <c r="L196" s="30">
        <v>7837</v>
      </c>
      <c r="M196" s="30"/>
      <c r="N196" s="30">
        <v>0</v>
      </c>
      <c r="O196" s="30">
        <v>0</v>
      </c>
      <c r="P196" s="30">
        <v>81780</v>
      </c>
      <c r="Q196" s="30">
        <v>0</v>
      </c>
      <c r="R196" s="30">
        <v>0</v>
      </c>
      <c r="S196" s="30">
        <v>0</v>
      </c>
      <c r="T196" s="30">
        <v>0</v>
      </c>
      <c r="U196" s="30"/>
      <c r="V196" s="30"/>
      <c r="W196" s="30"/>
      <c r="X196" s="30"/>
      <c r="Y196" t="s">
        <v>6499</v>
      </c>
    </row>
    <row r="197" spans="1:25" x14ac:dyDescent="0.3">
      <c r="A197" s="2" t="s">
        <v>667</v>
      </c>
      <c r="B197" s="28" t="s">
        <v>4571</v>
      </c>
      <c r="C197" s="2" t="s">
        <v>668</v>
      </c>
      <c r="D197" s="2" t="s">
        <v>4572</v>
      </c>
      <c r="E197" s="28" t="s">
        <v>6481</v>
      </c>
      <c r="F197" s="28" t="str">
        <f t="shared" si="17"/>
        <v>08806308Expansion</v>
      </c>
      <c r="G197" s="28" t="s">
        <v>6233</v>
      </c>
      <c r="H197" s="28" t="str">
        <f t="shared" si="15"/>
        <v>08806308District Design and Led</v>
      </c>
      <c r="I197" s="29">
        <v>4</v>
      </c>
      <c r="J197" s="28" t="str">
        <f t="shared" si="16"/>
        <v>08806308District Design and Led4</v>
      </c>
      <c r="K197" s="30"/>
      <c r="L197" s="30"/>
      <c r="M197" s="30"/>
      <c r="N197" s="30"/>
      <c r="O197" s="30"/>
      <c r="P197" s="30"/>
      <c r="Q197" s="30">
        <v>0</v>
      </c>
      <c r="R197" s="30">
        <v>0</v>
      </c>
      <c r="S197" s="30">
        <v>0</v>
      </c>
      <c r="T197" s="30">
        <v>50000</v>
      </c>
      <c r="U197" s="30"/>
      <c r="V197" s="30"/>
      <c r="W197" s="30"/>
      <c r="X197" s="30"/>
      <c r="Y197" t="s">
        <v>6499</v>
      </c>
    </row>
    <row r="198" spans="1:25" x14ac:dyDescent="0.3">
      <c r="A198" s="28" t="s">
        <v>667</v>
      </c>
      <c r="B198" s="28" t="s">
        <v>4571</v>
      </c>
      <c r="C198" s="2" t="s">
        <v>668</v>
      </c>
      <c r="D198" s="2" t="s">
        <v>4572</v>
      </c>
      <c r="E198" s="28" t="s">
        <v>6457</v>
      </c>
      <c r="F198" s="28" t="str">
        <f t="shared" si="17"/>
        <v>08806308OfferedServices</v>
      </c>
      <c r="G198" s="28" t="s">
        <v>6237</v>
      </c>
      <c r="H198" s="28" t="str">
        <f t="shared" si="15"/>
        <v>08806308Turnaround Network</v>
      </c>
      <c r="I198" s="29">
        <v>5</v>
      </c>
      <c r="J198" s="28" t="str">
        <f t="shared" si="16"/>
        <v>08806308Turnaround Network5</v>
      </c>
      <c r="K198" s="30">
        <v>0</v>
      </c>
      <c r="L198" s="30">
        <v>0</v>
      </c>
      <c r="M198" s="30">
        <v>0</v>
      </c>
      <c r="N198" s="30">
        <v>0</v>
      </c>
      <c r="O198" s="30">
        <v>0</v>
      </c>
      <c r="P198" s="30">
        <v>0</v>
      </c>
      <c r="Q198" s="30">
        <v>0</v>
      </c>
      <c r="R198" s="30">
        <v>0</v>
      </c>
      <c r="S198" s="30">
        <v>0</v>
      </c>
      <c r="T198" s="30">
        <v>0</v>
      </c>
      <c r="U198" s="30">
        <v>0</v>
      </c>
      <c r="V198" s="30">
        <v>30000</v>
      </c>
      <c r="W198" s="30">
        <v>75000</v>
      </c>
      <c r="X198" s="30">
        <v>30000</v>
      </c>
      <c r="Y198" t="s">
        <v>6499</v>
      </c>
    </row>
    <row r="199" spans="1:25" x14ac:dyDescent="0.3">
      <c r="A199" s="2" t="s">
        <v>667</v>
      </c>
      <c r="B199" s="2" t="s">
        <v>1610</v>
      </c>
      <c r="C199" s="2" t="s">
        <v>668</v>
      </c>
      <c r="D199" s="2" t="s">
        <v>1611</v>
      </c>
      <c r="E199" s="2" t="s">
        <v>6484</v>
      </c>
      <c r="F199" s="28" t="str">
        <f t="shared" si="17"/>
        <v>08806508School Turnaround Leaders Program</v>
      </c>
      <c r="G199" s="2" t="s">
        <v>6241</v>
      </c>
      <c r="H199" s="28" t="str">
        <f t="shared" si="15"/>
        <v>08806508School Turnaround Leadership Development Program</v>
      </c>
      <c r="I199" s="29">
        <v>2</v>
      </c>
      <c r="J199" s="28" t="str">
        <f t="shared" si="16"/>
        <v>08806508School Turnaround Leadership Development Program2</v>
      </c>
      <c r="K199" s="32"/>
      <c r="L199" s="32">
        <v>48510</v>
      </c>
      <c r="M199" s="32"/>
      <c r="N199" s="30">
        <v>0</v>
      </c>
      <c r="O199" s="30">
        <v>35983.200000000004</v>
      </c>
      <c r="P199" s="30"/>
      <c r="Q199" s="30">
        <v>0</v>
      </c>
      <c r="R199" s="30">
        <v>0</v>
      </c>
      <c r="S199" s="30">
        <v>0</v>
      </c>
      <c r="T199" s="30">
        <v>0</v>
      </c>
      <c r="U199" s="30"/>
      <c r="V199" s="30"/>
      <c r="W199" s="30"/>
      <c r="X199" s="30"/>
      <c r="Y199" t="s">
        <v>6499</v>
      </c>
    </row>
    <row r="200" spans="1:25" x14ac:dyDescent="0.3">
      <c r="A200" s="2" t="s">
        <v>667</v>
      </c>
      <c r="B200" s="2" t="s">
        <v>3079</v>
      </c>
      <c r="C200" s="2" t="s">
        <v>668</v>
      </c>
      <c r="D200" s="2" t="s">
        <v>3080</v>
      </c>
      <c r="E200" s="28" t="s">
        <v>6477</v>
      </c>
      <c r="F200" s="28" t="str">
        <f t="shared" si="17"/>
        <v>08806970District Design and Led 18-21</v>
      </c>
      <c r="G200" s="28" t="s">
        <v>6233</v>
      </c>
      <c r="H200" s="28" t="str">
        <f t="shared" si="15"/>
        <v>08806970District Design and Led</v>
      </c>
      <c r="I200" s="29">
        <v>3</v>
      </c>
      <c r="J200" s="28" t="str">
        <f t="shared" si="16"/>
        <v>08806970District Design and Led3</v>
      </c>
      <c r="K200" s="30"/>
      <c r="L200" s="30">
        <v>14191</v>
      </c>
      <c r="M200" s="30"/>
      <c r="N200" s="30">
        <v>0</v>
      </c>
      <c r="O200" s="30">
        <v>0</v>
      </c>
      <c r="P200" s="30">
        <v>0</v>
      </c>
      <c r="Q200" s="30">
        <v>0</v>
      </c>
      <c r="R200" s="30">
        <v>0</v>
      </c>
      <c r="S200" s="30">
        <v>0</v>
      </c>
      <c r="T200" s="30">
        <v>0</v>
      </c>
      <c r="U200" s="30"/>
      <c r="V200" s="30"/>
      <c r="W200" s="30"/>
      <c r="X200" s="30"/>
      <c r="Y200" t="s">
        <v>6499</v>
      </c>
    </row>
    <row r="201" spans="1:25" x14ac:dyDescent="0.3">
      <c r="A201" s="2" t="s">
        <v>667</v>
      </c>
      <c r="B201" s="2" t="s">
        <v>3079</v>
      </c>
      <c r="C201" s="2" t="s">
        <v>668</v>
      </c>
      <c r="D201" s="2" t="s">
        <v>3080</v>
      </c>
      <c r="E201" s="28" t="s">
        <v>6477</v>
      </c>
      <c r="F201" s="28" t="str">
        <f t="shared" si="17"/>
        <v>08806970District Design and Led 18-21</v>
      </c>
      <c r="G201" s="28" t="s">
        <v>6233</v>
      </c>
      <c r="H201" s="28" t="str">
        <f t="shared" si="15"/>
        <v>08806970District Design and Led</v>
      </c>
      <c r="I201" s="29">
        <v>3</v>
      </c>
      <c r="J201" s="28" t="str">
        <f t="shared" si="16"/>
        <v>08806970District Design and Led3</v>
      </c>
      <c r="K201" s="32"/>
      <c r="L201" s="32">
        <v>28278</v>
      </c>
      <c r="M201" s="32"/>
      <c r="N201" s="30">
        <v>0</v>
      </c>
      <c r="O201" s="32">
        <v>0</v>
      </c>
      <c r="P201" s="32">
        <v>0</v>
      </c>
      <c r="Q201" s="30">
        <v>0</v>
      </c>
      <c r="R201" s="30">
        <v>0</v>
      </c>
      <c r="S201" s="30">
        <v>0</v>
      </c>
      <c r="T201" s="30">
        <v>0</v>
      </c>
      <c r="U201" s="30"/>
      <c r="V201" s="30"/>
      <c r="W201" s="30"/>
      <c r="X201" s="30"/>
      <c r="Y201" t="s">
        <v>6499</v>
      </c>
    </row>
    <row r="202" spans="1:25" x14ac:dyDescent="0.3">
      <c r="A202" s="2" t="s">
        <v>667</v>
      </c>
      <c r="B202" s="2" t="s">
        <v>3079</v>
      </c>
      <c r="C202" s="2" t="s">
        <v>668</v>
      </c>
      <c r="D202" s="2" t="s">
        <v>3080</v>
      </c>
      <c r="E202" s="2" t="s">
        <v>6457</v>
      </c>
      <c r="F202" s="28" t="s">
        <v>6483</v>
      </c>
      <c r="G202" s="2" t="s">
        <v>6241</v>
      </c>
      <c r="H202" s="28" t="str">
        <f t="shared" si="15"/>
        <v>08806970School Turnaround Leadership Development Program</v>
      </c>
      <c r="I202" s="29">
        <v>4</v>
      </c>
      <c r="J202" s="28" t="str">
        <f t="shared" si="16"/>
        <v>08806970School Turnaround Leadership Development Program4</v>
      </c>
      <c r="K202" s="32"/>
      <c r="L202" s="32"/>
      <c r="M202" s="32"/>
      <c r="N202" s="30"/>
      <c r="O202" s="30"/>
      <c r="P202" s="30"/>
      <c r="Q202" s="30">
        <v>12000</v>
      </c>
      <c r="R202" s="30">
        <v>0</v>
      </c>
      <c r="S202" s="30">
        <v>0</v>
      </c>
      <c r="T202" s="30">
        <v>2840</v>
      </c>
      <c r="U202" s="30"/>
      <c r="V202" s="30"/>
      <c r="W202" s="30"/>
      <c r="X202" s="30"/>
      <c r="Y202" t="s">
        <v>6499</v>
      </c>
    </row>
    <row r="203" spans="1:25" x14ac:dyDescent="0.3">
      <c r="A203" s="2" t="s">
        <v>667</v>
      </c>
      <c r="B203" s="2" t="s">
        <v>3077</v>
      </c>
      <c r="C203" s="2" t="s">
        <v>668</v>
      </c>
      <c r="D203" s="2" t="s">
        <v>3078</v>
      </c>
      <c r="E203" s="28" t="s">
        <v>6477</v>
      </c>
      <c r="F203" s="28" t="str">
        <f>A203&amp;B203&amp;E203</f>
        <v>08807163District Design and Led 18-21</v>
      </c>
      <c r="G203" s="28" t="s">
        <v>6233</v>
      </c>
      <c r="H203" s="28" t="str">
        <f t="shared" si="15"/>
        <v>08807163District Design and Led</v>
      </c>
      <c r="I203" s="29">
        <v>3</v>
      </c>
      <c r="J203" s="28" t="str">
        <f t="shared" si="16"/>
        <v>08807163District Design and Led3</v>
      </c>
      <c r="K203" s="30"/>
      <c r="L203" s="30">
        <v>14191</v>
      </c>
      <c r="M203" s="30"/>
      <c r="N203" s="30">
        <v>0</v>
      </c>
      <c r="O203" s="30">
        <v>0</v>
      </c>
      <c r="P203" s="30">
        <v>0</v>
      </c>
      <c r="Q203" s="30">
        <v>0</v>
      </c>
      <c r="R203" s="30">
        <v>0</v>
      </c>
      <c r="S203" s="30">
        <v>0</v>
      </c>
      <c r="T203" s="30">
        <v>0</v>
      </c>
      <c r="U203" s="30"/>
      <c r="V203" s="30"/>
      <c r="W203" s="30"/>
      <c r="X203" s="30"/>
      <c r="Y203" t="s">
        <v>6499</v>
      </c>
    </row>
    <row r="204" spans="1:25" x14ac:dyDescent="0.3">
      <c r="A204" s="2" t="s">
        <v>667</v>
      </c>
      <c r="B204" s="2" t="s">
        <v>3077</v>
      </c>
      <c r="C204" s="2" t="s">
        <v>668</v>
      </c>
      <c r="D204" s="2" t="s">
        <v>3078</v>
      </c>
      <c r="E204" s="28" t="s">
        <v>6477</v>
      </c>
      <c r="F204" s="28" t="str">
        <f>A204&amp;B204&amp;E204</f>
        <v>08807163District Design and Led 18-21</v>
      </c>
      <c r="G204" s="28" t="s">
        <v>6233</v>
      </c>
      <c r="H204" s="28" t="str">
        <f t="shared" si="15"/>
        <v>08807163District Design and Led</v>
      </c>
      <c r="I204" s="29">
        <v>3</v>
      </c>
      <c r="J204" s="28" t="str">
        <f t="shared" si="16"/>
        <v>08807163District Design and Led3</v>
      </c>
      <c r="K204" s="32"/>
      <c r="L204" s="32">
        <v>7837</v>
      </c>
      <c r="M204" s="32"/>
      <c r="N204" s="30">
        <v>0</v>
      </c>
      <c r="O204" s="32">
        <v>0</v>
      </c>
      <c r="P204" s="32">
        <v>0</v>
      </c>
      <c r="Q204" s="30">
        <v>0</v>
      </c>
      <c r="R204" s="30">
        <v>0</v>
      </c>
      <c r="S204" s="30">
        <v>0</v>
      </c>
      <c r="T204" s="30">
        <v>0</v>
      </c>
      <c r="U204" s="30"/>
      <c r="V204" s="30"/>
      <c r="W204" s="30"/>
      <c r="X204" s="30"/>
      <c r="Y204" t="s">
        <v>6499</v>
      </c>
    </row>
    <row r="205" spans="1:25" x14ac:dyDescent="0.3">
      <c r="A205" s="2" t="s">
        <v>667</v>
      </c>
      <c r="B205" s="28" t="s">
        <v>3077</v>
      </c>
      <c r="C205" s="2" t="s">
        <v>668</v>
      </c>
      <c r="D205" s="2" t="s">
        <v>3078</v>
      </c>
      <c r="E205" s="28" t="s">
        <v>6457</v>
      </c>
      <c r="F205" s="28" t="s">
        <v>6458</v>
      </c>
      <c r="G205" s="28" t="s">
        <v>6234</v>
      </c>
      <c r="H205" s="28" t="str">
        <f t="shared" si="15"/>
        <v>08807163Connect For Success</v>
      </c>
      <c r="I205" s="29">
        <v>4</v>
      </c>
      <c r="J205" s="28" t="str">
        <f t="shared" si="16"/>
        <v>08807163Connect For Success4</v>
      </c>
      <c r="K205" s="30"/>
      <c r="L205" s="30"/>
      <c r="M205" s="30"/>
      <c r="N205" s="30"/>
      <c r="O205" s="30"/>
      <c r="P205" s="30"/>
      <c r="Q205" s="30">
        <v>20000</v>
      </c>
      <c r="R205" s="30">
        <v>0</v>
      </c>
      <c r="S205" s="30">
        <v>0</v>
      </c>
      <c r="T205" s="30">
        <v>80000</v>
      </c>
      <c r="U205" s="30"/>
      <c r="V205" s="30"/>
      <c r="W205" s="30"/>
      <c r="X205" s="30"/>
      <c r="Y205" t="s">
        <v>6499</v>
      </c>
    </row>
    <row r="206" spans="1:25" x14ac:dyDescent="0.3">
      <c r="A206" s="2" t="s">
        <v>667</v>
      </c>
      <c r="B206" s="2" t="s">
        <v>5266</v>
      </c>
      <c r="C206" s="2" t="s">
        <v>668</v>
      </c>
      <c r="D206" s="2" t="s">
        <v>5267</v>
      </c>
      <c r="E206" s="28" t="s">
        <v>6473</v>
      </c>
      <c r="F206" s="28" t="str">
        <f>A206&amp;B206&amp;E206</f>
        <v>08807188District Design and Led 17-20</v>
      </c>
      <c r="G206" s="28" t="s">
        <v>6233</v>
      </c>
      <c r="H206" s="28" t="str">
        <f t="shared" si="15"/>
        <v>08807188District Design and Led</v>
      </c>
      <c r="I206" s="29">
        <v>2</v>
      </c>
      <c r="J206" s="28" t="str">
        <f t="shared" si="16"/>
        <v>08807188District Design and Led2</v>
      </c>
      <c r="K206" s="30">
        <v>18112</v>
      </c>
      <c r="L206" s="30">
        <v>14908</v>
      </c>
      <c r="M206" s="30"/>
      <c r="N206" s="30">
        <v>0</v>
      </c>
      <c r="O206" s="30">
        <v>0</v>
      </c>
      <c r="P206" s="30">
        <v>0</v>
      </c>
      <c r="Q206" s="30">
        <v>0</v>
      </c>
      <c r="R206" s="30">
        <v>0</v>
      </c>
      <c r="S206" s="30">
        <v>0</v>
      </c>
      <c r="T206" s="30">
        <v>0</v>
      </c>
      <c r="U206" s="30"/>
      <c r="V206" s="30"/>
      <c r="W206" s="30"/>
      <c r="X206" s="30"/>
      <c r="Y206" t="s">
        <v>6499</v>
      </c>
    </row>
    <row r="207" spans="1:25" x14ac:dyDescent="0.3">
      <c r="A207" s="2" t="s">
        <v>667</v>
      </c>
      <c r="B207" s="2" t="s">
        <v>5266</v>
      </c>
      <c r="C207" s="2" t="s">
        <v>668</v>
      </c>
      <c r="D207" s="2" t="s">
        <v>5267</v>
      </c>
      <c r="E207" s="28" t="s">
        <v>6477</v>
      </c>
      <c r="F207" s="28" t="str">
        <f>A207&amp;B207&amp;E207</f>
        <v>08807188District Design and Led 18-21</v>
      </c>
      <c r="G207" s="28" t="s">
        <v>6233</v>
      </c>
      <c r="H207" s="28" t="str">
        <f t="shared" si="15"/>
        <v>08807188District Design and Led</v>
      </c>
      <c r="I207" s="29">
        <v>3</v>
      </c>
      <c r="J207" s="28" t="str">
        <f t="shared" si="16"/>
        <v>08807188District Design and Led3</v>
      </c>
      <c r="K207" s="30"/>
      <c r="L207" s="30">
        <v>28278</v>
      </c>
      <c r="M207" s="30"/>
      <c r="N207" s="30">
        <v>0</v>
      </c>
      <c r="O207" s="30">
        <v>0</v>
      </c>
      <c r="P207" s="30">
        <v>0</v>
      </c>
      <c r="Q207" s="30">
        <v>0</v>
      </c>
      <c r="R207" s="30">
        <v>0</v>
      </c>
      <c r="S207" s="30">
        <v>0</v>
      </c>
      <c r="T207" s="30">
        <v>0</v>
      </c>
      <c r="U207" s="30"/>
      <c r="V207" s="30"/>
      <c r="W207" s="30"/>
      <c r="X207" s="30"/>
      <c r="Y207" t="s">
        <v>6499</v>
      </c>
    </row>
    <row r="208" spans="1:25" x14ac:dyDescent="0.3">
      <c r="A208" s="2" t="s">
        <v>667</v>
      </c>
      <c r="B208" s="28" t="s">
        <v>5266</v>
      </c>
      <c r="C208" s="2" t="s">
        <v>668</v>
      </c>
      <c r="D208" s="2" t="s">
        <v>5267</v>
      </c>
      <c r="E208" s="28" t="s">
        <v>6457</v>
      </c>
      <c r="F208" s="28" t="s">
        <v>6458</v>
      </c>
      <c r="G208" s="28" t="s">
        <v>6234</v>
      </c>
      <c r="H208" s="28" t="str">
        <f t="shared" si="15"/>
        <v>08807188Connect For Success</v>
      </c>
      <c r="I208" s="29">
        <v>4</v>
      </c>
      <c r="J208" s="28" t="str">
        <f t="shared" si="16"/>
        <v>08807188Connect For Success4</v>
      </c>
      <c r="K208" s="30"/>
      <c r="L208" s="30"/>
      <c r="M208" s="30"/>
      <c r="N208" s="30"/>
      <c r="O208" s="30"/>
      <c r="P208" s="30"/>
      <c r="Q208" s="30">
        <v>20000</v>
      </c>
      <c r="R208" s="30">
        <v>0</v>
      </c>
      <c r="S208" s="30">
        <v>0</v>
      </c>
      <c r="T208" s="30">
        <v>80000</v>
      </c>
      <c r="U208" s="30"/>
      <c r="V208" s="30"/>
      <c r="W208" s="30"/>
      <c r="X208" s="30"/>
      <c r="Y208" t="s">
        <v>6499</v>
      </c>
    </row>
    <row r="209" spans="1:25" x14ac:dyDescent="0.3">
      <c r="A209" s="2" t="s">
        <v>667</v>
      </c>
      <c r="B209" s="2" t="s">
        <v>1596</v>
      </c>
      <c r="C209" s="2" t="s">
        <v>668</v>
      </c>
      <c r="D209" s="2" t="s">
        <v>1597</v>
      </c>
      <c r="E209" s="28" t="s">
        <v>6477</v>
      </c>
      <c r="F209" s="28" t="str">
        <f>A209&amp;B209&amp;E209</f>
        <v>08807361District Design and Led 18-21</v>
      </c>
      <c r="G209" s="28" t="s">
        <v>6233</v>
      </c>
      <c r="H209" s="28" t="str">
        <f t="shared" si="15"/>
        <v>08807361District Design and Led</v>
      </c>
      <c r="I209" s="29">
        <v>3</v>
      </c>
      <c r="J209" s="28" t="str">
        <f t="shared" si="16"/>
        <v>08807361District Design and Led3</v>
      </c>
      <c r="K209" s="30"/>
      <c r="L209" s="30">
        <v>7837</v>
      </c>
      <c r="M209" s="30"/>
      <c r="N209" s="30">
        <v>0</v>
      </c>
      <c r="O209" s="30">
        <v>0</v>
      </c>
      <c r="P209" s="30">
        <v>0</v>
      </c>
      <c r="Q209" s="30">
        <v>0</v>
      </c>
      <c r="R209" s="30">
        <v>0</v>
      </c>
      <c r="S209" s="30">
        <v>0</v>
      </c>
      <c r="T209" s="30">
        <v>0</v>
      </c>
      <c r="U209" s="30"/>
      <c r="V209" s="30"/>
      <c r="W209" s="30"/>
      <c r="X209" s="30"/>
      <c r="Y209" t="s">
        <v>6499</v>
      </c>
    </row>
    <row r="210" spans="1:25" x14ac:dyDescent="0.3">
      <c r="A210" s="2" t="s">
        <v>667</v>
      </c>
      <c r="B210" s="2" t="s">
        <v>1596</v>
      </c>
      <c r="C210" s="2" t="s">
        <v>668</v>
      </c>
      <c r="D210" s="2" t="s">
        <v>1597</v>
      </c>
      <c r="E210" s="2" t="s">
        <v>6457</v>
      </c>
      <c r="F210" s="28" t="s">
        <v>6483</v>
      </c>
      <c r="G210" s="2" t="s">
        <v>6241</v>
      </c>
      <c r="H210" s="28" t="str">
        <f t="shared" si="15"/>
        <v>08807361School Turnaround Leadership Development Program</v>
      </c>
      <c r="I210" s="29">
        <v>4</v>
      </c>
      <c r="J210" s="28" t="str">
        <f t="shared" si="16"/>
        <v>08807361School Turnaround Leadership Development Program4</v>
      </c>
      <c r="K210" s="32"/>
      <c r="L210" s="32"/>
      <c r="M210" s="32"/>
      <c r="N210" s="30"/>
      <c r="O210" s="30"/>
      <c r="P210" s="30"/>
      <c r="Q210" s="30">
        <v>60000</v>
      </c>
      <c r="R210" s="30">
        <v>0</v>
      </c>
      <c r="S210" s="30">
        <v>0</v>
      </c>
      <c r="T210" s="30">
        <v>40000</v>
      </c>
      <c r="U210" s="30"/>
      <c r="V210" s="30"/>
      <c r="W210" s="30"/>
      <c r="X210" s="30"/>
      <c r="Y210" t="s">
        <v>6499</v>
      </c>
    </row>
    <row r="211" spans="1:25" x14ac:dyDescent="0.3">
      <c r="A211" s="2" t="s">
        <v>667</v>
      </c>
      <c r="B211" s="2" t="s">
        <v>2325</v>
      </c>
      <c r="C211" s="2" t="s">
        <v>668</v>
      </c>
      <c r="D211" s="2" t="s">
        <v>2326</v>
      </c>
      <c r="E211" s="2" t="s">
        <v>6484</v>
      </c>
      <c r="F211" s="28" t="str">
        <f t="shared" ref="F211:F230" si="18">A211&amp;B211&amp;E211</f>
        <v>08807694School Turnaround Leaders Program</v>
      </c>
      <c r="G211" s="2" t="s">
        <v>6241</v>
      </c>
      <c r="H211" s="28" t="str">
        <f t="shared" si="15"/>
        <v>08807694School Turnaround Leadership Development Program</v>
      </c>
      <c r="I211" s="29">
        <v>2</v>
      </c>
      <c r="J211" s="28" t="str">
        <f t="shared" si="16"/>
        <v>08807694School Turnaround Leadership Development Program2</v>
      </c>
      <c r="K211" s="32"/>
      <c r="L211" s="32">
        <v>50105</v>
      </c>
      <c r="M211" s="32"/>
      <c r="N211" s="30">
        <v>0</v>
      </c>
      <c r="O211" s="30" t="s">
        <v>6462</v>
      </c>
      <c r="P211" s="30" t="s">
        <v>6462</v>
      </c>
      <c r="Q211" s="30">
        <v>0</v>
      </c>
      <c r="R211" s="30">
        <v>0</v>
      </c>
      <c r="S211" s="30">
        <v>0</v>
      </c>
      <c r="T211" s="30">
        <v>0</v>
      </c>
      <c r="U211" s="30"/>
      <c r="V211" s="30"/>
      <c r="W211" s="30"/>
      <c r="X211" s="30"/>
      <c r="Y211" t="s">
        <v>6499</v>
      </c>
    </row>
    <row r="212" spans="1:25" x14ac:dyDescent="0.3">
      <c r="A212" s="2" t="s">
        <v>667</v>
      </c>
      <c r="B212" s="2" t="s">
        <v>2325</v>
      </c>
      <c r="C212" s="2" t="s">
        <v>668</v>
      </c>
      <c r="D212" s="2" t="s">
        <v>2326</v>
      </c>
      <c r="E212" s="28" t="s">
        <v>6477</v>
      </c>
      <c r="F212" s="28" t="str">
        <f t="shared" si="18"/>
        <v>08807694District Design and Led 18-21</v>
      </c>
      <c r="G212" s="28" t="s">
        <v>6233</v>
      </c>
      <c r="H212" s="28" t="str">
        <f t="shared" si="15"/>
        <v>08807694District Design and Led</v>
      </c>
      <c r="I212" s="29">
        <v>3</v>
      </c>
      <c r="J212" s="28" t="str">
        <f t="shared" si="16"/>
        <v>08807694District Design and Led3</v>
      </c>
      <c r="K212" s="30"/>
      <c r="L212" s="30">
        <v>14191</v>
      </c>
      <c r="M212" s="30"/>
      <c r="N212" s="30">
        <v>0</v>
      </c>
      <c r="O212" s="30">
        <v>0</v>
      </c>
      <c r="P212" s="30">
        <v>0</v>
      </c>
      <c r="Q212" s="30">
        <v>0</v>
      </c>
      <c r="R212" s="30">
        <v>0</v>
      </c>
      <c r="S212" s="30">
        <v>0</v>
      </c>
      <c r="T212" s="30">
        <v>0</v>
      </c>
      <c r="U212" s="30"/>
      <c r="V212" s="30"/>
      <c r="W212" s="30"/>
      <c r="X212" s="30"/>
      <c r="Y212" t="s">
        <v>6499</v>
      </c>
    </row>
    <row r="213" spans="1:25" x14ac:dyDescent="0.3">
      <c r="A213" s="2" t="s">
        <v>667</v>
      </c>
      <c r="B213" s="2" t="s">
        <v>3071</v>
      </c>
      <c r="C213" s="2" t="s">
        <v>668</v>
      </c>
      <c r="D213" s="2" t="s">
        <v>3072</v>
      </c>
      <c r="E213" s="28" t="s">
        <v>6473</v>
      </c>
      <c r="F213" s="28" t="str">
        <f t="shared" si="18"/>
        <v>08807698District Design and Led 17-20</v>
      </c>
      <c r="G213" s="28" t="s">
        <v>6233</v>
      </c>
      <c r="H213" s="28" t="str">
        <f t="shared" si="15"/>
        <v>08807698District Design and Led</v>
      </c>
      <c r="I213" s="29">
        <v>2</v>
      </c>
      <c r="J213" s="28" t="str">
        <f t="shared" si="16"/>
        <v>08807698District Design and Led2</v>
      </c>
      <c r="K213" s="30">
        <v>18112</v>
      </c>
      <c r="L213" s="30">
        <v>14908</v>
      </c>
      <c r="M213" s="30"/>
      <c r="N213" s="30">
        <v>0</v>
      </c>
      <c r="O213" s="30">
        <v>0</v>
      </c>
      <c r="P213" s="30">
        <v>0</v>
      </c>
      <c r="Q213" s="30">
        <v>0</v>
      </c>
      <c r="R213" s="30">
        <v>0</v>
      </c>
      <c r="S213" s="30">
        <v>0</v>
      </c>
      <c r="T213" s="30">
        <v>0</v>
      </c>
      <c r="U213" s="30"/>
      <c r="V213" s="30"/>
      <c r="W213" s="30"/>
      <c r="X213" s="30"/>
      <c r="Y213" t="s">
        <v>6499</v>
      </c>
    </row>
    <row r="214" spans="1:25" x14ac:dyDescent="0.3">
      <c r="A214" s="2" t="s">
        <v>667</v>
      </c>
      <c r="B214" s="2" t="s">
        <v>3071</v>
      </c>
      <c r="C214" s="2" t="s">
        <v>668</v>
      </c>
      <c r="D214" s="2" t="s">
        <v>3072</v>
      </c>
      <c r="E214" s="28" t="s">
        <v>6463</v>
      </c>
      <c r="F214" s="28" t="str">
        <f t="shared" si="18"/>
        <v>08807698Diagnostic Review 18-19</v>
      </c>
      <c r="G214" s="28" t="s">
        <v>6240</v>
      </c>
      <c r="H214" s="28" t="str">
        <f t="shared" si="15"/>
        <v>08807698Diagnostic Review</v>
      </c>
      <c r="I214" s="29">
        <v>3</v>
      </c>
      <c r="J214" s="28" t="str">
        <f t="shared" si="16"/>
        <v>08807698Diagnostic Review3</v>
      </c>
      <c r="K214" s="30"/>
      <c r="L214" s="30">
        <v>18296</v>
      </c>
      <c r="M214" s="30"/>
      <c r="N214" s="30">
        <v>0</v>
      </c>
      <c r="O214" s="30">
        <v>0</v>
      </c>
      <c r="P214" s="30">
        <v>0</v>
      </c>
      <c r="Q214" s="30">
        <v>0</v>
      </c>
      <c r="R214" s="30">
        <v>0</v>
      </c>
      <c r="S214" s="30">
        <v>0</v>
      </c>
      <c r="T214" s="30">
        <v>0</v>
      </c>
      <c r="U214" s="30"/>
      <c r="V214" s="30"/>
      <c r="W214" s="30"/>
      <c r="X214" s="30"/>
      <c r="Y214" t="s">
        <v>6499</v>
      </c>
    </row>
    <row r="215" spans="1:25" x14ac:dyDescent="0.3">
      <c r="A215" s="2" t="s">
        <v>667</v>
      </c>
      <c r="B215" s="2" t="s">
        <v>3071</v>
      </c>
      <c r="C215" s="2" t="s">
        <v>668</v>
      </c>
      <c r="D215" s="2" t="s">
        <v>3072</v>
      </c>
      <c r="E215" s="2" t="s">
        <v>6484</v>
      </c>
      <c r="F215" s="28" t="str">
        <f t="shared" si="18"/>
        <v>08807698School Turnaround Leaders Program</v>
      </c>
      <c r="G215" s="2" t="s">
        <v>6241</v>
      </c>
      <c r="H215" s="28" t="str">
        <f t="shared" si="15"/>
        <v>08807698School Turnaround Leadership Development Program</v>
      </c>
      <c r="I215" s="29">
        <v>3</v>
      </c>
      <c r="J215" s="28" t="str">
        <f t="shared" si="16"/>
        <v>08807698School Turnaround Leadership Development Program3</v>
      </c>
      <c r="K215" s="32"/>
      <c r="L215" s="32">
        <v>25053</v>
      </c>
      <c r="M215" s="32"/>
      <c r="N215" s="30">
        <v>0</v>
      </c>
      <c r="O215" s="30" t="s">
        <v>6462</v>
      </c>
      <c r="P215" s="30" t="s">
        <v>6462</v>
      </c>
      <c r="Q215" s="30">
        <v>0</v>
      </c>
      <c r="R215" s="30">
        <v>0</v>
      </c>
      <c r="S215" s="30">
        <v>0</v>
      </c>
      <c r="T215" s="30">
        <v>0</v>
      </c>
      <c r="U215" s="30"/>
      <c r="V215" s="30"/>
      <c r="W215" s="30"/>
      <c r="X215" s="30"/>
      <c r="Y215" t="s">
        <v>6499</v>
      </c>
    </row>
    <row r="216" spans="1:25" x14ac:dyDescent="0.3">
      <c r="A216" s="2" t="s">
        <v>667</v>
      </c>
      <c r="B216" s="2" t="s">
        <v>3877</v>
      </c>
      <c r="C216" s="2" t="s">
        <v>668</v>
      </c>
      <c r="D216" s="2" t="s">
        <v>3878</v>
      </c>
      <c r="E216" s="28" t="s">
        <v>6455</v>
      </c>
      <c r="F216" s="28" t="str">
        <f t="shared" si="18"/>
        <v>08808006Connect For Success 17-20</v>
      </c>
      <c r="G216" s="28" t="s">
        <v>6234</v>
      </c>
      <c r="H216" s="28" t="str">
        <f t="shared" si="15"/>
        <v>08808006Connect For Success</v>
      </c>
      <c r="I216" s="29">
        <v>2</v>
      </c>
      <c r="J216" s="28" t="str">
        <f t="shared" si="16"/>
        <v>08808006Connect For Success2</v>
      </c>
      <c r="K216" s="30">
        <v>18433</v>
      </c>
      <c r="L216" s="30">
        <v>80000</v>
      </c>
      <c r="M216" s="30"/>
      <c r="N216" s="30">
        <v>0</v>
      </c>
      <c r="O216" s="30"/>
      <c r="P216" s="30">
        <v>0</v>
      </c>
      <c r="Q216" s="30">
        <v>0</v>
      </c>
      <c r="R216" s="30">
        <v>0</v>
      </c>
      <c r="S216" s="30">
        <v>0</v>
      </c>
      <c r="T216" s="30">
        <v>0</v>
      </c>
      <c r="U216" s="30"/>
      <c r="V216" s="30"/>
      <c r="W216" s="30"/>
      <c r="X216" s="30"/>
      <c r="Y216" t="s">
        <v>6499</v>
      </c>
    </row>
    <row r="217" spans="1:25" x14ac:dyDescent="0.3">
      <c r="A217" s="2" t="s">
        <v>667</v>
      </c>
      <c r="B217" s="2" t="s">
        <v>3877</v>
      </c>
      <c r="C217" s="2" t="s">
        <v>668</v>
      </c>
      <c r="D217" s="2" t="s">
        <v>3878</v>
      </c>
      <c r="E217" s="28" t="s">
        <v>6477</v>
      </c>
      <c r="F217" s="28" t="str">
        <f t="shared" si="18"/>
        <v>08808006District Design and Led 18-21</v>
      </c>
      <c r="G217" s="28" t="s">
        <v>6233</v>
      </c>
      <c r="H217" s="28" t="str">
        <f t="shared" si="15"/>
        <v>08808006District Design and Led</v>
      </c>
      <c r="I217" s="29">
        <v>3</v>
      </c>
      <c r="J217" s="28" t="str">
        <f t="shared" si="16"/>
        <v>08808006District Design and Led3</v>
      </c>
      <c r="K217" s="30"/>
      <c r="L217" s="30">
        <v>7837</v>
      </c>
      <c r="M217" s="30"/>
      <c r="N217" s="30">
        <v>0</v>
      </c>
      <c r="O217" s="30">
        <v>0</v>
      </c>
      <c r="P217" s="30">
        <v>0</v>
      </c>
      <c r="Q217" s="30">
        <v>0</v>
      </c>
      <c r="R217" s="30">
        <v>0</v>
      </c>
      <c r="S217" s="30">
        <v>0</v>
      </c>
      <c r="T217" s="30">
        <v>0</v>
      </c>
      <c r="U217" s="30"/>
      <c r="V217" s="30"/>
      <c r="W217" s="30"/>
      <c r="X217" s="30"/>
      <c r="Y217" t="s">
        <v>6499</v>
      </c>
    </row>
    <row r="218" spans="1:25" x14ac:dyDescent="0.3">
      <c r="A218" s="2" t="s">
        <v>667</v>
      </c>
      <c r="B218" s="2" t="s">
        <v>3877</v>
      </c>
      <c r="C218" s="2" t="s">
        <v>668</v>
      </c>
      <c r="D218" s="2" t="s">
        <v>3878</v>
      </c>
      <c r="E218" s="2" t="s">
        <v>6484</v>
      </c>
      <c r="F218" s="28" t="str">
        <f t="shared" si="18"/>
        <v>08808006School Turnaround Leaders Program</v>
      </c>
      <c r="G218" s="2" t="s">
        <v>6241</v>
      </c>
      <c r="H218" s="28" t="str">
        <f t="shared" si="15"/>
        <v>08808006School Turnaround Leadership Development Program</v>
      </c>
      <c r="I218" s="29">
        <v>3</v>
      </c>
      <c r="J218" s="28" t="str">
        <f t="shared" si="16"/>
        <v>08808006School Turnaround Leadership Development Program3</v>
      </c>
      <c r="K218" s="32"/>
      <c r="L218" s="32">
        <v>25053</v>
      </c>
      <c r="M218" s="32"/>
      <c r="N218" s="30">
        <v>33255</v>
      </c>
      <c r="O218" s="30" t="s">
        <v>6462</v>
      </c>
      <c r="P218" s="30"/>
      <c r="Q218" s="30">
        <v>0</v>
      </c>
      <c r="R218" s="30">
        <v>0</v>
      </c>
      <c r="S218" s="30">
        <v>0</v>
      </c>
      <c r="T218" s="30">
        <v>0</v>
      </c>
      <c r="U218" s="30"/>
      <c r="V218" s="30"/>
      <c r="W218" s="30"/>
      <c r="X218" s="30"/>
      <c r="Y218" t="s">
        <v>6499</v>
      </c>
    </row>
    <row r="219" spans="1:25" x14ac:dyDescent="0.3">
      <c r="A219" s="2" t="s">
        <v>667</v>
      </c>
      <c r="B219" s="2" t="s">
        <v>4581</v>
      </c>
      <c r="C219" s="2" t="s">
        <v>668</v>
      </c>
      <c r="D219" s="2" t="s">
        <v>4582</v>
      </c>
      <c r="E219" s="28" t="s">
        <v>6463</v>
      </c>
      <c r="F219" s="28" t="str">
        <f t="shared" si="18"/>
        <v>08808145Diagnostic Review 18-19</v>
      </c>
      <c r="G219" s="28" t="s">
        <v>6240</v>
      </c>
      <c r="H219" s="28" t="str">
        <f t="shared" si="15"/>
        <v>08808145Diagnostic Review</v>
      </c>
      <c r="I219" s="29">
        <v>3</v>
      </c>
      <c r="J219" s="28" t="str">
        <f t="shared" si="16"/>
        <v>08808145Diagnostic Review3</v>
      </c>
      <c r="K219" s="30"/>
      <c r="L219" s="30">
        <v>7837</v>
      </c>
      <c r="M219" s="30"/>
      <c r="N219" s="30">
        <v>0</v>
      </c>
      <c r="O219" s="30">
        <v>0</v>
      </c>
      <c r="P219" s="30">
        <v>0</v>
      </c>
      <c r="Q219" s="30">
        <v>0</v>
      </c>
      <c r="R219" s="30">
        <v>0</v>
      </c>
      <c r="S219" s="30">
        <v>0</v>
      </c>
      <c r="T219" s="30">
        <v>0</v>
      </c>
      <c r="U219" s="30"/>
      <c r="V219" s="30"/>
      <c r="W219" s="30"/>
      <c r="X219" s="30"/>
      <c r="Y219" t="s">
        <v>6499</v>
      </c>
    </row>
    <row r="220" spans="1:25" x14ac:dyDescent="0.3">
      <c r="A220" s="2" t="s">
        <v>667</v>
      </c>
      <c r="B220" s="28" t="s">
        <v>4581</v>
      </c>
      <c r="C220" s="2" t="s">
        <v>668</v>
      </c>
      <c r="D220" s="2" t="s">
        <v>4582</v>
      </c>
      <c r="E220" s="28" t="s">
        <v>6477</v>
      </c>
      <c r="F220" s="28" t="str">
        <f t="shared" si="18"/>
        <v>08808145District Design and Led 18-21</v>
      </c>
      <c r="G220" s="28" t="s">
        <v>6233</v>
      </c>
      <c r="H220" s="28" t="str">
        <f t="shared" si="15"/>
        <v>08808145District Design and Led</v>
      </c>
      <c r="I220" s="29">
        <v>3</v>
      </c>
      <c r="J220" s="28" t="str">
        <f t="shared" si="16"/>
        <v>08808145District Design and Led3</v>
      </c>
      <c r="K220" s="30"/>
      <c r="L220" s="30"/>
      <c r="M220" s="30"/>
      <c r="N220" s="30">
        <v>0</v>
      </c>
      <c r="O220" s="30">
        <v>0</v>
      </c>
      <c r="P220" s="30">
        <v>81780</v>
      </c>
      <c r="Q220" s="30">
        <v>0</v>
      </c>
      <c r="R220" s="30">
        <v>0</v>
      </c>
      <c r="S220" s="30">
        <v>0</v>
      </c>
      <c r="T220" s="30">
        <v>0</v>
      </c>
      <c r="U220" s="30"/>
      <c r="V220" s="30"/>
      <c r="W220" s="30"/>
      <c r="X220" s="30"/>
      <c r="Y220" t="s">
        <v>6499</v>
      </c>
    </row>
    <row r="221" spans="1:25" x14ac:dyDescent="0.3">
      <c r="A221" s="2" t="s">
        <v>667</v>
      </c>
      <c r="B221" s="2" t="s">
        <v>4581</v>
      </c>
      <c r="C221" s="2" t="s">
        <v>668</v>
      </c>
      <c r="D221" s="2" t="s">
        <v>4582</v>
      </c>
      <c r="E221" s="2" t="s">
        <v>6484</v>
      </c>
      <c r="F221" s="28" t="str">
        <f t="shared" si="18"/>
        <v>08808145School Turnaround Leaders Program</v>
      </c>
      <c r="G221" s="2" t="s">
        <v>6241</v>
      </c>
      <c r="H221" s="28" t="str">
        <f t="shared" si="15"/>
        <v>08808145School Turnaround Leadership Development Program</v>
      </c>
      <c r="I221" s="29">
        <v>3</v>
      </c>
      <c r="J221" s="28" t="str">
        <f t="shared" si="16"/>
        <v>08808145School Turnaround Leadership Development Program3</v>
      </c>
      <c r="K221" s="32"/>
      <c r="L221" s="32">
        <v>25053</v>
      </c>
      <c r="M221" s="32"/>
      <c r="N221" s="30">
        <v>0</v>
      </c>
      <c r="O221" s="30" t="s">
        <v>6462</v>
      </c>
      <c r="P221" s="30" t="s">
        <v>6462</v>
      </c>
      <c r="Q221" s="30">
        <v>0</v>
      </c>
      <c r="R221" s="30">
        <v>0</v>
      </c>
      <c r="S221" s="30">
        <v>0</v>
      </c>
      <c r="T221" s="30">
        <v>0</v>
      </c>
      <c r="U221" s="30"/>
      <c r="V221" s="30"/>
      <c r="W221" s="30"/>
      <c r="X221" s="30"/>
      <c r="Y221" t="s">
        <v>6499</v>
      </c>
    </row>
    <row r="222" spans="1:25" x14ac:dyDescent="0.3">
      <c r="A222" s="2" t="s">
        <v>667</v>
      </c>
      <c r="B222" s="28" t="s">
        <v>4581</v>
      </c>
      <c r="C222" s="2" t="s">
        <v>668</v>
      </c>
      <c r="D222" s="2" t="s">
        <v>4582</v>
      </c>
      <c r="E222" s="28" t="s">
        <v>6481</v>
      </c>
      <c r="F222" s="28" t="str">
        <f t="shared" si="18"/>
        <v>08808145Expansion</v>
      </c>
      <c r="G222" s="28" t="s">
        <v>6233</v>
      </c>
      <c r="H222" s="28" t="str">
        <f t="shared" si="15"/>
        <v>08808145District Design and Led</v>
      </c>
      <c r="I222" s="29">
        <v>4</v>
      </c>
      <c r="J222" s="28" t="str">
        <f t="shared" si="16"/>
        <v>08808145District Design and Led4</v>
      </c>
      <c r="K222" s="30"/>
      <c r="L222" s="30"/>
      <c r="M222" s="30"/>
      <c r="N222" s="30"/>
      <c r="O222" s="30"/>
      <c r="P222" s="30"/>
      <c r="Q222" s="30">
        <v>0</v>
      </c>
      <c r="R222" s="30">
        <v>0</v>
      </c>
      <c r="S222" s="30">
        <v>0</v>
      </c>
      <c r="T222" s="30">
        <v>50000</v>
      </c>
      <c r="U222" s="30"/>
      <c r="V222" s="30"/>
      <c r="W222" s="30"/>
      <c r="X222" s="30"/>
      <c r="Y222" t="s">
        <v>6499</v>
      </c>
    </row>
    <row r="223" spans="1:25" x14ac:dyDescent="0.3">
      <c r="A223" s="28" t="s">
        <v>667</v>
      </c>
      <c r="B223" s="28" t="s">
        <v>3859</v>
      </c>
      <c r="C223" s="2" t="s">
        <v>668</v>
      </c>
      <c r="D223" s="2" t="s">
        <v>3860</v>
      </c>
      <c r="E223" s="28" t="s">
        <v>6457</v>
      </c>
      <c r="F223" s="28" t="str">
        <f t="shared" si="18"/>
        <v>08808232OfferedServices</v>
      </c>
      <c r="G223" s="2" t="s">
        <v>6241</v>
      </c>
      <c r="H223" s="28" t="str">
        <f t="shared" si="15"/>
        <v>08808232School Turnaround Leadership Development Program</v>
      </c>
      <c r="I223" s="29">
        <v>5</v>
      </c>
      <c r="J223" s="28" t="str">
        <f t="shared" si="16"/>
        <v>08808232School Turnaround Leadership Development Program5</v>
      </c>
      <c r="K223" s="30">
        <v>0</v>
      </c>
      <c r="L223" s="30">
        <v>0</v>
      </c>
      <c r="M223" s="30">
        <v>0</v>
      </c>
      <c r="N223" s="30">
        <v>0</v>
      </c>
      <c r="O223" s="30">
        <v>0</v>
      </c>
      <c r="P223" s="30">
        <v>0</v>
      </c>
      <c r="Q223" s="30">
        <v>0</v>
      </c>
      <c r="R223" s="30">
        <v>0</v>
      </c>
      <c r="S223" s="30">
        <v>0</v>
      </c>
      <c r="T223" s="30">
        <v>0</v>
      </c>
      <c r="U223" s="30">
        <v>0</v>
      </c>
      <c r="V223" s="30">
        <v>16350</v>
      </c>
      <c r="W223" s="30">
        <v>16350</v>
      </c>
      <c r="X223" s="30">
        <v>0</v>
      </c>
      <c r="Y223" t="s">
        <v>6500</v>
      </c>
    </row>
    <row r="224" spans="1:25" x14ac:dyDescent="0.3">
      <c r="A224" s="2" t="s">
        <v>667</v>
      </c>
      <c r="B224" s="2" t="s">
        <v>1612</v>
      </c>
      <c r="C224" s="2" t="s">
        <v>668</v>
      </c>
      <c r="D224" s="2" t="s">
        <v>1613</v>
      </c>
      <c r="E224" s="28" t="s">
        <v>6477</v>
      </c>
      <c r="F224" s="28" t="str">
        <f t="shared" si="18"/>
        <v>08808422District Design and Led 18-21</v>
      </c>
      <c r="G224" s="28" t="s">
        <v>6233</v>
      </c>
      <c r="H224" s="28" t="str">
        <f t="shared" si="15"/>
        <v>08808422District Design and Led</v>
      </c>
      <c r="I224" s="29">
        <v>3</v>
      </c>
      <c r="J224" s="28" t="str">
        <f t="shared" si="16"/>
        <v>08808422District Design and Led3</v>
      </c>
      <c r="K224" s="30"/>
      <c r="L224" s="30">
        <v>7837</v>
      </c>
      <c r="M224" s="30"/>
      <c r="N224" s="30">
        <v>0</v>
      </c>
      <c r="O224" s="30">
        <v>0</v>
      </c>
      <c r="P224" s="30">
        <v>0</v>
      </c>
      <c r="Q224" s="30">
        <v>0</v>
      </c>
      <c r="R224" s="30">
        <v>0</v>
      </c>
      <c r="S224" s="30">
        <v>0</v>
      </c>
      <c r="T224" s="30">
        <v>0</v>
      </c>
      <c r="U224" s="30"/>
      <c r="V224" s="30"/>
      <c r="W224" s="30"/>
      <c r="X224" s="30"/>
      <c r="Y224" t="s">
        <v>6499</v>
      </c>
    </row>
    <row r="225" spans="1:25" x14ac:dyDescent="0.3">
      <c r="A225" s="2" t="s">
        <v>667</v>
      </c>
      <c r="B225" s="2" t="s">
        <v>4609</v>
      </c>
      <c r="C225" s="2" t="s">
        <v>668</v>
      </c>
      <c r="D225" s="2" t="s">
        <v>4610</v>
      </c>
      <c r="E225" s="28" t="s">
        <v>6473</v>
      </c>
      <c r="F225" s="28" t="str">
        <f t="shared" si="18"/>
        <v>08808888District Design and Led 17-20</v>
      </c>
      <c r="G225" s="28" t="s">
        <v>6233</v>
      </c>
      <c r="H225" s="28" t="str">
        <f t="shared" si="15"/>
        <v>08808888District Design and Led</v>
      </c>
      <c r="I225" s="29">
        <v>2</v>
      </c>
      <c r="J225" s="28" t="str">
        <f t="shared" si="16"/>
        <v>08808888District Design and Led2</v>
      </c>
      <c r="K225" s="30">
        <v>8046</v>
      </c>
      <c r="L225" s="30">
        <v>7631</v>
      </c>
      <c r="M225" s="30"/>
      <c r="N225" s="30">
        <v>0</v>
      </c>
      <c r="O225" s="30">
        <v>0</v>
      </c>
      <c r="P225" s="30">
        <v>0</v>
      </c>
      <c r="Q225" s="30">
        <v>0</v>
      </c>
      <c r="R225" s="30">
        <v>0</v>
      </c>
      <c r="S225" s="30">
        <v>0</v>
      </c>
      <c r="T225" s="30">
        <v>0</v>
      </c>
      <c r="U225" s="30"/>
      <c r="V225" s="30"/>
      <c r="W225" s="30"/>
      <c r="X225" s="30"/>
      <c r="Y225" t="s">
        <v>6499</v>
      </c>
    </row>
    <row r="226" spans="1:25" x14ac:dyDescent="0.3">
      <c r="A226" s="2" t="s">
        <v>667</v>
      </c>
      <c r="B226" s="2" t="s">
        <v>4609</v>
      </c>
      <c r="C226" s="2" t="s">
        <v>668</v>
      </c>
      <c r="D226" s="2" t="s">
        <v>4610</v>
      </c>
      <c r="E226" s="28" t="s">
        <v>6477</v>
      </c>
      <c r="F226" s="28" t="str">
        <f t="shared" si="18"/>
        <v>08808888District Design and Led 18-21</v>
      </c>
      <c r="G226" s="28" t="s">
        <v>6233</v>
      </c>
      <c r="H226" s="28" t="str">
        <f t="shared" si="15"/>
        <v>08808888District Design and Led</v>
      </c>
      <c r="I226" s="29">
        <v>3</v>
      </c>
      <c r="J226" s="28" t="str">
        <f t="shared" si="16"/>
        <v>08808888District Design and Led3</v>
      </c>
      <c r="K226" s="30"/>
      <c r="L226" s="30">
        <v>7837</v>
      </c>
      <c r="M226" s="30"/>
      <c r="N226" s="30">
        <v>0</v>
      </c>
      <c r="O226" s="30">
        <v>0</v>
      </c>
      <c r="P226" s="30">
        <v>0</v>
      </c>
      <c r="Q226" s="30">
        <v>0</v>
      </c>
      <c r="R226" s="30">
        <v>0</v>
      </c>
      <c r="S226" s="30">
        <v>0</v>
      </c>
      <c r="T226" s="30">
        <v>0</v>
      </c>
      <c r="U226" s="30"/>
      <c r="V226" s="30"/>
      <c r="W226" s="30"/>
      <c r="X226" s="30"/>
      <c r="Y226" t="s">
        <v>6499</v>
      </c>
    </row>
    <row r="227" spans="1:25" x14ac:dyDescent="0.3">
      <c r="A227" s="2" t="s">
        <v>667</v>
      </c>
      <c r="B227" s="2" t="s">
        <v>4579</v>
      </c>
      <c r="C227" s="2" t="s">
        <v>668</v>
      </c>
      <c r="D227" s="2" t="s">
        <v>4580</v>
      </c>
      <c r="E227" s="28" t="s">
        <v>6477</v>
      </c>
      <c r="F227" s="28" t="str">
        <f t="shared" si="18"/>
        <v>08808995District Design and Led 18-21</v>
      </c>
      <c r="G227" s="28" t="s">
        <v>6233</v>
      </c>
      <c r="H227" s="28" t="str">
        <f t="shared" si="15"/>
        <v>08808995District Design and Led</v>
      </c>
      <c r="I227" s="29">
        <v>3</v>
      </c>
      <c r="J227" s="28" t="str">
        <f t="shared" si="16"/>
        <v>08808995District Design and Led3</v>
      </c>
      <c r="K227" s="30"/>
      <c r="L227" s="30">
        <v>7837</v>
      </c>
      <c r="M227" s="30"/>
      <c r="N227" s="30">
        <v>0</v>
      </c>
      <c r="O227" s="30">
        <v>0</v>
      </c>
      <c r="P227" s="30">
        <v>0</v>
      </c>
      <c r="Q227" s="30">
        <v>0</v>
      </c>
      <c r="R227" s="30">
        <v>0</v>
      </c>
      <c r="S227" s="30">
        <v>0</v>
      </c>
      <c r="T227" s="30">
        <v>0</v>
      </c>
      <c r="U227" s="30"/>
      <c r="V227" s="30"/>
      <c r="W227" s="30"/>
      <c r="X227" s="30"/>
      <c r="Y227" t="s">
        <v>6499</v>
      </c>
    </row>
    <row r="228" spans="1:25" x14ac:dyDescent="0.3">
      <c r="A228" s="2" t="s">
        <v>667</v>
      </c>
      <c r="B228" s="2" t="s">
        <v>3297</v>
      </c>
      <c r="C228" s="2" t="s">
        <v>668</v>
      </c>
      <c r="D228" s="2" t="s">
        <v>4608</v>
      </c>
      <c r="E228" s="28" t="s">
        <v>6477</v>
      </c>
      <c r="F228" s="28" t="str">
        <f t="shared" si="18"/>
        <v>08809050District Design and Led 18-21</v>
      </c>
      <c r="G228" s="28" t="s">
        <v>6233</v>
      </c>
      <c r="H228" s="28" t="str">
        <f t="shared" si="15"/>
        <v>08809050District Design and Led</v>
      </c>
      <c r="I228" s="29">
        <v>3</v>
      </c>
      <c r="J228" s="28" t="str">
        <f t="shared" si="16"/>
        <v>08809050District Design and Led3</v>
      </c>
      <c r="K228" s="30"/>
      <c r="L228" s="30">
        <v>28278</v>
      </c>
      <c r="M228" s="30"/>
      <c r="N228" s="30">
        <v>0</v>
      </c>
      <c r="O228" s="30">
        <v>0</v>
      </c>
      <c r="P228" s="30">
        <v>0</v>
      </c>
      <c r="Q228" s="30">
        <v>0</v>
      </c>
      <c r="R228" s="30">
        <v>0</v>
      </c>
      <c r="S228" s="30">
        <v>0</v>
      </c>
      <c r="T228" s="30">
        <v>0</v>
      </c>
      <c r="U228" s="30"/>
      <c r="V228" s="30"/>
      <c r="W228" s="30"/>
      <c r="X228" s="30"/>
      <c r="Y228" t="s">
        <v>6499</v>
      </c>
    </row>
    <row r="229" spans="1:25" x14ac:dyDescent="0.3">
      <c r="A229" s="2" t="s">
        <v>667</v>
      </c>
      <c r="B229" s="2" t="s">
        <v>3875</v>
      </c>
      <c r="C229" s="2" t="s">
        <v>668</v>
      </c>
      <c r="D229" s="2" t="s">
        <v>3876</v>
      </c>
      <c r="E229" s="28" t="s">
        <v>6473</v>
      </c>
      <c r="F229" s="28" t="str">
        <f t="shared" si="18"/>
        <v>08809496District Design and Led 17-20</v>
      </c>
      <c r="G229" s="28" t="s">
        <v>6233</v>
      </c>
      <c r="H229" s="28" t="str">
        <f t="shared" si="15"/>
        <v>08809496District Design and Led</v>
      </c>
      <c r="I229" s="29">
        <v>2</v>
      </c>
      <c r="J229" s="28" t="str">
        <f t="shared" si="16"/>
        <v>08809496District Design and Led2</v>
      </c>
      <c r="K229" s="30">
        <v>8046</v>
      </c>
      <c r="L229" s="30">
        <v>7631</v>
      </c>
      <c r="M229" s="30"/>
      <c r="N229" s="30">
        <v>0</v>
      </c>
      <c r="O229" s="30">
        <v>0</v>
      </c>
      <c r="P229" s="30">
        <v>0</v>
      </c>
      <c r="Q229" s="30">
        <v>0</v>
      </c>
      <c r="R229" s="30">
        <v>0</v>
      </c>
      <c r="S229" s="30">
        <v>0</v>
      </c>
      <c r="T229" s="30">
        <v>0</v>
      </c>
      <c r="U229" s="30"/>
      <c r="V229" s="30"/>
      <c r="W229" s="30"/>
      <c r="X229" s="30"/>
      <c r="Y229" t="s">
        <v>6499</v>
      </c>
    </row>
    <row r="230" spans="1:25" x14ac:dyDescent="0.3">
      <c r="A230" s="2" t="s">
        <v>667</v>
      </c>
      <c r="B230" s="2" t="s">
        <v>3875</v>
      </c>
      <c r="C230" s="2" t="s">
        <v>668</v>
      </c>
      <c r="D230" s="2" t="s">
        <v>3876</v>
      </c>
      <c r="E230" s="28" t="s">
        <v>6463</v>
      </c>
      <c r="F230" s="28" t="str">
        <f t="shared" si="18"/>
        <v>08809496Diagnostic Review 18-19</v>
      </c>
      <c r="G230" s="28" t="s">
        <v>6240</v>
      </c>
      <c r="H230" s="28" t="str">
        <f t="shared" si="15"/>
        <v>08809496Diagnostic Review</v>
      </c>
      <c r="I230" s="29">
        <v>3</v>
      </c>
      <c r="J230" s="28" t="str">
        <f t="shared" si="16"/>
        <v>08809496Diagnostic Review3</v>
      </c>
      <c r="K230" s="30"/>
      <c r="L230" s="30">
        <v>18296</v>
      </c>
      <c r="M230" s="30"/>
      <c r="N230" s="30">
        <v>0</v>
      </c>
      <c r="O230" s="30">
        <v>0</v>
      </c>
      <c r="P230" s="30">
        <v>0</v>
      </c>
      <c r="Q230" s="30">
        <v>0</v>
      </c>
      <c r="R230" s="30">
        <v>0</v>
      </c>
      <c r="S230" s="30">
        <v>0</v>
      </c>
      <c r="T230" s="30">
        <v>0</v>
      </c>
      <c r="U230" s="30"/>
      <c r="V230" s="30"/>
      <c r="W230" s="30"/>
      <c r="X230" s="30"/>
      <c r="Y230" t="s">
        <v>6499</v>
      </c>
    </row>
    <row r="231" spans="1:25" x14ac:dyDescent="0.3">
      <c r="A231" s="2" t="s">
        <v>667</v>
      </c>
      <c r="B231" s="2" t="s">
        <v>5960</v>
      </c>
      <c r="C231" s="2" t="s">
        <v>668</v>
      </c>
      <c r="D231" s="2" t="s">
        <v>5961</v>
      </c>
      <c r="E231" s="2" t="s">
        <v>6457</v>
      </c>
      <c r="F231" s="28" t="s">
        <v>6483</v>
      </c>
      <c r="G231" s="2" t="s">
        <v>6241</v>
      </c>
      <c r="H231" s="28" t="str">
        <f t="shared" si="15"/>
        <v>08809693School Turnaround Leadership Development Program</v>
      </c>
      <c r="I231" s="29">
        <v>4</v>
      </c>
      <c r="J231" s="28" t="str">
        <f t="shared" si="16"/>
        <v>08809693School Turnaround Leadership Development Program4</v>
      </c>
      <c r="K231" s="32"/>
      <c r="L231" s="32"/>
      <c r="M231" s="32"/>
      <c r="N231" s="30"/>
      <c r="O231" s="30"/>
      <c r="P231" s="30"/>
      <c r="Q231" s="30">
        <v>12000</v>
      </c>
      <c r="R231" s="30">
        <v>0</v>
      </c>
      <c r="S231" s="30">
        <v>0</v>
      </c>
      <c r="T231" s="30">
        <v>2840</v>
      </c>
      <c r="U231" s="30"/>
      <c r="V231" s="30"/>
      <c r="W231" s="30"/>
      <c r="X231" s="30"/>
      <c r="Y231" t="s">
        <v>6499</v>
      </c>
    </row>
    <row r="232" spans="1:25" x14ac:dyDescent="0.3">
      <c r="A232" s="2" t="s">
        <v>667</v>
      </c>
      <c r="B232" s="2" t="s">
        <v>5272</v>
      </c>
      <c r="C232" s="2" t="s">
        <v>668</v>
      </c>
      <c r="D232" s="2" t="s">
        <v>5273</v>
      </c>
      <c r="E232" s="2" t="s">
        <v>6457</v>
      </c>
      <c r="F232" s="28" t="s">
        <v>6483</v>
      </c>
      <c r="G232" s="2" t="s">
        <v>6241</v>
      </c>
      <c r="H232" s="28" t="str">
        <f t="shared" si="15"/>
        <v>08809702School Turnaround Leadership Development Program</v>
      </c>
      <c r="I232" s="29">
        <v>4</v>
      </c>
      <c r="J232" s="28" t="str">
        <f t="shared" si="16"/>
        <v>08809702School Turnaround Leadership Development Program4</v>
      </c>
      <c r="K232" s="32"/>
      <c r="L232" s="32"/>
      <c r="M232" s="32"/>
      <c r="N232" s="30"/>
      <c r="O232" s="30"/>
      <c r="P232" s="30"/>
      <c r="Q232" s="30">
        <v>12000</v>
      </c>
      <c r="R232" s="30">
        <v>0</v>
      </c>
      <c r="S232" s="30">
        <v>0</v>
      </c>
      <c r="T232" s="30">
        <v>2840</v>
      </c>
      <c r="U232" s="30"/>
      <c r="V232" s="30"/>
      <c r="W232" s="30"/>
      <c r="X232" s="30"/>
      <c r="Y232" t="s">
        <v>6499</v>
      </c>
    </row>
    <row r="233" spans="1:25" x14ac:dyDescent="0.3">
      <c r="A233" s="2" t="s">
        <v>667</v>
      </c>
      <c r="B233" s="28" t="s">
        <v>6248</v>
      </c>
      <c r="C233" s="2" t="s">
        <v>668</v>
      </c>
      <c r="D233" s="2" t="s">
        <v>6474</v>
      </c>
      <c r="E233" s="28" t="s">
        <v>6455</v>
      </c>
      <c r="F233" s="28" t="str">
        <f t="shared" ref="F233:F243" si="19">A233&amp;B233&amp;E233</f>
        <v>0880District LevelConnect For Success 17-20</v>
      </c>
      <c r="G233" s="28" t="s">
        <v>6234</v>
      </c>
      <c r="H233" s="28" t="str">
        <f t="shared" si="15"/>
        <v>0880District LevelConnect For Success</v>
      </c>
      <c r="I233" s="29">
        <v>1</v>
      </c>
      <c r="J233" s="28" t="str">
        <f t="shared" si="16"/>
        <v>0880District LevelConnect For Success1</v>
      </c>
      <c r="K233" s="30">
        <v>1567</v>
      </c>
      <c r="L233" s="30">
        <v>0</v>
      </c>
      <c r="M233" s="30"/>
      <c r="N233" s="30">
        <v>0</v>
      </c>
      <c r="O233" s="30">
        <v>0</v>
      </c>
      <c r="P233" s="30">
        <v>0</v>
      </c>
      <c r="Q233" s="30">
        <v>0</v>
      </c>
      <c r="R233" s="30">
        <v>0</v>
      </c>
      <c r="S233" s="30">
        <v>0</v>
      </c>
      <c r="T233" s="30">
        <v>0</v>
      </c>
      <c r="U233" s="30"/>
      <c r="V233" s="30"/>
      <c r="W233" s="30"/>
      <c r="X233" s="30"/>
      <c r="Y233" t="s">
        <v>6499</v>
      </c>
    </row>
    <row r="234" spans="1:25" x14ac:dyDescent="0.3">
      <c r="A234" s="2" t="s">
        <v>667</v>
      </c>
      <c r="B234" s="28" t="s">
        <v>6248</v>
      </c>
      <c r="C234" s="2" t="s">
        <v>668</v>
      </c>
      <c r="D234" s="2" t="s">
        <v>6474</v>
      </c>
      <c r="E234" s="28" t="s">
        <v>6473</v>
      </c>
      <c r="F234" s="28" t="str">
        <f t="shared" si="19"/>
        <v>0880District LevelDistrict Design and Led 17-20</v>
      </c>
      <c r="G234" s="28" t="s">
        <v>6233</v>
      </c>
      <c r="H234" s="28" t="str">
        <f t="shared" si="15"/>
        <v>0880District LevelDistrict Design and Led</v>
      </c>
      <c r="I234" s="29">
        <v>2</v>
      </c>
      <c r="J234" s="28" t="str">
        <f t="shared" si="16"/>
        <v>0880District LevelDistrict Design and Led2</v>
      </c>
      <c r="K234" s="30">
        <v>21148</v>
      </c>
      <c r="L234" s="30">
        <v>644444</v>
      </c>
      <c r="M234" s="30">
        <v>866829</v>
      </c>
      <c r="N234" s="30">
        <v>0</v>
      </c>
      <c r="O234" s="30">
        <v>0</v>
      </c>
      <c r="P234" s="30">
        <v>0</v>
      </c>
      <c r="Q234" s="30">
        <v>0</v>
      </c>
      <c r="R234" s="30">
        <v>0</v>
      </c>
      <c r="S234" s="30">
        <v>0</v>
      </c>
      <c r="T234" s="30">
        <v>0</v>
      </c>
      <c r="U234" s="30"/>
      <c r="V234" s="30"/>
      <c r="W234" s="30"/>
      <c r="X234" s="30"/>
      <c r="Y234" t="s">
        <v>6499</v>
      </c>
    </row>
    <row r="235" spans="1:25" x14ac:dyDescent="0.3">
      <c r="A235" s="2" t="s">
        <v>667</v>
      </c>
      <c r="B235" s="28" t="s">
        <v>6248</v>
      </c>
      <c r="C235" s="2" t="s">
        <v>668</v>
      </c>
      <c r="D235" s="2" t="s">
        <v>6474</v>
      </c>
      <c r="E235" s="28" t="s">
        <v>6465</v>
      </c>
      <c r="F235" s="28" t="str">
        <f t="shared" si="19"/>
        <v>0880District LevelDiagnostic Review 19-20</v>
      </c>
      <c r="G235" s="28" t="s">
        <v>6240</v>
      </c>
      <c r="H235" s="28" t="str">
        <f t="shared" si="15"/>
        <v>0880District LevelDiagnostic Review</v>
      </c>
      <c r="I235" s="29">
        <v>3</v>
      </c>
      <c r="J235" s="28" t="str">
        <f t="shared" si="16"/>
        <v>0880District LevelDiagnostic Review3</v>
      </c>
      <c r="K235" s="30"/>
      <c r="L235" s="30"/>
      <c r="M235" s="30">
        <v>125892</v>
      </c>
      <c r="N235" s="30">
        <v>0</v>
      </c>
      <c r="O235" s="30">
        <v>0</v>
      </c>
      <c r="P235" s="30">
        <v>0</v>
      </c>
      <c r="Q235" s="30">
        <v>0</v>
      </c>
      <c r="R235" s="30">
        <v>0</v>
      </c>
      <c r="S235" s="30">
        <v>0</v>
      </c>
      <c r="T235" s="30">
        <v>0</v>
      </c>
      <c r="U235" s="30"/>
      <c r="V235" s="30"/>
      <c r="W235" s="30"/>
      <c r="X235" s="30"/>
      <c r="Y235" t="s">
        <v>6499</v>
      </c>
    </row>
    <row r="236" spans="1:25" x14ac:dyDescent="0.3">
      <c r="A236" s="2" t="s">
        <v>667</v>
      </c>
      <c r="B236" s="28" t="s">
        <v>6248</v>
      </c>
      <c r="C236" s="2" t="s">
        <v>668</v>
      </c>
      <c r="D236" s="2" t="s">
        <v>6474</v>
      </c>
      <c r="E236" s="28" t="s">
        <v>6472</v>
      </c>
      <c r="F236" s="28" t="str">
        <f t="shared" si="19"/>
        <v>0880District LevelDiagnostic Review 20-21</v>
      </c>
      <c r="G236" s="28" t="s">
        <v>6240</v>
      </c>
      <c r="H236" s="28" t="str">
        <f t="shared" si="15"/>
        <v>0880District LevelDiagnostic Review</v>
      </c>
      <c r="I236" s="29">
        <v>3</v>
      </c>
      <c r="J236" s="28" t="str">
        <f t="shared" si="16"/>
        <v>0880District LevelDiagnostic Review3</v>
      </c>
      <c r="K236" s="30"/>
      <c r="L236" s="30"/>
      <c r="M236" s="30"/>
      <c r="N236" s="30">
        <v>0</v>
      </c>
      <c r="O236" s="30">
        <v>48057.199200000003</v>
      </c>
      <c r="P236" s="30">
        <v>0</v>
      </c>
      <c r="Q236" s="30">
        <v>0</v>
      </c>
      <c r="R236" s="30">
        <v>0</v>
      </c>
      <c r="S236" s="30">
        <v>0</v>
      </c>
      <c r="T236" s="30">
        <v>0</v>
      </c>
      <c r="U236" s="30"/>
      <c r="V236" s="30"/>
      <c r="W236" s="30"/>
      <c r="X236" s="30"/>
      <c r="Y236" t="s">
        <v>6499</v>
      </c>
    </row>
    <row r="237" spans="1:25" x14ac:dyDescent="0.3">
      <c r="A237" s="2" t="s">
        <v>667</v>
      </c>
      <c r="B237" s="28" t="s">
        <v>6248</v>
      </c>
      <c r="C237" s="2" t="s">
        <v>668</v>
      </c>
      <c r="D237" s="2" t="s">
        <v>6474</v>
      </c>
      <c r="E237" s="28" t="s">
        <v>6477</v>
      </c>
      <c r="F237" s="28" t="str">
        <f t="shared" si="19"/>
        <v>0880District LevelDistrict Design and Led 18-21</v>
      </c>
      <c r="G237" s="28" t="s">
        <v>6233</v>
      </c>
      <c r="H237" s="28" t="str">
        <f t="shared" si="15"/>
        <v>0880District LevelDistrict Design and Led</v>
      </c>
      <c r="I237" s="29">
        <v>3</v>
      </c>
      <c r="J237" s="28" t="str">
        <f t="shared" si="16"/>
        <v>0880District LevelDistrict Design and Led3</v>
      </c>
      <c r="K237" s="30"/>
      <c r="L237" s="30">
        <v>117650</v>
      </c>
      <c r="M237" s="30">
        <v>592383</v>
      </c>
      <c r="N237" s="30">
        <v>0</v>
      </c>
      <c r="O237" s="30">
        <v>0</v>
      </c>
      <c r="P237" s="30">
        <v>0</v>
      </c>
      <c r="Q237" s="30">
        <v>0</v>
      </c>
      <c r="R237" s="30">
        <v>0</v>
      </c>
      <c r="S237" s="30">
        <v>0</v>
      </c>
      <c r="T237" s="30">
        <v>0</v>
      </c>
      <c r="U237" s="30"/>
      <c r="V237" s="30"/>
      <c r="W237" s="30"/>
      <c r="X237" s="30"/>
      <c r="Y237" t="s">
        <v>6499</v>
      </c>
    </row>
    <row r="238" spans="1:25" x14ac:dyDescent="0.3">
      <c r="A238" s="2" t="s">
        <v>667</v>
      </c>
      <c r="B238" s="28" t="s">
        <v>6248</v>
      </c>
      <c r="C238" s="2" t="s">
        <v>668</v>
      </c>
      <c r="D238" s="2" t="s">
        <v>6474</v>
      </c>
      <c r="E238" s="2" t="s">
        <v>6484</v>
      </c>
      <c r="F238" s="28" t="str">
        <f t="shared" si="19"/>
        <v>0880District LevelSchool Turnaround Leaders Program</v>
      </c>
      <c r="G238" s="2" t="s">
        <v>6241</v>
      </c>
      <c r="H238" s="28" t="str">
        <f t="shared" si="15"/>
        <v>0880District LevelSchool Turnaround Leadership Development Program</v>
      </c>
      <c r="I238" s="29">
        <v>3</v>
      </c>
      <c r="J238" s="28" t="str">
        <f t="shared" si="16"/>
        <v>0880District LevelSchool Turnaround Leadership Development Program3</v>
      </c>
      <c r="K238" s="32"/>
      <c r="L238" s="32"/>
      <c r="M238" s="32">
        <v>421897</v>
      </c>
      <c r="N238" s="30">
        <v>0</v>
      </c>
      <c r="O238" s="30" t="s">
        <v>6462</v>
      </c>
      <c r="P238" s="30" t="s">
        <v>6462</v>
      </c>
      <c r="Q238" s="30">
        <v>0</v>
      </c>
      <c r="R238" s="30">
        <v>0</v>
      </c>
      <c r="S238" s="30">
        <v>0</v>
      </c>
      <c r="T238" s="30">
        <v>0</v>
      </c>
      <c r="U238" s="30"/>
      <c r="V238" s="30"/>
      <c r="W238" s="30"/>
      <c r="X238" s="30"/>
      <c r="Y238" t="s">
        <v>6499</v>
      </c>
    </row>
    <row r="239" spans="1:25" x14ac:dyDescent="0.3">
      <c r="A239" s="28" t="s">
        <v>667</v>
      </c>
      <c r="B239" s="28" t="s">
        <v>6248</v>
      </c>
      <c r="C239" s="2" t="s">
        <v>668</v>
      </c>
      <c r="D239" s="2" t="s">
        <v>6474</v>
      </c>
      <c r="E239" s="28" t="s">
        <v>6475</v>
      </c>
      <c r="F239" s="28" t="str">
        <f t="shared" si="19"/>
        <v>0880District LevelDDL</v>
      </c>
      <c r="G239" s="28" t="s">
        <v>6233</v>
      </c>
      <c r="H239" s="28" t="str">
        <f t="shared" si="15"/>
        <v>0880District LevelDistrict Design and Led</v>
      </c>
      <c r="I239" s="29">
        <v>5</v>
      </c>
      <c r="J239" s="28" t="str">
        <f t="shared" si="16"/>
        <v>0880District LevelDistrict Design and Led5</v>
      </c>
      <c r="K239" s="30">
        <v>0</v>
      </c>
      <c r="L239" s="30">
        <v>0</v>
      </c>
      <c r="M239" s="30">
        <v>0</v>
      </c>
      <c r="N239" s="30">
        <v>0</v>
      </c>
      <c r="O239" s="30">
        <v>0</v>
      </c>
      <c r="P239" s="30">
        <v>0</v>
      </c>
      <c r="Q239" s="30">
        <v>0</v>
      </c>
      <c r="R239" s="30">
        <v>0</v>
      </c>
      <c r="S239" s="30">
        <v>0</v>
      </c>
      <c r="T239" s="30">
        <v>0</v>
      </c>
      <c r="U239" s="30">
        <v>100000</v>
      </c>
      <c r="V239" s="30">
        <v>100000</v>
      </c>
      <c r="W239" s="30">
        <v>100000</v>
      </c>
      <c r="X239" s="30">
        <v>0</v>
      </c>
      <c r="Y239" t="s">
        <v>6500</v>
      </c>
    </row>
    <row r="240" spans="1:25" x14ac:dyDescent="0.3">
      <c r="A240" s="2" t="s">
        <v>783</v>
      </c>
      <c r="B240" s="2" t="s">
        <v>6485</v>
      </c>
      <c r="C240" s="2" t="s">
        <v>784</v>
      </c>
      <c r="D240" s="2" t="s">
        <v>6486</v>
      </c>
      <c r="E240" s="2" t="s">
        <v>6484</v>
      </c>
      <c r="F240" s="28" t="str">
        <f t="shared" si="19"/>
        <v>09003863School Turnaround Leaders Program</v>
      </c>
      <c r="G240" s="2" t="s">
        <v>6241</v>
      </c>
      <c r="H240" s="28" t="str">
        <f t="shared" si="15"/>
        <v>09003863School Turnaround Leadership Development Program</v>
      </c>
      <c r="I240" s="29">
        <v>2</v>
      </c>
      <c r="J240" s="28" t="str">
        <f t="shared" si="16"/>
        <v>09003863School Turnaround Leadership Development Program2</v>
      </c>
      <c r="K240" s="32"/>
      <c r="L240" s="32">
        <v>139010</v>
      </c>
      <c r="M240" s="32"/>
      <c r="N240" s="30">
        <v>0</v>
      </c>
      <c r="O240" s="30" t="s">
        <v>6462</v>
      </c>
      <c r="P240" s="30" t="s">
        <v>6462</v>
      </c>
      <c r="Q240" s="30">
        <v>0</v>
      </c>
      <c r="R240" s="30">
        <v>0</v>
      </c>
      <c r="S240" s="30">
        <v>0</v>
      </c>
      <c r="T240" s="30">
        <v>0</v>
      </c>
      <c r="U240" s="30"/>
      <c r="V240" s="30"/>
      <c r="W240" s="30"/>
      <c r="X240" s="30"/>
      <c r="Y240" t="s">
        <v>6499</v>
      </c>
    </row>
    <row r="241" spans="1:25" x14ac:dyDescent="0.3">
      <c r="A241" s="2" t="s">
        <v>783</v>
      </c>
      <c r="B241" s="28" t="s">
        <v>6248</v>
      </c>
      <c r="C241" s="2" t="s">
        <v>784</v>
      </c>
      <c r="D241" s="2" t="s">
        <v>6474</v>
      </c>
      <c r="E241" s="2" t="s">
        <v>6482</v>
      </c>
      <c r="F241" s="28" t="str">
        <f t="shared" si="19"/>
        <v>0900District LevelEASI MTSS</v>
      </c>
      <c r="G241" s="2" t="s">
        <v>6235</v>
      </c>
      <c r="H241" s="28" t="str">
        <f t="shared" si="15"/>
        <v>0900District LevelMTSS</v>
      </c>
      <c r="I241" s="29">
        <v>2</v>
      </c>
      <c r="J241" s="28" t="str">
        <f t="shared" si="16"/>
        <v>0900District LevelMTSS2</v>
      </c>
      <c r="K241" s="32"/>
      <c r="L241" s="32">
        <v>26073</v>
      </c>
      <c r="M241" s="32">
        <v>44508</v>
      </c>
      <c r="N241" s="30">
        <v>0</v>
      </c>
      <c r="O241" s="30">
        <v>43971</v>
      </c>
      <c r="P241" s="30">
        <v>0</v>
      </c>
      <c r="Q241" s="30">
        <v>0</v>
      </c>
      <c r="R241" s="30">
        <v>0</v>
      </c>
      <c r="S241" s="30">
        <v>0</v>
      </c>
      <c r="T241" s="30">
        <v>0</v>
      </c>
      <c r="U241" s="30"/>
      <c r="V241" s="30"/>
      <c r="W241" s="30"/>
      <c r="X241" s="30"/>
      <c r="Y241" t="s">
        <v>6499</v>
      </c>
    </row>
    <row r="242" spans="1:25" x14ac:dyDescent="0.3">
      <c r="A242" s="28" t="s">
        <v>728</v>
      </c>
      <c r="B242" s="28" t="s">
        <v>1632</v>
      </c>
      <c r="C242" s="2" t="s">
        <v>729</v>
      </c>
      <c r="D242" s="2" t="s">
        <v>1633</v>
      </c>
      <c r="E242" s="28" t="s">
        <v>6238</v>
      </c>
      <c r="F242" s="28" t="str">
        <f t="shared" si="19"/>
        <v>09100205AEC Pilot</v>
      </c>
      <c r="G242" s="28" t="s">
        <v>6238</v>
      </c>
      <c r="H242" s="28" t="str">
        <f t="shared" si="15"/>
        <v>09100205AEC Pilot</v>
      </c>
      <c r="I242" s="29">
        <v>2</v>
      </c>
      <c r="J242" s="28" t="str">
        <f t="shared" si="16"/>
        <v>09100205AEC Pilot2</v>
      </c>
      <c r="K242" s="32"/>
      <c r="L242" s="32">
        <v>8311</v>
      </c>
      <c r="M242" s="32">
        <v>39629</v>
      </c>
      <c r="N242" s="32">
        <v>0</v>
      </c>
      <c r="O242" s="32">
        <v>15000</v>
      </c>
      <c r="P242" s="32">
        <v>0</v>
      </c>
      <c r="Q242" s="32">
        <v>0</v>
      </c>
      <c r="R242" s="32">
        <v>0</v>
      </c>
      <c r="S242" s="32">
        <v>0</v>
      </c>
      <c r="T242" s="32">
        <v>0</v>
      </c>
      <c r="U242" s="32"/>
      <c r="V242" s="32"/>
      <c r="W242" s="32"/>
      <c r="X242" s="32"/>
      <c r="Y242" t="s">
        <v>6499</v>
      </c>
    </row>
    <row r="243" spans="1:25" x14ac:dyDescent="0.3">
      <c r="A243" s="2" t="s">
        <v>728</v>
      </c>
      <c r="B243" s="28" t="s">
        <v>6248</v>
      </c>
      <c r="C243" s="2" t="s">
        <v>729</v>
      </c>
      <c r="D243" s="2" t="s">
        <v>6474</v>
      </c>
      <c r="E243" s="2" t="s">
        <v>6482</v>
      </c>
      <c r="F243" s="28" t="str">
        <f t="shared" si="19"/>
        <v>0910District LevelEASI MTSS</v>
      </c>
      <c r="G243" s="2" t="s">
        <v>6235</v>
      </c>
      <c r="H243" s="28" t="str">
        <f t="shared" si="15"/>
        <v>0910District LevelMTSS</v>
      </c>
      <c r="I243" s="29">
        <v>2</v>
      </c>
      <c r="J243" s="28" t="str">
        <f t="shared" si="16"/>
        <v>0910District LevelMTSS2</v>
      </c>
      <c r="K243" s="30"/>
      <c r="L243" s="30">
        <v>5000</v>
      </c>
      <c r="M243" s="30">
        <v>67156</v>
      </c>
      <c r="N243" s="30">
        <v>0</v>
      </c>
      <c r="O243" s="30">
        <v>65206</v>
      </c>
      <c r="P243" s="30">
        <v>0</v>
      </c>
      <c r="Q243" s="30">
        <v>0</v>
      </c>
      <c r="R243" s="30">
        <v>0</v>
      </c>
      <c r="S243" s="30">
        <v>0</v>
      </c>
      <c r="T243" s="30">
        <v>0</v>
      </c>
      <c r="U243" s="30"/>
      <c r="V243" s="30"/>
      <c r="W243" s="30"/>
      <c r="X243" s="30"/>
      <c r="Y243" t="s">
        <v>6499</v>
      </c>
    </row>
    <row r="244" spans="1:25" x14ac:dyDescent="0.3">
      <c r="A244" s="2" t="s">
        <v>728</v>
      </c>
      <c r="B244" s="2" t="s">
        <v>6248</v>
      </c>
      <c r="C244" s="2" t="s">
        <v>729</v>
      </c>
      <c r="D244" s="2" t="s">
        <v>6474</v>
      </c>
      <c r="E244" s="28" t="s">
        <v>6475</v>
      </c>
      <c r="F244" s="28" t="s">
        <v>6476</v>
      </c>
      <c r="G244" s="28" t="s">
        <v>6233</v>
      </c>
      <c r="H244" s="28" t="str">
        <f t="shared" si="15"/>
        <v>0910District LevelDistrict Design and Led</v>
      </c>
      <c r="I244" s="29">
        <v>4</v>
      </c>
      <c r="J244" s="28" t="str">
        <f t="shared" si="16"/>
        <v>0910District LevelDistrict Design and Led4</v>
      </c>
      <c r="K244" s="30"/>
      <c r="L244" s="30"/>
      <c r="M244" s="30"/>
      <c r="N244" s="30"/>
      <c r="O244" s="30"/>
      <c r="P244" s="30"/>
      <c r="Q244" s="30">
        <v>1038</v>
      </c>
      <c r="R244" s="30">
        <v>0</v>
      </c>
      <c r="S244" s="30">
        <v>0</v>
      </c>
      <c r="T244" s="30">
        <v>54646</v>
      </c>
      <c r="U244" s="30"/>
      <c r="V244" s="30"/>
      <c r="W244" s="30"/>
      <c r="X244" s="30"/>
      <c r="Y244" t="s">
        <v>6499</v>
      </c>
    </row>
    <row r="245" spans="1:25" x14ac:dyDescent="0.3">
      <c r="A245" s="2" t="s">
        <v>610</v>
      </c>
      <c r="B245" s="28" t="s">
        <v>2272</v>
      </c>
      <c r="C245" s="2" t="s">
        <v>611</v>
      </c>
      <c r="D245" s="2" t="s">
        <v>2273</v>
      </c>
      <c r="E245" s="28" t="s">
        <v>6237</v>
      </c>
      <c r="F245" s="28" t="str">
        <f t="shared" ref="F245:F253" si="20">A245&amp;B245&amp;E245</f>
        <v>09906952Turnaround Network</v>
      </c>
      <c r="G245" s="28" t="s">
        <v>6237</v>
      </c>
      <c r="H245" s="28" t="str">
        <f t="shared" si="15"/>
        <v>09906952Turnaround Network</v>
      </c>
      <c r="I245" s="29">
        <v>2</v>
      </c>
      <c r="J245" s="28" t="str">
        <f t="shared" si="16"/>
        <v>09906952Turnaround Network2</v>
      </c>
      <c r="K245" s="30">
        <v>50406</v>
      </c>
      <c r="L245" s="30"/>
      <c r="M245" s="30"/>
      <c r="N245" s="30">
        <v>0</v>
      </c>
      <c r="O245" s="30">
        <v>0</v>
      </c>
      <c r="P245" s="30">
        <v>0</v>
      </c>
      <c r="Q245" s="30">
        <v>0</v>
      </c>
      <c r="R245" s="30">
        <v>0</v>
      </c>
      <c r="S245" s="30">
        <v>0</v>
      </c>
      <c r="T245" s="30">
        <v>0</v>
      </c>
      <c r="U245" s="30"/>
      <c r="V245" s="30"/>
      <c r="W245" s="30"/>
      <c r="X245" s="30"/>
      <c r="Y245" t="s">
        <v>6499</v>
      </c>
    </row>
    <row r="246" spans="1:25" x14ac:dyDescent="0.3">
      <c r="A246" s="2" t="s">
        <v>610</v>
      </c>
      <c r="B246" s="28" t="s">
        <v>6248</v>
      </c>
      <c r="C246" s="2" t="s">
        <v>611</v>
      </c>
      <c r="D246" s="2" t="s">
        <v>6474</v>
      </c>
      <c r="E246" s="28" t="s">
        <v>6237</v>
      </c>
      <c r="F246" s="28" t="str">
        <f t="shared" si="20"/>
        <v>0990District LevelTurnaround Network</v>
      </c>
      <c r="G246" s="28" t="s">
        <v>6237</v>
      </c>
      <c r="H246" s="28" t="str">
        <f t="shared" si="15"/>
        <v>0990District LevelTurnaround Network</v>
      </c>
      <c r="I246" s="29">
        <v>2</v>
      </c>
      <c r="J246" s="28" t="str">
        <f t="shared" si="16"/>
        <v>0990District LevelTurnaround Network2</v>
      </c>
      <c r="K246" s="30">
        <v>10000</v>
      </c>
      <c r="L246" s="30"/>
      <c r="M246" s="30"/>
      <c r="N246" s="30">
        <v>0</v>
      </c>
      <c r="O246" s="30">
        <v>0</v>
      </c>
      <c r="P246" s="30">
        <v>0</v>
      </c>
      <c r="Q246" s="30">
        <v>0</v>
      </c>
      <c r="R246" s="30">
        <v>0</v>
      </c>
      <c r="S246" s="30">
        <v>0</v>
      </c>
      <c r="T246" s="30">
        <v>0</v>
      </c>
      <c r="U246" s="30"/>
      <c r="V246" s="30"/>
      <c r="W246" s="30"/>
      <c r="X246" s="30"/>
      <c r="Y246" t="s">
        <v>6499</v>
      </c>
    </row>
    <row r="247" spans="1:25" x14ac:dyDescent="0.3">
      <c r="A247" s="2" t="s">
        <v>614</v>
      </c>
      <c r="B247" s="2" t="s">
        <v>5910</v>
      </c>
      <c r="C247" s="2" t="s">
        <v>615</v>
      </c>
      <c r="D247" s="2" t="s">
        <v>5911</v>
      </c>
      <c r="E247" s="28" t="s">
        <v>6465</v>
      </c>
      <c r="F247" s="28" t="str">
        <f t="shared" si="20"/>
        <v>10100871Diagnostic Review 19-20</v>
      </c>
      <c r="G247" s="28" t="s">
        <v>6240</v>
      </c>
      <c r="H247" s="28" t="str">
        <f t="shared" si="15"/>
        <v>10100871Diagnostic Review</v>
      </c>
      <c r="I247" s="29">
        <v>3</v>
      </c>
      <c r="J247" s="28" t="str">
        <f t="shared" si="16"/>
        <v>10100871Diagnostic Review3</v>
      </c>
      <c r="K247" s="30"/>
      <c r="L247" s="30"/>
      <c r="M247" s="30"/>
      <c r="N247" s="30">
        <v>15313</v>
      </c>
      <c r="O247" s="30"/>
      <c r="P247" s="30"/>
      <c r="Q247" s="30">
        <v>0</v>
      </c>
      <c r="R247" s="30">
        <v>0</v>
      </c>
      <c r="S247" s="30">
        <v>0</v>
      </c>
      <c r="T247" s="30">
        <v>0</v>
      </c>
      <c r="U247" s="30"/>
      <c r="V247" s="30"/>
      <c r="W247" s="30"/>
      <c r="X247" s="30"/>
      <c r="Y247" t="s">
        <v>6499</v>
      </c>
    </row>
    <row r="248" spans="1:25" x14ac:dyDescent="0.3">
      <c r="A248" s="2" t="s">
        <v>614</v>
      </c>
      <c r="B248" s="2" t="s">
        <v>640</v>
      </c>
      <c r="C248" s="2" t="s">
        <v>615</v>
      </c>
      <c r="D248" s="2" t="s">
        <v>641</v>
      </c>
      <c r="E248" s="28" t="s">
        <v>6463</v>
      </c>
      <c r="F248" s="28" t="str">
        <f t="shared" si="20"/>
        <v>10101625Diagnostic Review 18-19</v>
      </c>
      <c r="G248" s="28" t="s">
        <v>6240</v>
      </c>
      <c r="H248" s="28" t="str">
        <f t="shared" si="15"/>
        <v>10101625Diagnostic Review</v>
      </c>
      <c r="I248" s="29">
        <v>3</v>
      </c>
      <c r="J248" s="28" t="str">
        <f t="shared" si="16"/>
        <v>10101625Diagnostic Review3</v>
      </c>
      <c r="K248" s="30"/>
      <c r="L248" s="30">
        <v>64054</v>
      </c>
      <c r="M248" s="30"/>
      <c r="N248" s="30">
        <v>0</v>
      </c>
      <c r="O248" s="30">
        <v>0</v>
      </c>
      <c r="P248" s="30">
        <v>0</v>
      </c>
      <c r="Q248" s="30">
        <v>0</v>
      </c>
      <c r="R248" s="30">
        <v>0</v>
      </c>
      <c r="S248" s="30">
        <v>0</v>
      </c>
      <c r="T248" s="30">
        <v>0</v>
      </c>
      <c r="U248" s="30"/>
      <c r="V248" s="30"/>
      <c r="W248" s="30"/>
      <c r="X248" s="30"/>
      <c r="Y248" t="s">
        <v>6499</v>
      </c>
    </row>
    <row r="249" spans="1:25" x14ac:dyDescent="0.3">
      <c r="A249" s="2" t="s">
        <v>614</v>
      </c>
      <c r="B249" s="28" t="s">
        <v>5922</v>
      </c>
      <c r="C249" s="2" t="s">
        <v>615</v>
      </c>
      <c r="D249" s="2" t="s">
        <v>5923</v>
      </c>
      <c r="E249" s="28" t="s">
        <v>6459</v>
      </c>
      <c r="F249" s="28" t="str">
        <f t="shared" si="20"/>
        <v>10101885Connect For Success 19-22</v>
      </c>
      <c r="G249" s="28" t="s">
        <v>6234</v>
      </c>
      <c r="H249" s="28" t="str">
        <f t="shared" si="15"/>
        <v>10101885Connect For Success</v>
      </c>
      <c r="I249" s="29">
        <v>3</v>
      </c>
      <c r="J249" s="28" t="str">
        <f t="shared" si="16"/>
        <v>10101885Connect For Success3</v>
      </c>
      <c r="K249" s="30"/>
      <c r="L249" s="30">
        <v>0</v>
      </c>
      <c r="M249" s="30"/>
      <c r="N249" s="30">
        <v>21344</v>
      </c>
      <c r="O249" s="30">
        <v>0</v>
      </c>
      <c r="P249" s="30">
        <v>84800</v>
      </c>
      <c r="Q249" s="30">
        <v>0</v>
      </c>
      <c r="R249" s="30">
        <v>0</v>
      </c>
      <c r="S249" s="30">
        <v>85968</v>
      </c>
      <c r="T249" s="30">
        <v>0</v>
      </c>
      <c r="U249" s="30"/>
      <c r="V249" s="30"/>
      <c r="W249" s="30"/>
      <c r="X249" s="30"/>
      <c r="Y249" t="s">
        <v>6499</v>
      </c>
    </row>
    <row r="250" spans="1:25" x14ac:dyDescent="0.3">
      <c r="A250" s="2" t="s">
        <v>614</v>
      </c>
      <c r="B250" s="2" t="s">
        <v>3029</v>
      </c>
      <c r="C250" s="2" t="s">
        <v>615</v>
      </c>
      <c r="D250" s="2" t="s">
        <v>3030</v>
      </c>
      <c r="E250" s="28" t="s">
        <v>6477</v>
      </c>
      <c r="F250" s="28" t="str">
        <f t="shared" si="20"/>
        <v>10102400District Design and Led 18-21</v>
      </c>
      <c r="G250" s="28" t="s">
        <v>6233</v>
      </c>
      <c r="H250" s="28" t="str">
        <f t="shared" si="15"/>
        <v>10102400District Design and Led</v>
      </c>
      <c r="I250" s="29">
        <v>2</v>
      </c>
      <c r="J250" s="28" t="str">
        <f t="shared" si="16"/>
        <v>10102400District Design and Led2</v>
      </c>
      <c r="K250" s="30"/>
      <c r="L250" s="30">
        <v>28967</v>
      </c>
      <c r="M250" s="30">
        <v>115825</v>
      </c>
      <c r="N250" s="30">
        <v>0</v>
      </c>
      <c r="O250" s="30">
        <v>116720</v>
      </c>
      <c r="P250" s="30">
        <v>0</v>
      </c>
      <c r="Q250" s="30">
        <v>0</v>
      </c>
      <c r="R250" s="30">
        <v>0</v>
      </c>
      <c r="S250" s="30">
        <v>0</v>
      </c>
      <c r="T250" s="30">
        <v>0</v>
      </c>
      <c r="U250" s="30"/>
      <c r="V250" s="30"/>
      <c r="W250" s="30"/>
      <c r="X250" s="30"/>
      <c r="Y250" t="s">
        <v>6499</v>
      </c>
    </row>
    <row r="251" spans="1:25" x14ac:dyDescent="0.3">
      <c r="A251" s="2" t="s">
        <v>614</v>
      </c>
      <c r="B251" s="2" t="s">
        <v>3796</v>
      </c>
      <c r="C251" s="2" t="s">
        <v>615</v>
      </c>
      <c r="D251" s="2" t="s">
        <v>3797</v>
      </c>
      <c r="E251" s="28" t="s">
        <v>6477</v>
      </c>
      <c r="F251" s="28" t="str">
        <f t="shared" si="20"/>
        <v>10102528District Design and Led 18-21</v>
      </c>
      <c r="G251" s="28" t="s">
        <v>6233</v>
      </c>
      <c r="H251" s="28" t="str">
        <f t="shared" si="15"/>
        <v>10102528District Design and Led</v>
      </c>
      <c r="I251" s="29">
        <v>2</v>
      </c>
      <c r="J251" s="28" t="str">
        <f t="shared" si="16"/>
        <v>10102528District Design and Led2</v>
      </c>
      <c r="K251" s="30"/>
      <c r="L251" s="30">
        <v>15527</v>
      </c>
      <c r="M251" s="30">
        <v>41952</v>
      </c>
      <c r="N251" s="30">
        <v>0</v>
      </c>
      <c r="O251" s="30">
        <v>20485</v>
      </c>
      <c r="P251" s="30">
        <v>0</v>
      </c>
      <c r="Q251" s="30">
        <v>0</v>
      </c>
      <c r="R251" s="30">
        <v>0</v>
      </c>
      <c r="S251" s="30">
        <v>0</v>
      </c>
      <c r="T251" s="30">
        <v>0</v>
      </c>
      <c r="U251" s="30"/>
      <c r="V251" s="30"/>
      <c r="W251" s="30"/>
      <c r="X251" s="30"/>
      <c r="Y251" t="s">
        <v>6499</v>
      </c>
    </row>
    <row r="252" spans="1:25" x14ac:dyDescent="0.3">
      <c r="A252" s="2" t="s">
        <v>614</v>
      </c>
      <c r="B252" s="2" t="s">
        <v>4552</v>
      </c>
      <c r="C252" s="2" t="s">
        <v>615</v>
      </c>
      <c r="D252" s="2" t="s">
        <v>1272</v>
      </c>
      <c r="E252" s="28" t="s">
        <v>6463</v>
      </c>
      <c r="F252" s="28" t="str">
        <f t="shared" si="20"/>
        <v>10103218Diagnostic Review 18-19</v>
      </c>
      <c r="G252" s="28" t="s">
        <v>6240</v>
      </c>
      <c r="H252" s="28" t="str">
        <f t="shared" si="15"/>
        <v>10103218Diagnostic Review</v>
      </c>
      <c r="I252" s="29">
        <v>3</v>
      </c>
      <c r="J252" s="28" t="str">
        <f t="shared" si="16"/>
        <v>10103218Diagnostic Review3</v>
      </c>
      <c r="K252" s="30"/>
      <c r="L252" s="30">
        <v>64054</v>
      </c>
      <c r="M252" s="30"/>
      <c r="N252" s="30">
        <v>0</v>
      </c>
      <c r="O252" s="30">
        <v>0</v>
      </c>
      <c r="P252" s="30">
        <v>0</v>
      </c>
      <c r="Q252" s="30">
        <v>0</v>
      </c>
      <c r="R252" s="30">
        <v>0</v>
      </c>
      <c r="S252" s="30">
        <v>0</v>
      </c>
      <c r="T252" s="30">
        <v>0</v>
      </c>
      <c r="U252" s="30"/>
      <c r="V252" s="30"/>
      <c r="W252" s="30"/>
      <c r="X252" s="30"/>
      <c r="Y252" t="s">
        <v>6499</v>
      </c>
    </row>
    <row r="253" spans="1:25" x14ac:dyDescent="0.3">
      <c r="A253" s="2" t="s">
        <v>614</v>
      </c>
      <c r="B253" s="28" t="s">
        <v>3043</v>
      </c>
      <c r="C253" s="2" t="s">
        <v>615</v>
      </c>
      <c r="D253" s="2" t="s">
        <v>3044</v>
      </c>
      <c r="E253" s="28" t="s">
        <v>6237</v>
      </c>
      <c r="F253" s="28" t="str">
        <f t="shared" si="20"/>
        <v>10103920Turnaround Network</v>
      </c>
      <c r="G253" s="28" t="s">
        <v>6237</v>
      </c>
      <c r="H253" s="28" t="str">
        <f t="shared" si="15"/>
        <v>10103920Turnaround Network</v>
      </c>
      <c r="I253" s="29">
        <v>2</v>
      </c>
      <c r="J253" s="28" t="str">
        <f t="shared" si="16"/>
        <v>10103920Turnaround Network2</v>
      </c>
      <c r="K253" s="30">
        <v>50000</v>
      </c>
      <c r="L253" s="30"/>
      <c r="M253" s="30"/>
      <c r="N253" s="30">
        <v>0</v>
      </c>
      <c r="O253" s="30">
        <v>0</v>
      </c>
      <c r="P253" s="30">
        <v>0</v>
      </c>
      <c r="Q253" s="30">
        <v>0</v>
      </c>
      <c r="R253" s="30">
        <v>0</v>
      </c>
      <c r="S253" s="30">
        <v>0</v>
      </c>
      <c r="T253" s="30">
        <v>0</v>
      </c>
      <c r="U253" s="30"/>
      <c r="V253" s="30"/>
      <c r="W253" s="30"/>
      <c r="X253" s="30"/>
      <c r="Y253" t="s">
        <v>6499</v>
      </c>
    </row>
    <row r="254" spans="1:25" x14ac:dyDescent="0.3">
      <c r="A254" s="2" t="s">
        <v>614</v>
      </c>
      <c r="B254" s="2" t="s">
        <v>3793</v>
      </c>
      <c r="C254" s="2" t="s">
        <v>615</v>
      </c>
      <c r="D254" s="2" t="s">
        <v>3794</v>
      </c>
      <c r="E254" s="28" t="s">
        <v>6468</v>
      </c>
      <c r="F254" s="28" t="s">
        <v>6469</v>
      </c>
      <c r="G254" s="28" t="s">
        <v>6240</v>
      </c>
      <c r="H254" s="28" t="str">
        <f t="shared" si="15"/>
        <v>10105146Diagnostic Review</v>
      </c>
      <c r="I254" s="29">
        <v>4</v>
      </c>
      <c r="J254" s="28" t="str">
        <f t="shared" si="16"/>
        <v>10105146Diagnostic Review4</v>
      </c>
      <c r="K254" s="30"/>
      <c r="L254" s="30"/>
      <c r="M254" s="30"/>
      <c r="N254" s="30"/>
      <c r="O254" s="30"/>
      <c r="P254" s="30"/>
      <c r="Q254" s="30">
        <v>54000</v>
      </c>
      <c r="R254" s="30">
        <v>0</v>
      </c>
      <c r="S254" s="30">
        <v>0</v>
      </c>
      <c r="T254" s="30">
        <v>0</v>
      </c>
      <c r="U254" s="30"/>
      <c r="V254" s="30"/>
      <c r="W254" s="30"/>
      <c r="X254" s="30"/>
      <c r="Y254" t="s">
        <v>6499</v>
      </c>
    </row>
    <row r="255" spans="1:25" x14ac:dyDescent="0.3">
      <c r="A255" s="2" t="s">
        <v>614</v>
      </c>
      <c r="B255" s="2" t="s">
        <v>3041</v>
      </c>
      <c r="C255" s="2" t="s">
        <v>615</v>
      </c>
      <c r="D255" s="2" t="s">
        <v>3042</v>
      </c>
      <c r="E255" s="28" t="s">
        <v>6463</v>
      </c>
      <c r="F255" s="28" t="str">
        <f t="shared" ref="F255:F270" si="21">A255&amp;B255&amp;E255</f>
        <v>10105604Diagnostic Review 18-19</v>
      </c>
      <c r="G255" s="28" t="s">
        <v>6240</v>
      </c>
      <c r="H255" s="28" t="str">
        <f t="shared" si="15"/>
        <v>10105604Diagnostic Review</v>
      </c>
      <c r="I255" s="29">
        <v>3</v>
      </c>
      <c r="J255" s="28" t="str">
        <f t="shared" si="16"/>
        <v>10105604Diagnostic Review3</v>
      </c>
      <c r="K255" s="30"/>
      <c r="L255" s="30">
        <v>64054</v>
      </c>
      <c r="M255" s="30"/>
      <c r="N255" s="30">
        <v>0</v>
      </c>
      <c r="O255" s="30">
        <v>0</v>
      </c>
      <c r="P255" s="30">
        <v>0</v>
      </c>
      <c r="Q255" s="30">
        <v>0</v>
      </c>
      <c r="R255" s="30">
        <v>0</v>
      </c>
      <c r="S255" s="30">
        <v>0</v>
      </c>
      <c r="T255" s="30">
        <v>0</v>
      </c>
      <c r="U255" s="30"/>
      <c r="V255" s="30"/>
      <c r="W255" s="30"/>
      <c r="X255" s="30"/>
      <c r="Y255" t="s">
        <v>6499</v>
      </c>
    </row>
    <row r="256" spans="1:25" x14ac:dyDescent="0.3">
      <c r="A256" s="2" t="s">
        <v>614</v>
      </c>
      <c r="B256" s="28" t="s">
        <v>656</v>
      </c>
      <c r="C256" s="2" t="s">
        <v>615</v>
      </c>
      <c r="D256" s="2" t="s">
        <v>657</v>
      </c>
      <c r="E256" s="28" t="s">
        <v>6237</v>
      </c>
      <c r="F256" s="28" t="str">
        <f t="shared" si="21"/>
        <v>10105988Turnaround Network</v>
      </c>
      <c r="G256" s="28" t="s">
        <v>6237</v>
      </c>
      <c r="H256" s="28" t="str">
        <f t="shared" si="15"/>
        <v>10105988Turnaround Network</v>
      </c>
      <c r="I256" s="29">
        <v>2</v>
      </c>
      <c r="J256" s="28" t="str">
        <f t="shared" si="16"/>
        <v>10105988Turnaround Network2</v>
      </c>
      <c r="K256" s="30">
        <v>100000</v>
      </c>
      <c r="L256" s="30"/>
      <c r="M256" s="30"/>
      <c r="N256" s="30">
        <v>0</v>
      </c>
      <c r="O256" s="30">
        <v>0</v>
      </c>
      <c r="P256" s="30">
        <v>0</v>
      </c>
      <c r="Q256" s="30">
        <v>0</v>
      </c>
      <c r="R256" s="30">
        <v>0</v>
      </c>
      <c r="S256" s="30">
        <v>0</v>
      </c>
      <c r="T256" s="30">
        <v>0</v>
      </c>
      <c r="U256" s="30"/>
      <c r="V256" s="30"/>
      <c r="W256" s="30"/>
      <c r="X256" s="30"/>
      <c r="Y256" t="s">
        <v>6499</v>
      </c>
    </row>
    <row r="257" spans="1:25" x14ac:dyDescent="0.3">
      <c r="A257" s="2" t="s">
        <v>614</v>
      </c>
      <c r="B257" s="28" t="s">
        <v>656</v>
      </c>
      <c r="C257" s="2" t="s">
        <v>615</v>
      </c>
      <c r="D257" s="2" t="s">
        <v>657</v>
      </c>
      <c r="E257" s="28" t="s">
        <v>6237</v>
      </c>
      <c r="F257" s="28" t="str">
        <f t="shared" si="21"/>
        <v>10105988Turnaround Network</v>
      </c>
      <c r="G257" s="28" t="s">
        <v>6237</v>
      </c>
      <c r="H257" s="28" t="str">
        <f t="shared" si="15"/>
        <v>10105988Turnaround Network</v>
      </c>
      <c r="I257" s="29">
        <v>3</v>
      </c>
      <c r="J257" s="28" t="str">
        <f t="shared" si="16"/>
        <v>10105988Turnaround Network3</v>
      </c>
      <c r="K257" s="30"/>
      <c r="L257" s="30"/>
      <c r="M257" s="30">
        <v>32016</v>
      </c>
      <c r="N257" s="30">
        <v>0</v>
      </c>
      <c r="O257" s="30">
        <v>0</v>
      </c>
      <c r="P257" s="30">
        <v>0</v>
      </c>
      <c r="Q257" s="30">
        <v>0</v>
      </c>
      <c r="R257" s="30">
        <v>0</v>
      </c>
      <c r="S257" s="30">
        <v>0</v>
      </c>
      <c r="T257" s="30">
        <v>0</v>
      </c>
      <c r="U257" s="30"/>
      <c r="V257" s="30"/>
      <c r="W257" s="30"/>
      <c r="X257" s="30"/>
      <c r="Y257" t="s">
        <v>6499</v>
      </c>
    </row>
    <row r="258" spans="1:25" x14ac:dyDescent="0.3">
      <c r="A258" s="2" t="s">
        <v>614</v>
      </c>
      <c r="B258" s="2" t="s">
        <v>620</v>
      </c>
      <c r="C258" s="2" t="s">
        <v>615</v>
      </c>
      <c r="D258" s="2" t="s">
        <v>621</v>
      </c>
      <c r="E258" s="28" t="s">
        <v>6477</v>
      </c>
      <c r="F258" s="28" t="str">
        <f t="shared" si="21"/>
        <v>10108457District Design and Led 18-21</v>
      </c>
      <c r="G258" s="28" t="s">
        <v>6233</v>
      </c>
      <c r="H258" s="28" t="str">
        <f t="shared" ref="H258:H321" si="22">A258&amp;B258&amp;G258</f>
        <v>10108457District Design and Led</v>
      </c>
      <c r="I258" s="29">
        <v>2</v>
      </c>
      <c r="J258" s="28" t="str">
        <f t="shared" ref="J258:J321" si="23">H258&amp;I258</f>
        <v>10108457District Design and Led2</v>
      </c>
      <c r="K258" s="30"/>
      <c r="L258" s="30">
        <v>6547</v>
      </c>
      <c r="M258" s="30">
        <v>13577</v>
      </c>
      <c r="N258" s="30">
        <v>0</v>
      </c>
      <c r="O258" s="30">
        <v>10820</v>
      </c>
      <c r="P258" s="30">
        <v>0</v>
      </c>
      <c r="Q258" s="30">
        <v>0</v>
      </c>
      <c r="R258" s="30">
        <v>0</v>
      </c>
      <c r="S258" s="30">
        <v>0</v>
      </c>
      <c r="T258" s="30">
        <v>0</v>
      </c>
      <c r="U258" s="30"/>
      <c r="V258" s="30"/>
      <c r="W258" s="30"/>
      <c r="X258" s="30"/>
      <c r="Y258" t="s">
        <v>6499</v>
      </c>
    </row>
    <row r="259" spans="1:25" x14ac:dyDescent="0.3">
      <c r="A259" s="2" t="s">
        <v>614</v>
      </c>
      <c r="B259" s="28" t="s">
        <v>620</v>
      </c>
      <c r="C259" s="2" t="s">
        <v>615</v>
      </c>
      <c r="D259" s="2" t="s">
        <v>621</v>
      </c>
      <c r="E259" s="28" t="s">
        <v>6237</v>
      </c>
      <c r="F259" s="28" t="str">
        <f t="shared" si="21"/>
        <v>10108457Turnaround Network</v>
      </c>
      <c r="G259" s="28" t="s">
        <v>6237</v>
      </c>
      <c r="H259" s="28" t="str">
        <f t="shared" si="22"/>
        <v>10108457Turnaround Network</v>
      </c>
      <c r="I259" s="29">
        <v>2</v>
      </c>
      <c r="J259" s="28" t="str">
        <f t="shared" si="23"/>
        <v>10108457Turnaround Network2</v>
      </c>
      <c r="K259" s="32">
        <v>50000</v>
      </c>
      <c r="L259" s="32"/>
      <c r="M259" s="32"/>
      <c r="N259" s="30">
        <v>0</v>
      </c>
      <c r="O259" s="32">
        <v>0</v>
      </c>
      <c r="P259" s="32">
        <v>0</v>
      </c>
      <c r="Q259" s="30">
        <v>0</v>
      </c>
      <c r="R259" s="30">
        <v>0</v>
      </c>
      <c r="S259" s="30">
        <v>0</v>
      </c>
      <c r="T259" s="30">
        <v>0</v>
      </c>
      <c r="U259" s="30"/>
      <c r="V259" s="30"/>
      <c r="W259" s="30"/>
      <c r="X259" s="30"/>
      <c r="Y259" t="s">
        <v>6499</v>
      </c>
    </row>
    <row r="260" spans="1:25" x14ac:dyDescent="0.3">
      <c r="A260" s="2" t="s">
        <v>614</v>
      </c>
      <c r="B260" s="28" t="s">
        <v>1560</v>
      </c>
      <c r="C260" s="2" t="s">
        <v>615</v>
      </c>
      <c r="D260" s="2" t="s">
        <v>1561</v>
      </c>
      <c r="E260" s="28" t="s">
        <v>6237</v>
      </c>
      <c r="F260" s="28" t="str">
        <f t="shared" si="21"/>
        <v>10109445Turnaround Network</v>
      </c>
      <c r="G260" s="28" t="s">
        <v>6237</v>
      </c>
      <c r="H260" s="28" t="str">
        <f t="shared" si="22"/>
        <v>10109445Turnaround Network</v>
      </c>
      <c r="I260" s="29">
        <v>2</v>
      </c>
      <c r="J260" s="28" t="str">
        <f t="shared" si="23"/>
        <v>10109445Turnaround Network2</v>
      </c>
      <c r="K260" s="30">
        <v>50000</v>
      </c>
      <c r="L260" s="30"/>
      <c r="M260" s="30"/>
      <c r="N260" s="30">
        <v>0</v>
      </c>
      <c r="O260" s="30">
        <v>0</v>
      </c>
      <c r="P260" s="30">
        <v>0</v>
      </c>
      <c r="Q260" s="30">
        <v>0</v>
      </c>
      <c r="R260" s="30">
        <v>0</v>
      </c>
      <c r="S260" s="30">
        <v>0</v>
      </c>
      <c r="T260" s="30">
        <v>0</v>
      </c>
      <c r="U260" s="30"/>
      <c r="V260" s="30"/>
      <c r="W260" s="30"/>
      <c r="X260" s="30"/>
      <c r="Y260" t="s">
        <v>6499</v>
      </c>
    </row>
    <row r="261" spans="1:25" x14ac:dyDescent="0.3">
      <c r="A261" s="2" t="s">
        <v>614</v>
      </c>
      <c r="B261" s="2" t="s">
        <v>1560</v>
      </c>
      <c r="C261" s="2" t="s">
        <v>615</v>
      </c>
      <c r="D261" s="2" t="s">
        <v>1561</v>
      </c>
      <c r="E261" s="28" t="s">
        <v>6465</v>
      </c>
      <c r="F261" s="28" t="str">
        <f t="shared" si="21"/>
        <v>10109445Diagnostic Review 19-20</v>
      </c>
      <c r="G261" s="28" t="s">
        <v>6240</v>
      </c>
      <c r="H261" s="28" t="str">
        <f t="shared" si="22"/>
        <v>10109445Diagnostic Review</v>
      </c>
      <c r="I261" s="29">
        <v>3</v>
      </c>
      <c r="J261" s="28" t="str">
        <f t="shared" si="23"/>
        <v>10109445Diagnostic Review3</v>
      </c>
      <c r="K261" s="30"/>
      <c r="L261" s="30"/>
      <c r="M261" s="30"/>
      <c r="N261" s="30">
        <v>3813</v>
      </c>
      <c r="O261" s="30"/>
      <c r="P261" s="30"/>
      <c r="Q261" s="30">
        <v>0</v>
      </c>
      <c r="R261" s="30">
        <v>0</v>
      </c>
      <c r="S261" s="30">
        <v>0</v>
      </c>
      <c r="T261" s="30">
        <v>0</v>
      </c>
      <c r="U261" s="30"/>
      <c r="V261" s="30"/>
      <c r="W261" s="30"/>
      <c r="X261" s="30"/>
      <c r="Y261" t="s">
        <v>6499</v>
      </c>
    </row>
    <row r="262" spans="1:25" x14ac:dyDescent="0.3">
      <c r="A262" s="2" t="s">
        <v>614</v>
      </c>
      <c r="B262" s="2" t="s">
        <v>1560</v>
      </c>
      <c r="C262" s="2" t="s">
        <v>615</v>
      </c>
      <c r="D262" s="2" t="s">
        <v>1561</v>
      </c>
      <c r="E262" s="28" t="s">
        <v>6478</v>
      </c>
      <c r="F262" s="28" t="str">
        <f t="shared" si="21"/>
        <v>10109445District Design and Led 19-22</v>
      </c>
      <c r="G262" s="28" t="s">
        <v>6233</v>
      </c>
      <c r="H262" s="28" t="str">
        <f t="shared" si="22"/>
        <v>10109445District Design and Led</v>
      </c>
      <c r="I262" s="29">
        <v>3</v>
      </c>
      <c r="J262" s="28" t="str">
        <f t="shared" si="23"/>
        <v>10109445District Design and Led3</v>
      </c>
      <c r="K262" s="30"/>
      <c r="L262" s="30"/>
      <c r="M262" s="30"/>
      <c r="N262" s="30">
        <v>0</v>
      </c>
      <c r="O262" s="30"/>
      <c r="P262" s="30">
        <v>10600</v>
      </c>
      <c r="Q262" s="30">
        <v>0</v>
      </c>
      <c r="R262" s="30">
        <v>0</v>
      </c>
      <c r="S262" s="30">
        <v>0</v>
      </c>
      <c r="T262" s="30">
        <v>0</v>
      </c>
      <c r="U262" s="30"/>
      <c r="V262" s="30"/>
      <c r="W262" s="30"/>
      <c r="X262" s="30"/>
      <c r="Y262" t="s">
        <v>6499</v>
      </c>
    </row>
    <row r="263" spans="1:25" x14ac:dyDescent="0.3">
      <c r="A263" s="2" t="s">
        <v>614</v>
      </c>
      <c r="B263" s="28" t="s">
        <v>3039</v>
      </c>
      <c r="C263" s="2" t="s">
        <v>615</v>
      </c>
      <c r="D263" s="2" t="s">
        <v>3040</v>
      </c>
      <c r="E263" s="28" t="s">
        <v>6237</v>
      </c>
      <c r="F263" s="28" t="str">
        <f t="shared" si="21"/>
        <v>10109618Turnaround Network</v>
      </c>
      <c r="G263" s="28" t="s">
        <v>6237</v>
      </c>
      <c r="H263" s="28" t="str">
        <f t="shared" si="22"/>
        <v>10109618Turnaround Network</v>
      </c>
      <c r="I263" s="29">
        <v>2</v>
      </c>
      <c r="J263" s="28" t="str">
        <f t="shared" si="23"/>
        <v>10109618Turnaround Network2</v>
      </c>
      <c r="K263" s="32">
        <f>100000-29897</f>
        <v>70103</v>
      </c>
      <c r="L263" s="32"/>
      <c r="M263" s="32"/>
      <c r="N263" s="32">
        <v>0</v>
      </c>
      <c r="O263" s="32">
        <v>0</v>
      </c>
      <c r="P263" s="32">
        <v>0</v>
      </c>
      <c r="Q263" s="32">
        <v>0</v>
      </c>
      <c r="R263" s="32">
        <v>0</v>
      </c>
      <c r="S263" s="32">
        <v>0</v>
      </c>
      <c r="T263" s="32">
        <v>0</v>
      </c>
      <c r="U263" s="32"/>
      <c r="V263" s="32"/>
      <c r="W263" s="32"/>
      <c r="X263" s="32"/>
      <c r="Y263" t="s">
        <v>6499</v>
      </c>
    </row>
    <row r="264" spans="1:25" x14ac:dyDescent="0.3">
      <c r="A264" s="2" t="s">
        <v>614</v>
      </c>
      <c r="B264" s="28" t="s">
        <v>3039</v>
      </c>
      <c r="C264" s="2" t="s">
        <v>615</v>
      </c>
      <c r="D264" s="2" t="s">
        <v>3040</v>
      </c>
      <c r="E264" s="28" t="s">
        <v>6237</v>
      </c>
      <c r="F264" s="28" t="str">
        <f t="shared" si="21"/>
        <v>10109618Turnaround Network</v>
      </c>
      <c r="G264" s="28" t="s">
        <v>6237</v>
      </c>
      <c r="H264" s="28" t="str">
        <f t="shared" si="22"/>
        <v>10109618Turnaround Network</v>
      </c>
      <c r="I264" s="29">
        <v>3</v>
      </c>
      <c r="J264" s="28" t="str">
        <f t="shared" si="23"/>
        <v>10109618Turnaround Network3</v>
      </c>
      <c r="K264" s="30"/>
      <c r="L264" s="30"/>
      <c r="M264" s="30">
        <v>61913</v>
      </c>
      <c r="N264" s="30">
        <v>0</v>
      </c>
      <c r="O264" s="30">
        <v>0</v>
      </c>
      <c r="P264" s="30">
        <v>0</v>
      </c>
      <c r="Q264" s="30">
        <v>0</v>
      </c>
      <c r="R264" s="30">
        <v>0</v>
      </c>
      <c r="S264" s="30">
        <v>0</v>
      </c>
      <c r="T264" s="30">
        <v>0</v>
      </c>
      <c r="U264" s="30"/>
      <c r="V264" s="30"/>
      <c r="W264" s="30"/>
      <c r="X264" s="30"/>
      <c r="Y264" t="s">
        <v>6499</v>
      </c>
    </row>
    <row r="265" spans="1:25" x14ac:dyDescent="0.3">
      <c r="A265" s="2" t="s">
        <v>614</v>
      </c>
      <c r="B265" s="28" t="s">
        <v>6248</v>
      </c>
      <c r="C265" s="2" t="s">
        <v>615</v>
      </c>
      <c r="D265" s="2" t="s">
        <v>6474</v>
      </c>
      <c r="E265" s="28" t="s">
        <v>6477</v>
      </c>
      <c r="F265" s="28" t="str">
        <f t="shared" si="21"/>
        <v>1010District LevelDistrict Design and Led 18-21</v>
      </c>
      <c r="G265" s="28" t="s">
        <v>6233</v>
      </c>
      <c r="H265" s="28" t="str">
        <f t="shared" si="22"/>
        <v>1010District LevelDistrict Design and Led</v>
      </c>
      <c r="I265" s="29">
        <v>2</v>
      </c>
      <c r="J265" s="28" t="str">
        <f t="shared" si="23"/>
        <v>1010District LevelDistrict Design and Led2</v>
      </c>
      <c r="K265" s="30"/>
      <c r="L265" s="30">
        <v>75604</v>
      </c>
      <c r="M265" s="30">
        <v>118986</v>
      </c>
      <c r="N265" s="30">
        <v>0</v>
      </c>
      <c r="O265" s="30">
        <v>67161</v>
      </c>
      <c r="P265" s="30">
        <v>0</v>
      </c>
      <c r="Q265" s="30">
        <v>0</v>
      </c>
      <c r="R265" s="30">
        <v>0</v>
      </c>
      <c r="S265" s="30">
        <v>0</v>
      </c>
      <c r="T265" s="30">
        <v>0</v>
      </c>
      <c r="U265" s="30"/>
      <c r="V265" s="30"/>
      <c r="W265" s="30"/>
      <c r="X265" s="30"/>
      <c r="Y265" t="s">
        <v>6499</v>
      </c>
    </row>
    <row r="266" spans="1:25" x14ac:dyDescent="0.3">
      <c r="A266" s="28" t="s">
        <v>614</v>
      </c>
      <c r="B266" s="28" t="s">
        <v>6248</v>
      </c>
      <c r="C266" s="2" t="s">
        <v>615</v>
      </c>
      <c r="D266" s="2" t="s">
        <v>6474</v>
      </c>
      <c r="E266" s="2" t="s">
        <v>6487</v>
      </c>
      <c r="F266" s="28" t="str">
        <f t="shared" si="21"/>
        <v>1010District LevelSupervisor Pilot</v>
      </c>
      <c r="G266" s="2" t="s">
        <v>6487</v>
      </c>
      <c r="H266" s="28" t="str">
        <f t="shared" si="22"/>
        <v>1010District LevelSupervisor Pilot</v>
      </c>
      <c r="I266" s="29">
        <v>2</v>
      </c>
      <c r="J266" s="28" t="str">
        <f t="shared" si="23"/>
        <v>1010District LevelSupervisor Pilot2</v>
      </c>
      <c r="K266" s="32"/>
      <c r="L266" s="32">
        <v>40000</v>
      </c>
      <c r="M266" s="32"/>
      <c r="N266" s="30">
        <v>0</v>
      </c>
      <c r="O266" s="30" t="str">
        <f>IFERROR(VLOOKUP($F266,'[2]70XC'!$F:$DA,99,FALSE),"")</f>
        <v/>
      </c>
      <c r="P266" s="30" t="str">
        <f>IFERROR(VLOOKUP($F266,'[2]70XC'!$F:$DA,100,FALSE),"")</f>
        <v/>
      </c>
      <c r="Q266" s="30">
        <v>0</v>
      </c>
      <c r="R266" s="30">
        <v>0</v>
      </c>
      <c r="S266" s="30">
        <v>0</v>
      </c>
      <c r="T266" s="30">
        <v>0</v>
      </c>
      <c r="U266" s="30"/>
      <c r="V266" s="30"/>
      <c r="W266" s="30"/>
      <c r="X266" s="30"/>
      <c r="Y266" t="s">
        <v>6499</v>
      </c>
    </row>
    <row r="267" spans="1:25" x14ac:dyDescent="0.3">
      <c r="A267" s="2" t="s">
        <v>614</v>
      </c>
      <c r="B267" s="28" t="s">
        <v>6248</v>
      </c>
      <c r="C267" s="2" t="s">
        <v>615</v>
      </c>
      <c r="D267" s="2" t="s">
        <v>6474</v>
      </c>
      <c r="E267" s="28" t="s">
        <v>6237</v>
      </c>
      <c r="F267" s="28" t="str">
        <f t="shared" si="21"/>
        <v>1010District LevelTurnaround Network</v>
      </c>
      <c r="G267" s="28" t="s">
        <v>6237</v>
      </c>
      <c r="H267" s="28" t="str">
        <f t="shared" si="22"/>
        <v>1010District LevelTurnaround Network</v>
      </c>
      <c r="I267" s="29">
        <v>2</v>
      </c>
      <c r="J267" s="28" t="str">
        <f t="shared" si="23"/>
        <v>1010District LevelTurnaround Network2</v>
      </c>
      <c r="K267" s="30">
        <v>50000</v>
      </c>
      <c r="L267" s="30"/>
      <c r="M267" s="30"/>
      <c r="N267" s="30">
        <v>0</v>
      </c>
      <c r="O267" s="30">
        <v>0</v>
      </c>
      <c r="P267" s="30">
        <v>0</v>
      </c>
      <c r="Q267" s="30">
        <v>0</v>
      </c>
      <c r="R267" s="30">
        <v>0</v>
      </c>
      <c r="S267" s="30">
        <v>0</v>
      </c>
      <c r="T267" s="30">
        <v>0</v>
      </c>
      <c r="U267" s="30"/>
      <c r="V267" s="30"/>
      <c r="W267" s="30"/>
      <c r="X267" s="30"/>
      <c r="Y267" t="s">
        <v>6499</v>
      </c>
    </row>
    <row r="268" spans="1:25" x14ac:dyDescent="0.3">
      <c r="A268" s="2" t="s">
        <v>614</v>
      </c>
      <c r="B268" s="28" t="s">
        <v>6248</v>
      </c>
      <c r="C268" s="2" t="s">
        <v>615</v>
      </c>
      <c r="D268" s="2" t="s">
        <v>6474</v>
      </c>
      <c r="E268" s="28" t="s">
        <v>6463</v>
      </c>
      <c r="F268" s="28" t="str">
        <f t="shared" si="21"/>
        <v>1010District LevelDiagnostic Review 18-19</v>
      </c>
      <c r="G268" s="28" t="s">
        <v>6240</v>
      </c>
      <c r="H268" s="28" t="str">
        <f t="shared" si="22"/>
        <v>1010District LevelDiagnostic Review</v>
      </c>
      <c r="I268" s="29">
        <v>3</v>
      </c>
      <c r="J268" s="28" t="str">
        <f t="shared" si="23"/>
        <v>1010District LevelDiagnostic Review3</v>
      </c>
      <c r="K268" s="30"/>
      <c r="L268" s="30">
        <v>2838</v>
      </c>
      <c r="M268" s="30"/>
      <c r="N268" s="30">
        <v>0</v>
      </c>
      <c r="O268" s="30">
        <v>0</v>
      </c>
      <c r="P268" s="30">
        <v>0</v>
      </c>
      <c r="Q268" s="30">
        <v>0</v>
      </c>
      <c r="R268" s="30">
        <v>0</v>
      </c>
      <c r="S268" s="30">
        <v>0</v>
      </c>
      <c r="T268" s="30">
        <v>0</v>
      </c>
      <c r="U268" s="30"/>
      <c r="V268" s="30"/>
      <c r="W268" s="30"/>
      <c r="X268" s="30"/>
      <c r="Y268" t="s">
        <v>6499</v>
      </c>
    </row>
    <row r="269" spans="1:25" x14ac:dyDescent="0.3">
      <c r="A269" s="2" t="s">
        <v>614</v>
      </c>
      <c r="B269" s="28" t="s">
        <v>6248</v>
      </c>
      <c r="C269" s="2" t="s">
        <v>615</v>
      </c>
      <c r="D269" s="2" t="s">
        <v>6474</v>
      </c>
      <c r="E269" s="28" t="s">
        <v>6237</v>
      </c>
      <c r="F269" s="28" t="str">
        <f t="shared" si="21"/>
        <v>1010District LevelTurnaround Network</v>
      </c>
      <c r="G269" s="28" t="s">
        <v>6237</v>
      </c>
      <c r="H269" s="28" t="str">
        <f t="shared" si="22"/>
        <v>1010District LevelTurnaround Network</v>
      </c>
      <c r="I269" s="29">
        <v>3</v>
      </c>
      <c r="J269" s="28" t="str">
        <f t="shared" si="23"/>
        <v>1010District LevelTurnaround Network3</v>
      </c>
      <c r="K269" s="30"/>
      <c r="L269" s="30"/>
      <c r="M269" s="30">
        <v>21344</v>
      </c>
      <c r="N269" s="30">
        <v>0</v>
      </c>
      <c r="O269" s="30">
        <v>0</v>
      </c>
      <c r="P269" s="30">
        <v>0</v>
      </c>
      <c r="Q269" s="30">
        <v>0</v>
      </c>
      <c r="R269" s="30">
        <v>0</v>
      </c>
      <c r="S269" s="30">
        <v>0</v>
      </c>
      <c r="T269" s="30">
        <v>0</v>
      </c>
      <c r="U269" s="30"/>
      <c r="V269" s="30"/>
      <c r="W269" s="30"/>
      <c r="X269" s="30"/>
      <c r="Y269" t="s">
        <v>6499</v>
      </c>
    </row>
    <row r="270" spans="1:25" x14ac:dyDescent="0.3">
      <c r="A270" s="28" t="s">
        <v>614</v>
      </c>
      <c r="B270" s="28" t="s">
        <v>6248</v>
      </c>
      <c r="C270" s="2" t="s">
        <v>615</v>
      </c>
      <c r="D270" s="2" t="s">
        <v>6474</v>
      </c>
      <c r="E270" s="28" t="s">
        <v>6475</v>
      </c>
      <c r="F270" s="28" t="str">
        <f t="shared" si="21"/>
        <v>1010District LevelDDL</v>
      </c>
      <c r="G270" s="28" t="s">
        <v>6233</v>
      </c>
      <c r="H270" s="28" t="str">
        <f t="shared" si="22"/>
        <v>1010District LevelDistrict Design and Led</v>
      </c>
      <c r="I270" s="29">
        <v>5</v>
      </c>
      <c r="J270" s="28" t="str">
        <f t="shared" si="23"/>
        <v>1010District LevelDistrict Design and Led5</v>
      </c>
      <c r="K270" s="30">
        <v>0</v>
      </c>
      <c r="L270" s="30">
        <v>0</v>
      </c>
      <c r="M270" s="30">
        <v>0</v>
      </c>
      <c r="N270" s="30">
        <v>0</v>
      </c>
      <c r="O270" s="30">
        <v>0</v>
      </c>
      <c r="P270" s="30">
        <v>0</v>
      </c>
      <c r="Q270" s="30">
        <v>0</v>
      </c>
      <c r="R270" s="30">
        <v>0</v>
      </c>
      <c r="S270" s="30">
        <v>0</v>
      </c>
      <c r="T270" s="30">
        <v>0</v>
      </c>
      <c r="U270" s="30">
        <v>50000</v>
      </c>
      <c r="V270" s="30">
        <v>50000</v>
      </c>
      <c r="W270" s="30">
        <v>50000</v>
      </c>
      <c r="X270" s="30">
        <v>0</v>
      </c>
      <c r="Y270" t="s">
        <v>6499</v>
      </c>
    </row>
    <row r="271" spans="1:25" x14ac:dyDescent="0.3">
      <c r="A271" s="2" t="s">
        <v>522</v>
      </c>
      <c r="B271" s="28" t="s">
        <v>6248</v>
      </c>
      <c r="C271" s="2" t="s">
        <v>523</v>
      </c>
      <c r="D271" s="2" t="s">
        <v>6474</v>
      </c>
      <c r="E271" s="2" t="s">
        <v>6457</v>
      </c>
      <c r="F271" s="28" t="s">
        <v>6235</v>
      </c>
      <c r="G271" s="2" t="s">
        <v>6235</v>
      </c>
      <c r="H271" s="28" t="str">
        <f t="shared" si="22"/>
        <v>1050District LevelMTSS</v>
      </c>
      <c r="I271" s="29">
        <v>4</v>
      </c>
      <c r="J271" s="28" t="str">
        <f t="shared" si="23"/>
        <v>1050District LevelMTSS4</v>
      </c>
      <c r="K271" s="32"/>
      <c r="L271" s="32"/>
      <c r="M271" s="32"/>
      <c r="N271" s="30"/>
      <c r="O271" s="30"/>
      <c r="P271" s="30"/>
      <c r="Q271" s="30">
        <v>5000</v>
      </c>
      <c r="R271" s="30">
        <v>0</v>
      </c>
      <c r="S271" s="30">
        <v>0</v>
      </c>
      <c r="T271" s="30">
        <v>65000</v>
      </c>
      <c r="U271" s="30"/>
      <c r="V271" s="30"/>
      <c r="W271" s="30"/>
      <c r="X271" s="30"/>
      <c r="Y271" t="s">
        <v>6499</v>
      </c>
    </row>
    <row r="272" spans="1:25" x14ac:dyDescent="0.3">
      <c r="A272" s="2" t="s">
        <v>811</v>
      </c>
      <c r="B272" s="2" t="s">
        <v>2398</v>
      </c>
      <c r="C272" s="2" t="s">
        <v>812</v>
      </c>
      <c r="D272" s="2" t="s">
        <v>2399</v>
      </c>
      <c r="E272" s="28" t="s">
        <v>6468</v>
      </c>
      <c r="F272" s="28" t="s">
        <v>6469</v>
      </c>
      <c r="G272" s="28" t="s">
        <v>6240</v>
      </c>
      <c r="H272" s="28" t="str">
        <f t="shared" si="22"/>
        <v>10606900Diagnostic Review</v>
      </c>
      <c r="I272" s="29">
        <v>4</v>
      </c>
      <c r="J272" s="28" t="str">
        <f t="shared" si="23"/>
        <v>10606900Diagnostic Review4</v>
      </c>
      <c r="K272" s="30"/>
      <c r="L272" s="30"/>
      <c r="M272" s="30"/>
      <c r="N272" s="30"/>
      <c r="O272" s="30"/>
      <c r="P272" s="30"/>
      <c r="Q272" s="30">
        <v>38995</v>
      </c>
      <c r="R272" s="30">
        <v>0</v>
      </c>
      <c r="S272" s="30">
        <v>0</v>
      </c>
      <c r="T272" s="30">
        <v>26214</v>
      </c>
      <c r="U272" s="30"/>
      <c r="V272" s="30"/>
      <c r="W272" s="30"/>
      <c r="X272" s="30"/>
      <c r="Y272" t="s">
        <v>6499</v>
      </c>
    </row>
    <row r="273" spans="1:25" x14ac:dyDescent="0.3">
      <c r="A273" s="28" t="s">
        <v>1668</v>
      </c>
      <c r="B273" s="28" t="s">
        <v>6248</v>
      </c>
      <c r="C273" s="2" t="s">
        <v>2210</v>
      </c>
      <c r="D273" s="2" t="s">
        <v>6474</v>
      </c>
      <c r="E273" s="28" t="s">
        <v>6477</v>
      </c>
      <c r="F273" s="28" t="str">
        <f>A273&amp;B273&amp;E273</f>
        <v>1070District LevelDistrict Design and Led 18-21</v>
      </c>
      <c r="G273" s="28" t="s">
        <v>6233</v>
      </c>
      <c r="H273" s="28" t="str">
        <f t="shared" si="22"/>
        <v>1070District LevelDistrict Design and Led</v>
      </c>
      <c r="I273" s="29">
        <v>3</v>
      </c>
      <c r="J273" s="28" t="str">
        <f t="shared" si="23"/>
        <v>1070District LevelDistrict Design and Led3</v>
      </c>
      <c r="K273" s="30"/>
      <c r="L273" s="30">
        <v>118642</v>
      </c>
      <c r="M273" s="30"/>
      <c r="N273" s="30">
        <v>0</v>
      </c>
      <c r="O273" s="30">
        <v>0</v>
      </c>
      <c r="P273" s="30">
        <v>0</v>
      </c>
      <c r="Q273" s="30">
        <v>0</v>
      </c>
      <c r="R273" s="30">
        <v>0</v>
      </c>
      <c r="S273" s="30">
        <v>0</v>
      </c>
      <c r="T273" s="30">
        <v>0</v>
      </c>
      <c r="U273" s="30"/>
      <c r="V273" s="30"/>
      <c r="W273" s="30"/>
      <c r="X273" s="30"/>
      <c r="Y273" t="s">
        <v>6499</v>
      </c>
    </row>
    <row r="274" spans="1:25" x14ac:dyDescent="0.3">
      <c r="A274" s="2" t="s">
        <v>526</v>
      </c>
      <c r="B274" s="2" t="s">
        <v>2955</v>
      </c>
      <c r="C274" s="2" t="s">
        <v>527</v>
      </c>
      <c r="D274" s="2" t="s">
        <v>2956</v>
      </c>
      <c r="E274" s="28" t="s">
        <v>6468</v>
      </c>
      <c r="F274" s="28" t="s">
        <v>6470</v>
      </c>
      <c r="G274" s="28" t="s">
        <v>6240</v>
      </c>
      <c r="H274" s="28" t="str">
        <f t="shared" si="22"/>
        <v>11106810Diagnostic Review</v>
      </c>
      <c r="I274" s="29">
        <v>4</v>
      </c>
      <c r="J274" s="28" t="str">
        <f t="shared" si="23"/>
        <v>11106810Diagnostic Review4</v>
      </c>
      <c r="K274" s="30"/>
      <c r="L274" s="30"/>
      <c r="M274" s="30"/>
      <c r="N274" s="30"/>
      <c r="O274" s="30"/>
      <c r="P274" s="30"/>
      <c r="Q274" s="30">
        <v>2527</v>
      </c>
      <c r="R274" s="30">
        <v>0</v>
      </c>
      <c r="S274" s="30">
        <v>0</v>
      </c>
      <c r="T274" s="30">
        <v>10000</v>
      </c>
      <c r="U274" s="30"/>
      <c r="V274" s="30"/>
      <c r="W274" s="30"/>
      <c r="X274" s="30"/>
      <c r="Y274" t="s">
        <v>6499</v>
      </c>
    </row>
    <row r="275" spans="1:25" x14ac:dyDescent="0.3">
      <c r="A275" s="2" t="s">
        <v>526</v>
      </c>
      <c r="B275" s="2" t="s">
        <v>5165</v>
      </c>
      <c r="C275" s="2" t="s">
        <v>527</v>
      </c>
      <c r="D275" s="2" t="s">
        <v>5166</v>
      </c>
      <c r="E275" s="28" t="s">
        <v>6473</v>
      </c>
      <c r="F275" s="28" t="str">
        <f>A275&amp;B275&amp;E275</f>
        <v>11108791District Design and Led 17-20</v>
      </c>
      <c r="G275" s="28" t="s">
        <v>6233</v>
      </c>
      <c r="H275" s="28" t="str">
        <f t="shared" si="22"/>
        <v>11108791District Design and Led</v>
      </c>
      <c r="I275" s="29">
        <v>2</v>
      </c>
      <c r="J275" s="28" t="str">
        <f t="shared" si="23"/>
        <v>11108791District Design and Led2</v>
      </c>
      <c r="K275" s="30">
        <v>26400</v>
      </c>
      <c r="L275" s="30">
        <v>25550</v>
      </c>
      <c r="M275" s="30"/>
      <c r="N275" s="30">
        <v>0</v>
      </c>
      <c r="O275" s="30">
        <v>0</v>
      </c>
      <c r="P275" s="30">
        <v>0</v>
      </c>
      <c r="Q275" s="30">
        <v>0</v>
      </c>
      <c r="R275" s="30">
        <v>0</v>
      </c>
      <c r="S275" s="30">
        <v>0</v>
      </c>
      <c r="T275" s="30">
        <v>0</v>
      </c>
      <c r="U275" s="30"/>
      <c r="V275" s="30"/>
      <c r="W275" s="30"/>
      <c r="X275" s="30"/>
      <c r="Y275" t="s">
        <v>6499</v>
      </c>
    </row>
    <row r="276" spans="1:25" x14ac:dyDescent="0.3">
      <c r="A276" s="28" t="s">
        <v>541</v>
      </c>
      <c r="B276" s="28" t="s">
        <v>2961</v>
      </c>
      <c r="C276" s="2" t="s">
        <v>542</v>
      </c>
      <c r="D276" s="2" t="s">
        <v>2962</v>
      </c>
      <c r="E276" s="28" t="s">
        <v>6468</v>
      </c>
      <c r="F276" s="28" t="str">
        <f>A276&amp;B276&amp;E276</f>
        <v>11401266Exploration</v>
      </c>
      <c r="G276" s="28" t="s">
        <v>6240</v>
      </c>
      <c r="H276" s="28" t="str">
        <f t="shared" si="22"/>
        <v>11401266Diagnostic Review</v>
      </c>
      <c r="I276" s="29">
        <v>5</v>
      </c>
      <c r="J276" s="28" t="str">
        <f t="shared" si="23"/>
        <v>11401266Diagnostic Review5</v>
      </c>
      <c r="K276" s="30">
        <v>0</v>
      </c>
      <c r="L276" s="30">
        <v>0</v>
      </c>
      <c r="M276" s="30">
        <v>0</v>
      </c>
      <c r="N276" s="30">
        <v>0</v>
      </c>
      <c r="O276" s="30">
        <v>0</v>
      </c>
      <c r="P276" s="30">
        <v>0</v>
      </c>
      <c r="Q276" s="30">
        <v>0</v>
      </c>
      <c r="R276" s="30">
        <v>0</v>
      </c>
      <c r="S276" s="30">
        <v>0</v>
      </c>
      <c r="T276" s="30">
        <v>0</v>
      </c>
      <c r="U276" s="30">
        <v>40508</v>
      </c>
      <c r="V276" s="30">
        <v>34480</v>
      </c>
      <c r="W276" s="30">
        <v>0</v>
      </c>
      <c r="X276" s="30">
        <v>0</v>
      </c>
      <c r="Y276" t="s">
        <v>6499</v>
      </c>
    </row>
    <row r="277" spans="1:25" x14ac:dyDescent="0.3">
      <c r="A277" s="2" t="s">
        <v>541</v>
      </c>
      <c r="B277" s="2" t="s">
        <v>4487</v>
      </c>
      <c r="C277" s="2" t="s">
        <v>542</v>
      </c>
      <c r="D277" s="2" t="s">
        <v>4488</v>
      </c>
      <c r="E277" s="28" t="s">
        <v>6465</v>
      </c>
      <c r="F277" s="28" t="str">
        <f>A277&amp;B277&amp;E277</f>
        <v>11405704Diagnostic Review 19-20</v>
      </c>
      <c r="G277" s="28" t="s">
        <v>6240</v>
      </c>
      <c r="H277" s="28" t="str">
        <f t="shared" si="22"/>
        <v>11405704Diagnostic Review</v>
      </c>
      <c r="I277" s="29">
        <v>3</v>
      </c>
      <c r="J277" s="28" t="str">
        <f t="shared" si="23"/>
        <v>11405704Diagnostic Review3</v>
      </c>
      <c r="K277" s="30"/>
      <c r="L277" s="30"/>
      <c r="M277" s="30"/>
      <c r="N277" s="30">
        <v>63462</v>
      </c>
      <c r="O277" s="30"/>
      <c r="P277" s="30"/>
      <c r="Q277" s="30">
        <v>0</v>
      </c>
      <c r="R277" s="30">
        <v>0</v>
      </c>
      <c r="S277" s="30">
        <v>0</v>
      </c>
      <c r="T277" s="30">
        <v>0</v>
      </c>
      <c r="U277" s="30"/>
      <c r="V277" s="30"/>
      <c r="W277" s="30"/>
      <c r="X277" s="30"/>
      <c r="Y277" t="s">
        <v>6499</v>
      </c>
    </row>
    <row r="278" spans="1:25" x14ac:dyDescent="0.3">
      <c r="A278" s="2" t="s">
        <v>541</v>
      </c>
      <c r="B278" s="2" t="s">
        <v>4487</v>
      </c>
      <c r="C278" s="2" t="s">
        <v>542</v>
      </c>
      <c r="D278" s="2" t="s">
        <v>4488</v>
      </c>
      <c r="E278" s="28" t="s">
        <v>6475</v>
      </c>
      <c r="F278" s="28" t="s">
        <v>6476</v>
      </c>
      <c r="G278" s="28" t="s">
        <v>6233</v>
      </c>
      <c r="H278" s="28" t="str">
        <f t="shared" si="22"/>
        <v>11405704District Design and Led</v>
      </c>
      <c r="I278" s="29">
        <v>4</v>
      </c>
      <c r="J278" s="28" t="str">
        <f t="shared" si="23"/>
        <v>11405704District Design and Led4</v>
      </c>
      <c r="K278" s="30"/>
      <c r="L278" s="30"/>
      <c r="M278" s="30"/>
      <c r="N278" s="30"/>
      <c r="O278" s="30"/>
      <c r="P278" s="30"/>
      <c r="Q278" s="30">
        <v>28411</v>
      </c>
      <c r="R278" s="30">
        <v>0</v>
      </c>
      <c r="S278" s="30">
        <v>0</v>
      </c>
      <c r="T278" s="30">
        <v>50000</v>
      </c>
      <c r="U278" s="30"/>
      <c r="V278" s="30"/>
      <c r="W278" s="30"/>
      <c r="X278" s="30"/>
      <c r="Y278" t="s">
        <v>6499</v>
      </c>
    </row>
    <row r="279" spans="1:25" x14ac:dyDescent="0.3">
      <c r="A279" s="2" t="s">
        <v>1484</v>
      </c>
      <c r="B279" s="2" t="s">
        <v>4489</v>
      </c>
      <c r="C279" s="2" t="s">
        <v>1485</v>
      </c>
      <c r="D279" s="2" t="s">
        <v>4490</v>
      </c>
      <c r="E279" s="28" t="s">
        <v>6463</v>
      </c>
      <c r="F279" s="28" t="str">
        <f t="shared" ref="F279:F290" si="24">A279&amp;B279&amp;E279</f>
        <v>11503002Diagnostic Review 18-19</v>
      </c>
      <c r="G279" s="28" t="s">
        <v>6240</v>
      </c>
      <c r="H279" s="28" t="str">
        <f t="shared" si="22"/>
        <v>11503002Diagnostic Review</v>
      </c>
      <c r="I279" s="29">
        <v>3</v>
      </c>
      <c r="J279" s="28" t="str">
        <f t="shared" si="23"/>
        <v>11503002Diagnostic Review3</v>
      </c>
      <c r="K279" s="30"/>
      <c r="L279" s="30">
        <v>28844</v>
      </c>
      <c r="M279" s="30"/>
      <c r="N279" s="30">
        <v>0</v>
      </c>
      <c r="O279" s="30">
        <v>0</v>
      </c>
      <c r="P279" s="30">
        <v>0</v>
      </c>
      <c r="Q279" s="30">
        <v>0</v>
      </c>
      <c r="R279" s="30">
        <v>0</v>
      </c>
      <c r="S279" s="30">
        <v>0</v>
      </c>
      <c r="T279" s="30">
        <v>0</v>
      </c>
      <c r="U279" s="30"/>
      <c r="V279" s="30"/>
      <c r="W279" s="30"/>
      <c r="X279" s="30"/>
      <c r="Y279" t="s">
        <v>6499</v>
      </c>
    </row>
    <row r="280" spans="1:25" x14ac:dyDescent="0.3">
      <c r="A280" s="2" t="s">
        <v>354</v>
      </c>
      <c r="B280" s="28" t="s">
        <v>2091</v>
      </c>
      <c r="C280" s="2" t="s">
        <v>355</v>
      </c>
      <c r="D280" s="2" t="s">
        <v>2092</v>
      </c>
      <c r="E280" s="28" t="s">
        <v>6237</v>
      </c>
      <c r="F280" s="28" t="str">
        <f t="shared" si="24"/>
        <v>11808038Turnaround Network</v>
      </c>
      <c r="G280" s="28" t="s">
        <v>6237</v>
      </c>
      <c r="H280" s="28" t="str">
        <f t="shared" si="22"/>
        <v>11808038Turnaround Network</v>
      </c>
      <c r="I280" s="29">
        <v>2</v>
      </c>
      <c r="J280" s="28" t="str">
        <f t="shared" si="23"/>
        <v>11808038Turnaround Network2</v>
      </c>
      <c r="K280" s="30">
        <v>70444</v>
      </c>
      <c r="L280" s="30"/>
      <c r="M280" s="30"/>
      <c r="N280" s="30">
        <v>0</v>
      </c>
      <c r="O280" s="30">
        <v>21266</v>
      </c>
      <c r="P280" s="30">
        <v>0</v>
      </c>
      <c r="Q280" s="30">
        <v>0</v>
      </c>
      <c r="R280" s="30">
        <v>0</v>
      </c>
      <c r="S280" s="30">
        <v>0</v>
      </c>
      <c r="T280" s="30">
        <v>0</v>
      </c>
      <c r="U280" s="30"/>
      <c r="V280" s="30"/>
      <c r="W280" s="30"/>
      <c r="X280" s="30"/>
      <c r="Y280" t="s">
        <v>6499</v>
      </c>
    </row>
    <row r="281" spans="1:25" x14ac:dyDescent="0.3">
      <c r="A281" s="2" t="s">
        <v>354</v>
      </c>
      <c r="B281" s="28" t="s">
        <v>2091</v>
      </c>
      <c r="C281" s="2" t="s">
        <v>355</v>
      </c>
      <c r="D281" s="2" t="s">
        <v>2092</v>
      </c>
      <c r="E281" s="28" t="s">
        <v>6237</v>
      </c>
      <c r="F281" s="28" t="str">
        <f t="shared" si="24"/>
        <v>11808038Turnaround Network</v>
      </c>
      <c r="G281" s="28" t="s">
        <v>6237</v>
      </c>
      <c r="H281" s="28" t="str">
        <f t="shared" si="22"/>
        <v>11808038Turnaround Network</v>
      </c>
      <c r="I281" s="29">
        <v>3</v>
      </c>
      <c r="J281" s="28" t="str">
        <f t="shared" si="23"/>
        <v>11808038Turnaround Network3</v>
      </c>
      <c r="K281" s="30"/>
      <c r="L281" s="30"/>
      <c r="M281" s="30">
        <v>60000</v>
      </c>
      <c r="N281" s="30">
        <v>0</v>
      </c>
      <c r="O281" s="30"/>
      <c r="P281" s="30">
        <v>0</v>
      </c>
      <c r="Q281" s="30">
        <v>0</v>
      </c>
      <c r="R281" s="30">
        <v>0</v>
      </c>
      <c r="S281" s="30">
        <v>0</v>
      </c>
      <c r="T281" s="30">
        <v>0</v>
      </c>
      <c r="U281" s="30"/>
      <c r="V281" s="30"/>
      <c r="W281" s="30"/>
      <c r="X281" s="30"/>
      <c r="Y281" t="s">
        <v>6499</v>
      </c>
    </row>
    <row r="282" spans="1:25" x14ac:dyDescent="0.3">
      <c r="A282" s="2" t="s">
        <v>354</v>
      </c>
      <c r="B282" s="28" t="s">
        <v>6248</v>
      </c>
      <c r="C282" s="2" t="s">
        <v>355</v>
      </c>
      <c r="D282" s="2" t="s">
        <v>6474</v>
      </c>
      <c r="E282" s="28" t="s">
        <v>6473</v>
      </c>
      <c r="F282" s="28" t="str">
        <f t="shared" si="24"/>
        <v>1180District LevelDistrict Design and Led 17-20</v>
      </c>
      <c r="G282" s="28" t="s">
        <v>6233</v>
      </c>
      <c r="H282" s="28" t="str">
        <f t="shared" si="22"/>
        <v>1180District LevelDistrict Design and Led</v>
      </c>
      <c r="I282" s="29">
        <v>2</v>
      </c>
      <c r="J282" s="28" t="str">
        <f t="shared" si="23"/>
        <v>1180District LevelDistrict Design and Led2</v>
      </c>
      <c r="K282" s="30">
        <v>24563</v>
      </c>
      <c r="L282" s="30">
        <v>12250</v>
      </c>
      <c r="M282" s="30">
        <v>9261</v>
      </c>
      <c r="N282" s="30">
        <v>0</v>
      </c>
      <c r="O282" s="30">
        <v>0</v>
      </c>
      <c r="P282" s="30">
        <v>0</v>
      </c>
      <c r="Q282" s="30">
        <v>0</v>
      </c>
      <c r="R282" s="30">
        <v>0</v>
      </c>
      <c r="S282" s="30">
        <v>0</v>
      </c>
      <c r="T282" s="30">
        <v>0</v>
      </c>
      <c r="U282" s="30"/>
      <c r="V282" s="30"/>
      <c r="W282" s="30"/>
      <c r="X282" s="30"/>
      <c r="Y282" t="s">
        <v>6499</v>
      </c>
    </row>
    <row r="283" spans="1:25" x14ac:dyDescent="0.3">
      <c r="A283" s="2" t="s">
        <v>501</v>
      </c>
      <c r="B283" s="2" t="s">
        <v>3677</v>
      </c>
      <c r="C283" s="2" t="s">
        <v>502</v>
      </c>
      <c r="D283" s="2" t="s">
        <v>3678</v>
      </c>
      <c r="E283" s="28" t="s">
        <v>6463</v>
      </c>
      <c r="F283" s="28" t="str">
        <f t="shared" si="24"/>
        <v>13603690Diagnostic Review 18-19</v>
      </c>
      <c r="G283" s="28" t="s">
        <v>6240</v>
      </c>
      <c r="H283" s="28" t="str">
        <f t="shared" si="22"/>
        <v>13603690Diagnostic Review</v>
      </c>
      <c r="I283" s="29">
        <v>3</v>
      </c>
      <c r="J283" s="28" t="str">
        <f t="shared" si="23"/>
        <v>13603690Diagnostic Review3</v>
      </c>
      <c r="K283" s="30"/>
      <c r="L283" s="30">
        <v>27393</v>
      </c>
      <c r="M283" s="30"/>
      <c r="N283" s="30">
        <v>0</v>
      </c>
      <c r="O283" s="30">
        <v>0</v>
      </c>
      <c r="P283" s="30">
        <v>0</v>
      </c>
      <c r="Q283" s="30">
        <v>0</v>
      </c>
      <c r="R283" s="30">
        <v>0</v>
      </c>
      <c r="S283" s="30">
        <v>0</v>
      </c>
      <c r="T283" s="30">
        <v>0</v>
      </c>
      <c r="U283" s="30"/>
      <c r="V283" s="30"/>
      <c r="W283" s="30"/>
      <c r="X283" s="30"/>
      <c r="Y283" t="s">
        <v>6499</v>
      </c>
    </row>
    <row r="284" spans="1:25" x14ac:dyDescent="0.3">
      <c r="A284" s="28" t="s">
        <v>588</v>
      </c>
      <c r="B284" s="28" t="s">
        <v>5835</v>
      </c>
      <c r="C284" s="2" t="s">
        <v>589</v>
      </c>
      <c r="D284" s="2" t="s">
        <v>5836</v>
      </c>
      <c r="E284" s="28" t="s">
        <v>6457</v>
      </c>
      <c r="F284" s="28" t="str">
        <f t="shared" si="24"/>
        <v>13900063OfferedServices</v>
      </c>
      <c r="G284" s="28" t="s">
        <v>6458</v>
      </c>
      <c r="H284" s="28" t="str">
        <f t="shared" si="22"/>
        <v>13900063Connect for Success</v>
      </c>
      <c r="I284" s="29">
        <v>5</v>
      </c>
      <c r="J284" s="28" t="str">
        <f t="shared" si="23"/>
        <v>13900063Connect for Success5</v>
      </c>
      <c r="K284" s="30">
        <v>0</v>
      </c>
      <c r="L284" s="30">
        <v>0</v>
      </c>
      <c r="M284" s="30">
        <v>0</v>
      </c>
      <c r="N284" s="30">
        <v>0</v>
      </c>
      <c r="O284" s="30">
        <v>0</v>
      </c>
      <c r="P284" s="30">
        <v>0</v>
      </c>
      <c r="Q284" s="30">
        <v>0</v>
      </c>
      <c r="R284" s="30">
        <v>0</v>
      </c>
      <c r="S284" s="30">
        <v>0</v>
      </c>
      <c r="T284" s="30">
        <v>0</v>
      </c>
      <c r="U284" s="30">
        <v>20000</v>
      </c>
      <c r="V284" s="30">
        <v>80000</v>
      </c>
      <c r="W284" s="30">
        <v>80000</v>
      </c>
      <c r="X284" s="30">
        <v>0</v>
      </c>
      <c r="Y284" t="s">
        <v>6500</v>
      </c>
    </row>
    <row r="285" spans="1:25" x14ac:dyDescent="0.3">
      <c r="A285" s="2" t="s">
        <v>252</v>
      </c>
      <c r="B285" s="2" t="s">
        <v>3470</v>
      </c>
      <c r="C285" s="2" t="s">
        <v>253</v>
      </c>
      <c r="D285" s="2" t="s">
        <v>3471</v>
      </c>
      <c r="E285" s="28" t="s">
        <v>6460</v>
      </c>
      <c r="F285" s="28" t="str">
        <f t="shared" si="24"/>
        <v>14200109Connect For Success 16-19</v>
      </c>
      <c r="G285" s="28" t="s">
        <v>6234</v>
      </c>
      <c r="H285" s="28" t="str">
        <f t="shared" si="22"/>
        <v>14200109Connect For Success</v>
      </c>
      <c r="I285" s="29">
        <v>1</v>
      </c>
      <c r="J285" s="28" t="str">
        <f t="shared" si="23"/>
        <v>14200109Connect For Success1</v>
      </c>
      <c r="K285" s="30">
        <v>0</v>
      </c>
      <c r="L285" s="30">
        <v>33651</v>
      </c>
      <c r="M285" s="30"/>
      <c r="N285" s="30">
        <v>0</v>
      </c>
      <c r="O285" s="30">
        <v>0</v>
      </c>
      <c r="P285" s="30">
        <v>0</v>
      </c>
      <c r="Q285" s="30">
        <v>0</v>
      </c>
      <c r="R285" s="30">
        <v>0</v>
      </c>
      <c r="S285" s="30">
        <v>0</v>
      </c>
      <c r="T285" s="30">
        <v>0</v>
      </c>
      <c r="U285" s="30"/>
      <c r="V285" s="30"/>
      <c r="W285" s="30"/>
      <c r="X285" s="30"/>
      <c r="Y285" t="s">
        <v>6499</v>
      </c>
    </row>
    <row r="286" spans="1:25" x14ac:dyDescent="0.3">
      <c r="A286" s="2" t="s">
        <v>252</v>
      </c>
      <c r="B286" s="28" t="s">
        <v>3470</v>
      </c>
      <c r="C286" s="2" t="s">
        <v>253</v>
      </c>
      <c r="D286" s="2" t="s">
        <v>3471</v>
      </c>
      <c r="E286" s="28" t="s">
        <v>6237</v>
      </c>
      <c r="F286" s="28" t="str">
        <f t="shared" si="24"/>
        <v>14200109Turnaround Network</v>
      </c>
      <c r="G286" s="28" t="s">
        <v>6237</v>
      </c>
      <c r="H286" s="28" t="str">
        <f t="shared" si="22"/>
        <v>14200109Turnaround Network</v>
      </c>
      <c r="I286" s="29">
        <v>2</v>
      </c>
      <c r="J286" s="28" t="str">
        <f t="shared" si="23"/>
        <v>14200109Turnaround Network2</v>
      </c>
      <c r="K286" s="30">
        <v>79215</v>
      </c>
      <c r="L286" s="30"/>
      <c r="M286" s="30"/>
      <c r="N286" s="30">
        <v>0</v>
      </c>
      <c r="O286" s="30">
        <v>31491</v>
      </c>
      <c r="P286" s="30">
        <v>0</v>
      </c>
      <c r="Q286" s="30">
        <v>0</v>
      </c>
      <c r="R286" s="30">
        <v>0</v>
      </c>
      <c r="S286" s="30">
        <v>0</v>
      </c>
      <c r="T286" s="30">
        <v>0</v>
      </c>
      <c r="U286" s="30"/>
      <c r="V286" s="30"/>
      <c r="W286" s="30"/>
      <c r="X286" s="30"/>
      <c r="Y286" t="s">
        <v>6499</v>
      </c>
    </row>
    <row r="287" spans="1:25" x14ac:dyDescent="0.3">
      <c r="A287" s="2" t="s">
        <v>252</v>
      </c>
      <c r="B287" s="28" t="s">
        <v>3470</v>
      </c>
      <c r="C287" s="2" t="s">
        <v>253</v>
      </c>
      <c r="D287" s="2" t="s">
        <v>3471</v>
      </c>
      <c r="E287" s="28" t="s">
        <v>6237</v>
      </c>
      <c r="F287" s="28" t="str">
        <f t="shared" si="24"/>
        <v>14200109Turnaround Network</v>
      </c>
      <c r="G287" s="28" t="s">
        <v>6237</v>
      </c>
      <c r="H287" s="28" t="str">
        <f t="shared" si="22"/>
        <v>14200109Turnaround Network</v>
      </c>
      <c r="I287" s="29">
        <v>3</v>
      </c>
      <c r="J287" s="28" t="str">
        <f t="shared" si="23"/>
        <v>14200109Turnaround Network3</v>
      </c>
      <c r="K287" s="30"/>
      <c r="L287" s="30"/>
      <c r="M287" s="30">
        <v>75000</v>
      </c>
      <c r="N287" s="30">
        <v>0</v>
      </c>
      <c r="O287" s="30"/>
      <c r="P287" s="30">
        <v>0</v>
      </c>
      <c r="Q287" s="30">
        <v>0</v>
      </c>
      <c r="R287" s="30">
        <v>0</v>
      </c>
      <c r="S287" s="30">
        <v>0</v>
      </c>
      <c r="T287" s="30">
        <v>0</v>
      </c>
      <c r="U287" s="30"/>
      <c r="V287" s="30"/>
      <c r="W287" s="30"/>
      <c r="X287" s="30"/>
      <c r="Y287" t="s">
        <v>6499</v>
      </c>
    </row>
    <row r="288" spans="1:25" x14ac:dyDescent="0.3">
      <c r="A288" s="28" t="s">
        <v>252</v>
      </c>
      <c r="B288" s="28" t="s">
        <v>3484</v>
      </c>
      <c r="C288" s="2" t="s">
        <v>253</v>
      </c>
      <c r="D288" s="2" t="s">
        <v>3485</v>
      </c>
      <c r="E288" s="28" t="s">
        <v>6238</v>
      </c>
      <c r="F288" s="28" t="str">
        <f t="shared" si="24"/>
        <v>14200965AEC Pilot</v>
      </c>
      <c r="G288" s="28" t="s">
        <v>6238</v>
      </c>
      <c r="H288" s="28" t="str">
        <f t="shared" si="22"/>
        <v>14200965AEC Pilot</v>
      </c>
      <c r="I288" s="29">
        <v>2</v>
      </c>
      <c r="J288" s="28" t="str">
        <f t="shared" si="23"/>
        <v>14200965AEC Pilot2</v>
      </c>
      <c r="K288" s="30"/>
      <c r="L288" s="30"/>
      <c r="M288" s="30"/>
      <c r="N288" s="30">
        <v>0</v>
      </c>
      <c r="O288" s="30">
        <v>11000</v>
      </c>
      <c r="P288" s="30">
        <v>0</v>
      </c>
      <c r="Q288" s="30">
        <v>0</v>
      </c>
      <c r="R288" s="30">
        <v>0</v>
      </c>
      <c r="S288" s="30">
        <v>0</v>
      </c>
      <c r="T288" s="30">
        <v>0</v>
      </c>
      <c r="U288" s="30"/>
      <c r="V288" s="30"/>
      <c r="W288" s="30"/>
      <c r="X288" s="30"/>
      <c r="Y288" t="s">
        <v>6499</v>
      </c>
    </row>
    <row r="289" spans="1:25" x14ac:dyDescent="0.3">
      <c r="A289" s="2" t="s">
        <v>252</v>
      </c>
      <c r="B289" s="2" t="s">
        <v>3484</v>
      </c>
      <c r="C289" s="2" t="s">
        <v>253</v>
      </c>
      <c r="D289" s="2" t="s">
        <v>3485</v>
      </c>
      <c r="E289" s="28" t="s">
        <v>6465</v>
      </c>
      <c r="F289" s="28" t="str">
        <f t="shared" si="24"/>
        <v>14200965Diagnostic Review 19-20</v>
      </c>
      <c r="G289" s="28" t="s">
        <v>6240</v>
      </c>
      <c r="H289" s="28" t="str">
        <f t="shared" si="22"/>
        <v>14200965Diagnostic Review</v>
      </c>
      <c r="I289" s="29">
        <v>3</v>
      </c>
      <c r="J289" s="28" t="str">
        <f t="shared" si="23"/>
        <v>14200965Diagnostic Review3</v>
      </c>
      <c r="K289" s="32"/>
      <c r="L289" s="32"/>
      <c r="M289" s="32"/>
      <c r="N289" s="32">
        <v>10559</v>
      </c>
      <c r="O289" s="32"/>
      <c r="P289" s="32"/>
      <c r="Q289" s="32">
        <v>0</v>
      </c>
      <c r="R289" s="32">
        <v>0</v>
      </c>
      <c r="S289" s="32">
        <v>0</v>
      </c>
      <c r="T289" s="32">
        <v>0</v>
      </c>
      <c r="U289" s="32"/>
      <c r="V289" s="32"/>
      <c r="W289" s="32"/>
      <c r="X289" s="32"/>
      <c r="Y289" t="s">
        <v>6499</v>
      </c>
    </row>
    <row r="290" spans="1:25" x14ac:dyDescent="0.3">
      <c r="A290" s="28" t="s">
        <v>252</v>
      </c>
      <c r="B290" s="28" t="s">
        <v>4996</v>
      </c>
      <c r="C290" s="2" t="s">
        <v>253</v>
      </c>
      <c r="D290" s="2" t="s">
        <v>4997</v>
      </c>
      <c r="E290" s="28" t="s">
        <v>6496</v>
      </c>
      <c r="F290" s="28" t="str">
        <f t="shared" si="24"/>
        <v>14202946Offered Services Continuation</v>
      </c>
      <c r="G290" s="28" t="s">
        <v>6237</v>
      </c>
      <c r="H290" s="28" t="str">
        <f t="shared" si="22"/>
        <v>14202946Turnaround Network</v>
      </c>
      <c r="I290" s="29">
        <v>5</v>
      </c>
      <c r="J290" s="28" t="str">
        <f t="shared" si="23"/>
        <v>14202946Turnaround Network5</v>
      </c>
      <c r="K290" s="30">
        <v>0</v>
      </c>
      <c r="L290" s="30">
        <v>0</v>
      </c>
      <c r="M290" s="30">
        <v>0</v>
      </c>
      <c r="N290" s="30">
        <v>0</v>
      </c>
      <c r="O290" s="30">
        <v>0</v>
      </c>
      <c r="P290" s="30">
        <v>0</v>
      </c>
      <c r="Q290" s="30">
        <v>0</v>
      </c>
      <c r="R290" s="30">
        <v>0</v>
      </c>
      <c r="S290" s="30">
        <v>0</v>
      </c>
      <c r="T290" s="30">
        <v>0</v>
      </c>
      <c r="U290" s="30">
        <v>0</v>
      </c>
      <c r="V290" s="30">
        <v>40000</v>
      </c>
      <c r="W290" s="30">
        <v>0</v>
      </c>
      <c r="X290" s="30">
        <v>0</v>
      </c>
      <c r="Y290" t="s">
        <v>6499</v>
      </c>
    </row>
    <row r="291" spans="1:25" x14ac:dyDescent="0.3">
      <c r="A291" s="2" t="s">
        <v>252</v>
      </c>
      <c r="B291" s="2" t="s">
        <v>1209</v>
      </c>
      <c r="C291" s="2" t="s">
        <v>253</v>
      </c>
      <c r="D291" s="2" t="s">
        <v>1210</v>
      </c>
      <c r="E291" s="28" t="s">
        <v>6468</v>
      </c>
      <c r="F291" s="28" t="s">
        <v>6469</v>
      </c>
      <c r="G291" s="28" t="s">
        <v>6240</v>
      </c>
      <c r="H291" s="28" t="str">
        <f t="shared" si="22"/>
        <v>14203691Diagnostic Review</v>
      </c>
      <c r="I291" s="29">
        <v>4</v>
      </c>
      <c r="J291" s="28" t="str">
        <f t="shared" si="23"/>
        <v>14203691Diagnostic Review4</v>
      </c>
      <c r="K291" s="30"/>
      <c r="L291" s="30"/>
      <c r="M291" s="30"/>
      <c r="N291" s="30"/>
      <c r="O291" s="30"/>
      <c r="P291" s="30"/>
      <c r="Q291" s="30">
        <v>25000</v>
      </c>
      <c r="R291" s="30">
        <v>0</v>
      </c>
      <c r="S291" s="30">
        <v>0</v>
      </c>
      <c r="T291" s="30">
        <v>10000</v>
      </c>
      <c r="U291" s="30"/>
      <c r="V291" s="30"/>
      <c r="W291" s="30"/>
      <c r="X291" s="30"/>
      <c r="Y291" t="s">
        <v>6499</v>
      </c>
    </row>
    <row r="292" spans="1:25" x14ac:dyDescent="0.3">
      <c r="A292" s="2" t="s">
        <v>252</v>
      </c>
      <c r="B292" s="28" t="s">
        <v>3498</v>
      </c>
      <c r="C292" s="2" t="s">
        <v>253</v>
      </c>
      <c r="D292" s="2" t="s">
        <v>3499</v>
      </c>
      <c r="E292" s="28" t="s">
        <v>6237</v>
      </c>
      <c r="F292" s="28" t="str">
        <f t="shared" ref="F292:F298" si="25">A292&amp;B292&amp;E292</f>
        <v>14204422Turnaround Network</v>
      </c>
      <c r="G292" s="28" t="s">
        <v>6237</v>
      </c>
      <c r="H292" s="28" t="str">
        <f t="shared" si="22"/>
        <v>14204422Turnaround Network</v>
      </c>
      <c r="I292" s="29">
        <v>2</v>
      </c>
      <c r="J292" s="28" t="str">
        <f t="shared" si="23"/>
        <v>14204422Turnaround Network2</v>
      </c>
      <c r="K292" s="30">
        <v>50350</v>
      </c>
      <c r="L292" s="30"/>
      <c r="M292" s="30"/>
      <c r="N292" s="30">
        <v>0</v>
      </c>
      <c r="O292" s="30">
        <v>0</v>
      </c>
      <c r="P292" s="30">
        <v>0</v>
      </c>
      <c r="Q292" s="30">
        <v>0</v>
      </c>
      <c r="R292" s="30">
        <v>0</v>
      </c>
      <c r="S292" s="30">
        <v>0</v>
      </c>
      <c r="T292" s="30">
        <v>0</v>
      </c>
      <c r="U292" s="30"/>
      <c r="V292" s="30"/>
      <c r="W292" s="30"/>
      <c r="X292" s="30"/>
      <c r="Y292" t="s">
        <v>6499</v>
      </c>
    </row>
    <row r="293" spans="1:25" x14ac:dyDescent="0.3">
      <c r="A293" s="28" t="s">
        <v>252</v>
      </c>
      <c r="B293" s="28" t="s">
        <v>3498</v>
      </c>
      <c r="C293" s="2" t="s">
        <v>253</v>
      </c>
      <c r="D293" s="2" t="s">
        <v>3499</v>
      </c>
      <c r="E293" s="28" t="s">
        <v>6457</v>
      </c>
      <c r="F293" s="28" t="str">
        <f t="shared" si="25"/>
        <v>14204422OfferedServices</v>
      </c>
      <c r="G293" s="2" t="s">
        <v>6241</v>
      </c>
      <c r="H293" s="28" t="str">
        <f t="shared" si="22"/>
        <v>14204422School Turnaround Leadership Development Program</v>
      </c>
      <c r="I293" s="29">
        <v>5</v>
      </c>
      <c r="J293" s="28" t="str">
        <f t="shared" si="23"/>
        <v>14204422School Turnaround Leadership Development Program5</v>
      </c>
      <c r="K293" s="30">
        <v>0</v>
      </c>
      <c r="L293" s="30">
        <v>0</v>
      </c>
      <c r="M293" s="30">
        <v>0</v>
      </c>
      <c r="N293" s="30">
        <v>0</v>
      </c>
      <c r="O293" s="30">
        <v>0</v>
      </c>
      <c r="P293" s="30">
        <v>0</v>
      </c>
      <c r="Q293" s="30">
        <v>0</v>
      </c>
      <c r="R293" s="30">
        <v>0</v>
      </c>
      <c r="S293" s="30">
        <v>0</v>
      </c>
      <c r="T293" s="30">
        <v>0</v>
      </c>
      <c r="U293" s="30">
        <v>40000</v>
      </c>
      <c r="V293" s="30">
        <v>0</v>
      </c>
      <c r="W293" s="30">
        <v>0</v>
      </c>
      <c r="X293" s="30">
        <v>0</v>
      </c>
      <c r="Y293" t="s">
        <v>6499</v>
      </c>
    </row>
    <row r="294" spans="1:25" x14ac:dyDescent="0.3">
      <c r="A294" s="2" t="s">
        <v>252</v>
      </c>
      <c r="B294" s="28" t="s">
        <v>1261</v>
      </c>
      <c r="C294" s="2" t="s">
        <v>253</v>
      </c>
      <c r="D294" s="2" t="s">
        <v>1262</v>
      </c>
      <c r="E294" s="28" t="s">
        <v>6237</v>
      </c>
      <c r="F294" s="28" t="str">
        <f t="shared" si="25"/>
        <v>14205354Turnaround Network</v>
      </c>
      <c r="G294" s="28" t="s">
        <v>6237</v>
      </c>
      <c r="H294" s="28" t="str">
        <f t="shared" si="22"/>
        <v>14205354Turnaround Network</v>
      </c>
      <c r="I294" s="29">
        <v>2</v>
      </c>
      <c r="J294" s="28" t="str">
        <f t="shared" si="23"/>
        <v>14205354Turnaround Network2</v>
      </c>
      <c r="K294" s="30">
        <v>101511</v>
      </c>
      <c r="L294" s="30"/>
      <c r="M294" s="30">
        <v>30000</v>
      </c>
      <c r="N294" s="30">
        <v>0</v>
      </c>
      <c r="O294" s="30">
        <v>0</v>
      </c>
      <c r="P294" s="30">
        <v>0</v>
      </c>
      <c r="Q294" s="30">
        <v>0</v>
      </c>
      <c r="R294" s="30">
        <v>0</v>
      </c>
      <c r="S294" s="30">
        <v>0</v>
      </c>
      <c r="T294" s="30">
        <v>0</v>
      </c>
      <c r="U294" s="30"/>
      <c r="V294" s="30"/>
      <c r="W294" s="30"/>
      <c r="X294" s="30"/>
      <c r="Y294" t="s">
        <v>6499</v>
      </c>
    </row>
    <row r="295" spans="1:25" x14ac:dyDescent="0.3">
      <c r="A295" s="2" t="s">
        <v>252</v>
      </c>
      <c r="B295" s="28" t="s">
        <v>307</v>
      </c>
      <c r="C295" s="2" t="s">
        <v>253</v>
      </c>
      <c r="D295" s="2" t="s">
        <v>308</v>
      </c>
      <c r="E295" s="28" t="s">
        <v>6237</v>
      </c>
      <c r="F295" s="28" t="str">
        <f t="shared" si="25"/>
        <v>14205972Turnaround Network</v>
      </c>
      <c r="G295" s="28" t="s">
        <v>6237</v>
      </c>
      <c r="H295" s="28" t="str">
        <f t="shared" si="22"/>
        <v>14205972Turnaround Network</v>
      </c>
      <c r="I295" s="29">
        <v>2</v>
      </c>
      <c r="J295" s="28" t="str">
        <f t="shared" si="23"/>
        <v>14205972Turnaround Network2</v>
      </c>
      <c r="K295" s="30">
        <v>101501</v>
      </c>
      <c r="L295" s="30"/>
      <c r="M295" s="30">
        <v>30000</v>
      </c>
      <c r="N295" s="30">
        <v>0</v>
      </c>
      <c r="O295" s="30">
        <v>0</v>
      </c>
      <c r="P295" s="30">
        <v>0</v>
      </c>
      <c r="Q295" s="30">
        <v>0</v>
      </c>
      <c r="R295" s="30">
        <v>0</v>
      </c>
      <c r="S295" s="30">
        <v>0</v>
      </c>
      <c r="T295" s="30">
        <v>0</v>
      </c>
      <c r="U295" s="30"/>
      <c r="V295" s="30"/>
      <c r="W295" s="30"/>
      <c r="X295" s="30"/>
      <c r="Y295" t="s">
        <v>6499</v>
      </c>
    </row>
    <row r="296" spans="1:25" x14ac:dyDescent="0.3">
      <c r="A296" s="2" t="s">
        <v>252</v>
      </c>
      <c r="B296" s="28" t="s">
        <v>2738</v>
      </c>
      <c r="C296" s="2" t="s">
        <v>253</v>
      </c>
      <c r="D296" s="2" t="s">
        <v>2739</v>
      </c>
      <c r="E296" s="28" t="s">
        <v>6237</v>
      </c>
      <c r="F296" s="28" t="str">
        <f t="shared" si="25"/>
        <v>14206090Turnaround Network</v>
      </c>
      <c r="G296" s="28" t="s">
        <v>6237</v>
      </c>
      <c r="H296" s="28" t="str">
        <f t="shared" si="22"/>
        <v>14206090Turnaround Network</v>
      </c>
      <c r="I296" s="29">
        <v>3</v>
      </c>
      <c r="J296" s="28" t="str">
        <f t="shared" si="23"/>
        <v>14206090Turnaround Network3</v>
      </c>
      <c r="K296" s="30"/>
      <c r="L296" s="30"/>
      <c r="M296" s="30">
        <v>30000</v>
      </c>
      <c r="N296" s="30">
        <v>0</v>
      </c>
      <c r="O296" s="30">
        <v>0</v>
      </c>
      <c r="P296" s="30">
        <v>0</v>
      </c>
      <c r="Q296" s="30">
        <v>0</v>
      </c>
      <c r="R296" s="30">
        <v>0</v>
      </c>
      <c r="S296" s="30">
        <v>0</v>
      </c>
      <c r="T296" s="30">
        <v>0</v>
      </c>
      <c r="U296" s="30"/>
      <c r="V296" s="30"/>
      <c r="W296" s="30"/>
      <c r="X296" s="30"/>
      <c r="Y296" t="s">
        <v>6499</v>
      </c>
    </row>
    <row r="297" spans="1:25" x14ac:dyDescent="0.3">
      <c r="A297" s="28" t="s">
        <v>252</v>
      </c>
      <c r="B297" s="28" t="s">
        <v>2738</v>
      </c>
      <c r="C297" s="2" t="s">
        <v>253</v>
      </c>
      <c r="D297" s="2" t="s">
        <v>2739</v>
      </c>
      <c r="E297" s="28" t="s">
        <v>6457</v>
      </c>
      <c r="F297" s="28" t="str">
        <f t="shared" si="25"/>
        <v>14206090OfferedServices</v>
      </c>
      <c r="G297" s="2" t="s">
        <v>6241</v>
      </c>
      <c r="H297" s="28" t="str">
        <f t="shared" si="22"/>
        <v>14206090School Turnaround Leadership Development Program</v>
      </c>
      <c r="I297" s="29">
        <v>5</v>
      </c>
      <c r="J297" s="28" t="str">
        <f t="shared" si="23"/>
        <v>14206090School Turnaround Leadership Development Program5</v>
      </c>
      <c r="K297" s="30">
        <v>0</v>
      </c>
      <c r="L297" s="30">
        <v>0</v>
      </c>
      <c r="M297" s="30">
        <v>0</v>
      </c>
      <c r="N297" s="30">
        <v>0</v>
      </c>
      <c r="O297" s="30">
        <v>0</v>
      </c>
      <c r="P297" s="30">
        <v>0</v>
      </c>
      <c r="Q297" s="30">
        <v>0</v>
      </c>
      <c r="R297" s="30">
        <v>0</v>
      </c>
      <c r="S297" s="30">
        <v>0</v>
      </c>
      <c r="T297" s="30">
        <v>0</v>
      </c>
      <c r="U297" s="30">
        <v>40000</v>
      </c>
      <c r="V297" s="30">
        <v>0</v>
      </c>
      <c r="W297" s="30">
        <v>0</v>
      </c>
      <c r="X297" s="30">
        <v>0</v>
      </c>
      <c r="Y297" t="s">
        <v>6500</v>
      </c>
    </row>
    <row r="298" spans="1:25" x14ac:dyDescent="0.3">
      <c r="A298" s="28" t="s">
        <v>252</v>
      </c>
      <c r="B298" s="28" t="s">
        <v>4966</v>
      </c>
      <c r="C298" s="2" t="s">
        <v>253</v>
      </c>
      <c r="D298" s="2" t="s">
        <v>4967</v>
      </c>
      <c r="E298" s="28" t="s">
        <v>6457</v>
      </c>
      <c r="F298" s="28" t="str">
        <f t="shared" si="25"/>
        <v>14206806OfferedServices</v>
      </c>
      <c r="G298" s="28" t="s">
        <v>6237</v>
      </c>
      <c r="H298" s="28" t="str">
        <f t="shared" si="22"/>
        <v>14206806Turnaround Network</v>
      </c>
      <c r="I298" s="29">
        <v>5</v>
      </c>
      <c r="J298" s="28" t="str">
        <f t="shared" si="23"/>
        <v>14206806Turnaround Network5</v>
      </c>
      <c r="K298" s="30">
        <v>0</v>
      </c>
      <c r="L298" s="30">
        <v>0</v>
      </c>
      <c r="M298" s="30">
        <v>0</v>
      </c>
      <c r="N298" s="30">
        <v>0</v>
      </c>
      <c r="O298" s="30">
        <v>0</v>
      </c>
      <c r="P298" s="30">
        <v>0</v>
      </c>
      <c r="Q298" s="30">
        <v>0</v>
      </c>
      <c r="R298" s="30">
        <v>0</v>
      </c>
      <c r="S298" s="30">
        <v>0</v>
      </c>
      <c r="T298" s="30">
        <v>0</v>
      </c>
      <c r="U298" s="30">
        <v>0</v>
      </c>
      <c r="V298" s="30">
        <v>30000</v>
      </c>
      <c r="W298" s="30">
        <v>75000</v>
      </c>
      <c r="X298" s="30">
        <v>30000</v>
      </c>
      <c r="Y298" t="s">
        <v>6499</v>
      </c>
    </row>
    <row r="299" spans="1:25" x14ac:dyDescent="0.3">
      <c r="A299" s="2" t="s">
        <v>252</v>
      </c>
      <c r="B299" s="2" t="s">
        <v>4946</v>
      </c>
      <c r="C299" s="2" t="s">
        <v>253</v>
      </c>
      <c r="D299" s="2" t="s">
        <v>4947</v>
      </c>
      <c r="E299" s="28" t="s">
        <v>6468</v>
      </c>
      <c r="F299" s="28" t="s">
        <v>6470</v>
      </c>
      <c r="G299" s="28" t="s">
        <v>6240</v>
      </c>
      <c r="H299" s="28" t="str">
        <f t="shared" si="22"/>
        <v>14208036Diagnostic Review</v>
      </c>
      <c r="I299" s="29">
        <v>4</v>
      </c>
      <c r="J299" s="28" t="str">
        <f t="shared" si="23"/>
        <v>14208036Diagnostic Review4</v>
      </c>
      <c r="K299" s="30"/>
      <c r="L299" s="30"/>
      <c r="M299" s="30"/>
      <c r="N299" s="30"/>
      <c r="O299" s="30"/>
      <c r="P299" s="30"/>
      <c r="Q299" s="30">
        <v>0</v>
      </c>
      <c r="R299" s="30">
        <v>0</v>
      </c>
      <c r="S299" s="30">
        <v>0</v>
      </c>
      <c r="T299" s="30">
        <v>0</v>
      </c>
      <c r="U299" s="30"/>
      <c r="V299" s="30"/>
      <c r="W299" s="30"/>
      <c r="X299" s="30"/>
      <c r="Y299" t="s">
        <v>6499</v>
      </c>
    </row>
    <row r="300" spans="1:25" x14ac:dyDescent="0.3">
      <c r="A300" s="28" t="s">
        <v>252</v>
      </c>
      <c r="B300" s="28" t="s">
        <v>5685</v>
      </c>
      <c r="C300" s="2" t="s">
        <v>253</v>
      </c>
      <c r="D300" s="2" t="s">
        <v>5686</v>
      </c>
      <c r="E300" s="28" t="s">
        <v>6457</v>
      </c>
      <c r="F300" s="28" t="str">
        <f t="shared" ref="F300:F308" si="26">A300&amp;B300&amp;E300</f>
        <v>14208248OfferedServices</v>
      </c>
      <c r="G300" s="2" t="s">
        <v>6241</v>
      </c>
      <c r="H300" s="28" t="str">
        <f t="shared" si="22"/>
        <v>14208248School Turnaround Leadership Development Program</v>
      </c>
      <c r="I300" s="29">
        <v>5</v>
      </c>
      <c r="J300" s="28" t="str">
        <f t="shared" si="23"/>
        <v>14208248School Turnaround Leadership Development Program5</v>
      </c>
      <c r="K300" s="30">
        <v>0</v>
      </c>
      <c r="L300" s="30">
        <v>0</v>
      </c>
      <c r="M300" s="30">
        <v>0</v>
      </c>
      <c r="N300" s="30">
        <v>0</v>
      </c>
      <c r="O300" s="30">
        <v>0</v>
      </c>
      <c r="P300" s="30">
        <v>0</v>
      </c>
      <c r="Q300" s="30">
        <v>0</v>
      </c>
      <c r="R300" s="30">
        <v>0</v>
      </c>
      <c r="S300" s="30">
        <v>0</v>
      </c>
      <c r="T300" s="30">
        <v>0</v>
      </c>
      <c r="U300" s="30">
        <v>20000</v>
      </c>
      <c r="V300" s="30">
        <v>0</v>
      </c>
      <c r="W300" s="30">
        <v>0</v>
      </c>
      <c r="X300" s="30">
        <v>0</v>
      </c>
      <c r="Y300" t="s">
        <v>6500</v>
      </c>
    </row>
    <row r="301" spans="1:25" x14ac:dyDescent="0.3">
      <c r="A301" s="2" t="s">
        <v>252</v>
      </c>
      <c r="B301" s="2" t="s">
        <v>4288</v>
      </c>
      <c r="C301" s="2" t="s">
        <v>253</v>
      </c>
      <c r="D301" s="2" t="s">
        <v>4289</v>
      </c>
      <c r="E301" s="28" t="s">
        <v>6455</v>
      </c>
      <c r="F301" s="28" t="str">
        <f t="shared" si="26"/>
        <v>14208793Connect For Success 17-20</v>
      </c>
      <c r="G301" s="28" t="s">
        <v>6234</v>
      </c>
      <c r="H301" s="28" t="str">
        <f t="shared" si="22"/>
        <v>14208793Connect For Success</v>
      </c>
      <c r="I301" s="29">
        <v>1</v>
      </c>
      <c r="J301" s="28" t="str">
        <f t="shared" si="23"/>
        <v>14208793Connect For Success1</v>
      </c>
      <c r="K301" s="30">
        <v>20000</v>
      </c>
      <c r="L301" s="30">
        <v>80000</v>
      </c>
      <c r="M301" s="30">
        <v>80000</v>
      </c>
      <c r="N301" s="30">
        <v>0</v>
      </c>
      <c r="O301" s="30">
        <v>0</v>
      </c>
      <c r="P301" s="30">
        <v>0</v>
      </c>
      <c r="Q301" s="30">
        <v>0</v>
      </c>
      <c r="R301" s="30">
        <v>0</v>
      </c>
      <c r="S301" s="30">
        <v>0</v>
      </c>
      <c r="T301" s="30">
        <v>0</v>
      </c>
      <c r="U301" s="30"/>
      <c r="V301" s="30"/>
      <c r="W301" s="30"/>
      <c r="X301" s="30"/>
      <c r="Y301" t="s">
        <v>6499</v>
      </c>
    </row>
    <row r="302" spans="1:25" x14ac:dyDescent="0.3">
      <c r="A302" s="2" t="s">
        <v>252</v>
      </c>
      <c r="B302" s="28" t="s">
        <v>4984</v>
      </c>
      <c r="C302" s="2" t="s">
        <v>253</v>
      </c>
      <c r="D302" s="2" t="s">
        <v>4985</v>
      </c>
      <c r="E302" s="28" t="s">
        <v>6237</v>
      </c>
      <c r="F302" s="28" t="str">
        <f t="shared" si="26"/>
        <v>14208834Turnaround Network</v>
      </c>
      <c r="G302" s="28" t="s">
        <v>6237</v>
      </c>
      <c r="H302" s="28" t="str">
        <f t="shared" si="22"/>
        <v>14208834Turnaround Network</v>
      </c>
      <c r="I302" s="29">
        <v>2</v>
      </c>
      <c r="J302" s="28" t="str">
        <f t="shared" si="23"/>
        <v>14208834Turnaround Network2</v>
      </c>
      <c r="K302" s="30">
        <v>51810</v>
      </c>
      <c r="L302" s="30"/>
      <c r="M302" s="30">
        <v>75000</v>
      </c>
      <c r="N302" s="30">
        <v>0</v>
      </c>
      <c r="O302" s="30">
        <v>31491</v>
      </c>
      <c r="P302" s="30">
        <v>0</v>
      </c>
      <c r="Q302" s="30">
        <v>0</v>
      </c>
      <c r="R302" s="30">
        <v>0</v>
      </c>
      <c r="S302" s="30">
        <v>0</v>
      </c>
      <c r="T302" s="30">
        <v>0</v>
      </c>
      <c r="U302" s="30"/>
      <c r="V302" s="30"/>
      <c r="W302" s="30"/>
      <c r="X302" s="30"/>
      <c r="Y302" t="s">
        <v>6499</v>
      </c>
    </row>
    <row r="303" spans="1:25" x14ac:dyDescent="0.3">
      <c r="A303" s="2" t="s">
        <v>252</v>
      </c>
      <c r="B303" s="28" t="s">
        <v>2732</v>
      </c>
      <c r="C303" s="2" t="s">
        <v>253</v>
      </c>
      <c r="D303" s="2" t="s">
        <v>2733</v>
      </c>
      <c r="E303" s="28" t="s">
        <v>6237</v>
      </c>
      <c r="F303" s="28" t="str">
        <f t="shared" si="26"/>
        <v>14209154Turnaround Network</v>
      </c>
      <c r="G303" s="28" t="s">
        <v>6237</v>
      </c>
      <c r="H303" s="28" t="str">
        <f t="shared" si="22"/>
        <v>14209154Turnaround Network</v>
      </c>
      <c r="I303" s="29">
        <v>2</v>
      </c>
      <c r="J303" s="28" t="str">
        <f t="shared" si="23"/>
        <v>14209154Turnaround Network2</v>
      </c>
      <c r="K303" s="30">
        <v>52810</v>
      </c>
      <c r="L303" s="30"/>
      <c r="M303" s="30"/>
      <c r="N303" s="30">
        <v>0</v>
      </c>
      <c r="O303" s="30">
        <v>73479</v>
      </c>
      <c r="P303" s="30">
        <v>0</v>
      </c>
      <c r="Q303" s="30">
        <v>0</v>
      </c>
      <c r="R303" s="30">
        <v>0</v>
      </c>
      <c r="S303" s="30">
        <v>0</v>
      </c>
      <c r="T303" s="30">
        <v>0</v>
      </c>
      <c r="U303" s="30"/>
      <c r="V303" s="30"/>
      <c r="W303" s="30"/>
      <c r="X303" s="30"/>
      <c r="Y303" t="s">
        <v>6499</v>
      </c>
    </row>
    <row r="304" spans="1:25" x14ac:dyDescent="0.3">
      <c r="A304" s="28" t="s">
        <v>252</v>
      </c>
      <c r="B304" s="28" t="s">
        <v>1247</v>
      </c>
      <c r="C304" s="2" t="s">
        <v>253</v>
      </c>
      <c r="D304" s="2" t="s">
        <v>1248</v>
      </c>
      <c r="E304" s="28" t="s">
        <v>6457</v>
      </c>
      <c r="F304" s="28" t="str">
        <f t="shared" si="26"/>
        <v>14209328OfferedServices</v>
      </c>
      <c r="G304" s="28" t="s">
        <v>6237</v>
      </c>
      <c r="H304" s="28" t="str">
        <f t="shared" si="22"/>
        <v>14209328Turnaround Network</v>
      </c>
      <c r="I304" s="29">
        <v>5</v>
      </c>
      <c r="J304" s="28" t="str">
        <f t="shared" si="23"/>
        <v>14209328Turnaround Network5</v>
      </c>
      <c r="K304" s="30">
        <v>0</v>
      </c>
      <c r="L304" s="30">
        <v>0</v>
      </c>
      <c r="M304" s="30">
        <v>0</v>
      </c>
      <c r="N304" s="30">
        <v>0</v>
      </c>
      <c r="O304" s="30">
        <v>0</v>
      </c>
      <c r="P304" s="30">
        <v>0</v>
      </c>
      <c r="Q304" s="30">
        <v>0</v>
      </c>
      <c r="R304" s="30">
        <v>0</v>
      </c>
      <c r="S304" s="30">
        <v>0</v>
      </c>
      <c r="T304" s="30">
        <v>0</v>
      </c>
      <c r="U304" s="30">
        <v>0</v>
      </c>
      <c r="V304" s="30">
        <v>30000</v>
      </c>
      <c r="W304" s="30">
        <v>75000</v>
      </c>
      <c r="X304" s="30">
        <v>30000</v>
      </c>
      <c r="Y304" t="s">
        <v>6499</v>
      </c>
    </row>
    <row r="305" spans="1:25" x14ac:dyDescent="0.3">
      <c r="A305" s="2" t="s">
        <v>252</v>
      </c>
      <c r="B305" s="28" t="s">
        <v>6248</v>
      </c>
      <c r="C305" s="2" t="s">
        <v>253</v>
      </c>
      <c r="D305" s="2" t="s">
        <v>6474</v>
      </c>
      <c r="E305" s="28" t="s">
        <v>6473</v>
      </c>
      <c r="F305" s="28" t="str">
        <f t="shared" si="26"/>
        <v>1420District LevelDistrict Design and Led 17-20</v>
      </c>
      <c r="G305" s="28" t="s">
        <v>6233</v>
      </c>
      <c r="H305" s="28" t="str">
        <f t="shared" si="22"/>
        <v>1420District LevelDistrict Design and Led</v>
      </c>
      <c r="I305" s="29">
        <v>2</v>
      </c>
      <c r="J305" s="28" t="str">
        <f t="shared" si="23"/>
        <v>1420District LevelDistrict Design and Led2</v>
      </c>
      <c r="K305" s="30">
        <v>672568</v>
      </c>
      <c r="L305" s="30">
        <v>503586</v>
      </c>
      <c r="M305" s="30">
        <v>522118</v>
      </c>
      <c r="N305" s="30">
        <v>0</v>
      </c>
      <c r="O305" s="30">
        <v>968926.63470000005</v>
      </c>
      <c r="P305" s="30">
        <v>0</v>
      </c>
      <c r="Q305" s="30">
        <v>0</v>
      </c>
      <c r="R305" s="30">
        <v>0</v>
      </c>
      <c r="S305" s="30">
        <v>0</v>
      </c>
      <c r="T305" s="30">
        <v>0</v>
      </c>
      <c r="U305" s="30"/>
      <c r="V305" s="30"/>
      <c r="W305" s="30"/>
      <c r="X305" s="30"/>
      <c r="Y305" t="s">
        <v>6499</v>
      </c>
    </row>
    <row r="306" spans="1:25" x14ac:dyDescent="0.3">
      <c r="A306" s="2" t="s">
        <v>252</v>
      </c>
      <c r="B306" s="28" t="s">
        <v>6248</v>
      </c>
      <c r="C306" s="2" t="s">
        <v>253</v>
      </c>
      <c r="D306" s="2" t="s">
        <v>6474</v>
      </c>
      <c r="E306" s="2" t="s">
        <v>6484</v>
      </c>
      <c r="F306" s="28" t="str">
        <f t="shared" si="26"/>
        <v>1420District LevelSchool Turnaround Leaders Program</v>
      </c>
      <c r="G306" s="2" t="s">
        <v>6241</v>
      </c>
      <c r="H306" s="28" t="str">
        <f t="shared" si="22"/>
        <v>1420District LevelSchool Turnaround Leadership Development Program</v>
      </c>
      <c r="I306" s="29">
        <v>2</v>
      </c>
      <c r="J306" s="28" t="str">
        <f t="shared" si="23"/>
        <v>1420District LevelSchool Turnaround Leadership Development Program2</v>
      </c>
      <c r="K306" s="32"/>
      <c r="L306" s="32">
        <v>362794</v>
      </c>
      <c r="M306" s="32"/>
      <c r="N306" s="30">
        <v>0</v>
      </c>
      <c r="O306" s="32" t="s">
        <v>6462</v>
      </c>
      <c r="P306" s="32" t="s">
        <v>6462</v>
      </c>
      <c r="Q306" s="30">
        <v>0</v>
      </c>
      <c r="R306" s="30">
        <v>0</v>
      </c>
      <c r="S306" s="30">
        <v>0</v>
      </c>
      <c r="T306" s="30">
        <v>0</v>
      </c>
      <c r="U306" s="30"/>
      <c r="V306" s="30"/>
      <c r="W306" s="30"/>
      <c r="X306" s="30"/>
      <c r="Y306" t="s">
        <v>6499</v>
      </c>
    </row>
    <row r="307" spans="1:25" x14ac:dyDescent="0.3">
      <c r="A307" s="2" t="s">
        <v>252</v>
      </c>
      <c r="B307" s="28" t="s">
        <v>6248</v>
      </c>
      <c r="C307" s="2" t="s">
        <v>253</v>
      </c>
      <c r="D307" s="2" t="s">
        <v>6474</v>
      </c>
      <c r="E307" s="28" t="s">
        <v>6237</v>
      </c>
      <c r="F307" s="28" t="str">
        <f t="shared" si="26"/>
        <v>1420District LevelTurnaround Network</v>
      </c>
      <c r="G307" s="28" t="s">
        <v>6237</v>
      </c>
      <c r="H307" s="28" t="str">
        <f t="shared" si="22"/>
        <v>1420District LevelTurnaround Network</v>
      </c>
      <c r="I307" s="29">
        <v>2</v>
      </c>
      <c r="J307" s="28" t="str">
        <f t="shared" si="23"/>
        <v>1420District LevelTurnaround Network2</v>
      </c>
      <c r="K307" s="30">
        <v>50438</v>
      </c>
      <c r="L307" s="30"/>
      <c r="M307" s="30">
        <v>70000</v>
      </c>
      <c r="N307" s="30">
        <v>0</v>
      </c>
      <c r="O307" s="30">
        <v>0</v>
      </c>
      <c r="P307" s="30">
        <v>0</v>
      </c>
      <c r="Q307" s="30">
        <v>0</v>
      </c>
      <c r="R307" s="30">
        <v>0</v>
      </c>
      <c r="S307" s="30">
        <v>0</v>
      </c>
      <c r="T307" s="30">
        <v>0</v>
      </c>
      <c r="U307" s="30"/>
      <c r="V307" s="30"/>
      <c r="W307" s="30"/>
      <c r="X307" s="30"/>
      <c r="Y307" t="s">
        <v>6499</v>
      </c>
    </row>
    <row r="308" spans="1:25" x14ac:dyDescent="0.3">
      <c r="A308" s="2" t="s">
        <v>252</v>
      </c>
      <c r="B308" s="28" t="s">
        <v>6248</v>
      </c>
      <c r="C308" s="2" t="s">
        <v>253</v>
      </c>
      <c r="D308" s="2" t="s">
        <v>6474</v>
      </c>
      <c r="E308" s="28" t="s">
        <v>6481</v>
      </c>
      <c r="F308" s="28" t="str">
        <f t="shared" si="26"/>
        <v>1420District LevelExpansion</v>
      </c>
      <c r="G308" s="28" t="s">
        <v>6233</v>
      </c>
      <c r="H308" s="28" t="str">
        <f t="shared" si="22"/>
        <v>1420District LevelDistrict Design and Led</v>
      </c>
      <c r="I308" s="29">
        <v>3</v>
      </c>
      <c r="J308" s="28" t="str">
        <f t="shared" si="23"/>
        <v>1420District LevelDistrict Design and Led3</v>
      </c>
      <c r="K308" s="30"/>
      <c r="L308" s="30">
        <v>184454</v>
      </c>
      <c r="M308" s="30">
        <v>547261</v>
      </c>
      <c r="N308" s="30">
        <v>0</v>
      </c>
      <c r="O308" s="30"/>
      <c r="P308" s="30" t="s">
        <v>6462</v>
      </c>
      <c r="Q308" s="30">
        <v>0</v>
      </c>
      <c r="R308" s="30">
        <v>0</v>
      </c>
      <c r="S308" s="30">
        <v>0</v>
      </c>
      <c r="T308" s="30">
        <v>0</v>
      </c>
      <c r="U308" s="30"/>
      <c r="V308" s="30"/>
      <c r="W308" s="30"/>
      <c r="X308" s="30"/>
      <c r="Y308" t="s">
        <v>6499</v>
      </c>
    </row>
    <row r="309" spans="1:25" x14ac:dyDescent="0.3">
      <c r="A309" s="2" t="s">
        <v>252</v>
      </c>
      <c r="B309" s="2" t="s">
        <v>6248</v>
      </c>
      <c r="C309" s="2" t="s">
        <v>253</v>
      </c>
      <c r="D309" s="2" t="s">
        <v>6474</v>
      </c>
      <c r="E309" s="28" t="s">
        <v>6475</v>
      </c>
      <c r="F309" s="28" t="s">
        <v>6476</v>
      </c>
      <c r="G309" s="28" t="s">
        <v>6233</v>
      </c>
      <c r="H309" s="28" t="str">
        <f t="shared" si="22"/>
        <v>1420District LevelDistrict Design and Led</v>
      </c>
      <c r="I309" s="29">
        <v>4</v>
      </c>
      <c r="J309" s="28" t="str">
        <f t="shared" si="23"/>
        <v>1420District LevelDistrict Design and Led4</v>
      </c>
      <c r="K309" s="30"/>
      <c r="L309" s="30"/>
      <c r="M309" s="30"/>
      <c r="N309" s="30"/>
      <c r="O309" s="30"/>
      <c r="P309" s="30"/>
      <c r="Q309" s="30">
        <v>0</v>
      </c>
      <c r="R309" s="30">
        <v>0</v>
      </c>
      <c r="S309" s="30">
        <v>0</v>
      </c>
      <c r="T309" s="30">
        <v>88057</v>
      </c>
      <c r="U309" s="30"/>
      <c r="V309" s="30"/>
      <c r="W309" s="30"/>
      <c r="X309" s="30"/>
      <c r="Y309" t="s">
        <v>6499</v>
      </c>
    </row>
    <row r="310" spans="1:25" x14ac:dyDescent="0.3">
      <c r="A310" s="2" t="s">
        <v>335</v>
      </c>
      <c r="B310" s="28" t="s">
        <v>6248</v>
      </c>
      <c r="C310" s="2" t="s">
        <v>336</v>
      </c>
      <c r="D310" s="2" t="s">
        <v>6474</v>
      </c>
      <c r="E310" s="28" t="s">
        <v>6477</v>
      </c>
      <c r="F310" s="28" t="str">
        <f>A310&amp;B310&amp;E310</f>
        <v>1510District LevelDistrict Design and Led 18-21</v>
      </c>
      <c r="G310" s="28" t="s">
        <v>6233</v>
      </c>
      <c r="H310" s="28" t="str">
        <f t="shared" si="22"/>
        <v>1510District LevelDistrict Design and Led</v>
      </c>
      <c r="I310" s="29">
        <v>2</v>
      </c>
      <c r="J310" s="28" t="str">
        <f t="shared" si="23"/>
        <v>1510District LevelDistrict Design and Led2</v>
      </c>
      <c r="K310" s="30"/>
      <c r="L310" s="30">
        <v>79283</v>
      </c>
      <c r="M310" s="30">
        <v>147757</v>
      </c>
      <c r="N310" s="30">
        <v>0</v>
      </c>
      <c r="O310" s="30">
        <v>158850</v>
      </c>
      <c r="P310" s="30">
        <v>0</v>
      </c>
      <c r="Q310" s="30">
        <v>0</v>
      </c>
      <c r="R310" s="30">
        <v>0</v>
      </c>
      <c r="S310" s="30">
        <v>0</v>
      </c>
      <c r="T310" s="30">
        <v>0</v>
      </c>
      <c r="U310" s="30"/>
      <c r="V310" s="30"/>
      <c r="W310" s="30"/>
      <c r="X310" s="30"/>
      <c r="Y310" t="s">
        <v>6499</v>
      </c>
    </row>
    <row r="311" spans="1:25" x14ac:dyDescent="0.3">
      <c r="A311" s="2" t="s">
        <v>339</v>
      </c>
      <c r="B311" s="2" t="s">
        <v>3527</v>
      </c>
      <c r="C311" s="2" t="s">
        <v>340</v>
      </c>
      <c r="D311" s="2" t="s">
        <v>3528</v>
      </c>
      <c r="E311" s="28" t="s">
        <v>6464</v>
      </c>
      <c r="F311" s="28" t="str">
        <f>A311&amp;B311&amp;E311</f>
        <v>15203571Diagnostic Review 17-18</v>
      </c>
      <c r="G311" s="28" t="s">
        <v>6240</v>
      </c>
      <c r="H311" s="28" t="str">
        <f t="shared" si="22"/>
        <v>15203571Diagnostic Review</v>
      </c>
      <c r="I311" s="29">
        <v>2</v>
      </c>
      <c r="J311" s="28" t="str">
        <f t="shared" si="23"/>
        <v>15203571Diagnostic Review2</v>
      </c>
      <c r="K311" s="32">
        <v>29926</v>
      </c>
      <c r="L311" s="32"/>
      <c r="M311" s="32"/>
      <c r="N311" s="30">
        <v>0</v>
      </c>
      <c r="O311" s="32">
        <v>0</v>
      </c>
      <c r="P311" s="32">
        <v>0</v>
      </c>
      <c r="Q311" s="30">
        <v>0</v>
      </c>
      <c r="R311" s="30">
        <v>0</v>
      </c>
      <c r="S311" s="30">
        <v>0</v>
      </c>
      <c r="T311" s="30">
        <v>0</v>
      </c>
      <c r="U311" s="30"/>
      <c r="V311" s="30"/>
      <c r="W311" s="30"/>
      <c r="X311" s="30"/>
      <c r="Y311" t="s">
        <v>6499</v>
      </c>
    </row>
    <row r="312" spans="1:25" x14ac:dyDescent="0.3">
      <c r="A312" s="2" t="s">
        <v>339</v>
      </c>
      <c r="B312" s="2" t="s">
        <v>3527</v>
      </c>
      <c r="C312" s="2" t="s">
        <v>340</v>
      </c>
      <c r="D312" s="2" t="s">
        <v>3528</v>
      </c>
      <c r="E312" s="28" t="s">
        <v>6477</v>
      </c>
      <c r="F312" s="28" t="str">
        <f>A312&amp;B312&amp;E312</f>
        <v>15203571District Design and Led 18-21</v>
      </c>
      <c r="G312" s="28" t="s">
        <v>6233</v>
      </c>
      <c r="H312" s="28" t="str">
        <f t="shared" si="22"/>
        <v>15203571District Design and Led</v>
      </c>
      <c r="I312" s="29">
        <v>2</v>
      </c>
      <c r="J312" s="28" t="str">
        <f t="shared" si="23"/>
        <v>15203571District Design and Led2</v>
      </c>
      <c r="K312" s="30"/>
      <c r="L312" s="30">
        <v>22493</v>
      </c>
      <c r="M312" s="30">
        <v>46645</v>
      </c>
      <c r="N312" s="30">
        <v>0</v>
      </c>
      <c r="O312" s="30">
        <v>51220</v>
      </c>
      <c r="P312" s="30">
        <v>0</v>
      </c>
      <c r="Q312" s="30">
        <v>0</v>
      </c>
      <c r="R312" s="30">
        <v>0</v>
      </c>
      <c r="S312" s="30">
        <v>0</v>
      </c>
      <c r="T312" s="30">
        <v>0</v>
      </c>
      <c r="U312" s="30"/>
      <c r="V312" s="30"/>
      <c r="W312" s="30"/>
      <c r="X312" s="30"/>
      <c r="Y312" t="s">
        <v>6499</v>
      </c>
    </row>
    <row r="313" spans="1:25" x14ac:dyDescent="0.3">
      <c r="A313" s="2" t="s">
        <v>968</v>
      </c>
      <c r="B313" s="2" t="s">
        <v>3159</v>
      </c>
      <c r="C313" s="2" t="s">
        <v>969</v>
      </c>
      <c r="D313" s="2" t="s">
        <v>3160</v>
      </c>
      <c r="E313" s="28" t="s">
        <v>6475</v>
      </c>
      <c r="F313" s="28" t="s">
        <v>6476</v>
      </c>
      <c r="G313" s="28" t="s">
        <v>6233</v>
      </c>
      <c r="H313" s="28" t="str">
        <f t="shared" si="22"/>
        <v>15300632District Design and Led</v>
      </c>
      <c r="I313" s="29">
        <v>4</v>
      </c>
      <c r="J313" s="28" t="str">
        <f t="shared" si="23"/>
        <v>15300632District Design and Led4</v>
      </c>
      <c r="K313" s="30"/>
      <c r="L313" s="30"/>
      <c r="M313" s="30"/>
      <c r="N313" s="30"/>
      <c r="O313" s="30"/>
      <c r="P313" s="30"/>
      <c r="Q313" s="30">
        <v>25000</v>
      </c>
      <c r="R313" s="30">
        <v>0</v>
      </c>
      <c r="S313" s="30">
        <v>0</v>
      </c>
      <c r="T313" s="30">
        <v>25000</v>
      </c>
      <c r="U313" s="30"/>
      <c r="V313" s="30"/>
      <c r="W313" s="30"/>
      <c r="X313" s="30"/>
      <c r="Y313" t="s">
        <v>6499</v>
      </c>
    </row>
    <row r="314" spans="1:25" x14ac:dyDescent="0.3">
      <c r="A314" s="2" t="s">
        <v>209</v>
      </c>
      <c r="B314" s="2" t="s">
        <v>5617</v>
      </c>
      <c r="C314" s="2" t="s">
        <v>210</v>
      </c>
      <c r="D314" s="2" t="s">
        <v>5618</v>
      </c>
      <c r="E314" s="28" t="s">
        <v>6455</v>
      </c>
      <c r="F314" s="28" t="str">
        <f t="shared" ref="F314:F320" si="27">A314&amp;B314&amp;E314</f>
        <v>15404252Connect For Success 17-20</v>
      </c>
      <c r="G314" s="28" t="s">
        <v>6234</v>
      </c>
      <c r="H314" s="28" t="str">
        <f t="shared" si="22"/>
        <v>15404252Connect For Success</v>
      </c>
      <c r="I314" s="29">
        <v>1</v>
      </c>
      <c r="J314" s="28" t="str">
        <f t="shared" si="23"/>
        <v>15404252Connect For Success1</v>
      </c>
      <c r="K314" s="30">
        <v>20000</v>
      </c>
      <c r="L314" s="30">
        <v>80000</v>
      </c>
      <c r="M314" s="30">
        <v>80000</v>
      </c>
      <c r="N314" s="30">
        <v>0</v>
      </c>
      <c r="O314" s="30">
        <v>0</v>
      </c>
      <c r="P314" s="30">
        <v>0</v>
      </c>
      <c r="Q314" s="30">
        <v>0</v>
      </c>
      <c r="R314" s="30">
        <v>0</v>
      </c>
      <c r="S314" s="30">
        <v>0</v>
      </c>
      <c r="T314" s="30">
        <v>0</v>
      </c>
      <c r="U314" s="30"/>
      <c r="V314" s="30"/>
      <c r="W314" s="30"/>
      <c r="X314" s="30"/>
      <c r="Y314" t="s">
        <v>6499</v>
      </c>
    </row>
    <row r="315" spans="1:25" x14ac:dyDescent="0.3">
      <c r="A315" s="2" t="s">
        <v>209</v>
      </c>
      <c r="B315" s="2" t="s">
        <v>5617</v>
      </c>
      <c r="C315" s="2" t="s">
        <v>210</v>
      </c>
      <c r="D315" s="2" t="s">
        <v>5618</v>
      </c>
      <c r="E315" s="28" t="s">
        <v>6478</v>
      </c>
      <c r="F315" s="28" t="str">
        <f t="shared" si="27"/>
        <v>15404252District Design and Led 19-22</v>
      </c>
      <c r="G315" s="28" t="s">
        <v>6233</v>
      </c>
      <c r="H315" s="28" t="str">
        <f t="shared" si="22"/>
        <v>15404252District Design and Led</v>
      </c>
      <c r="I315" s="29">
        <v>3</v>
      </c>
      <c r="J315" s="28" t="str">
        <f t="shared" si="23"/>
        <v>15404252District Design and Led3</v>
      </c>
      <c r="K315" s="30"/>
      <c r="L315" s="30"/>
      <c r="M315" s="30"/>
      <c r="N315" s="30">
        <v>0</v>
      </c>
      <c r="O315" s="30">
        <v>0</v>
      </c>
      <c r="P315" s="30">
        <v>82875</v>
      </c>
      <c r="Q315" s="30">
        <v>0</v>
      </c>
      <c r="R315" s="30">
        <v>0</v>
      </c>
      <c r="S315" s="30">
        <v>82875</v>
      </c>
      <c r="T315" s="30">
        <v>0</v>
      </c>
      <c r="U315" s="30"/>
      <c r="V315" s="30"/>
      <c r="W315" s="30"/>
      <c r="X315" s="30"/>
      <c r="Y315" t="s">
        <v>6499</v>
      </c>
    </row>
    <row r="316" spans="1:25" x14ac:dyDescent="0.3">
      <c r="A316" s="28" t="s">
        <v>209</v>
      </c>
      <c r="B316" s="28" t="s">
        <v>6248</v>
      </c>
      <c r="C316" s="2" t="s">
        <v>210</v>
      </c>
      <c r="D316" s="2" t="s">
        <v>6474</v>
      </c>
      <c r="E316" s="28" t="s">
        <v>6475</v>
      </c>
      <c r="F316" s="28" t="str">
        <f t="shared" si="27"/>
        <v>1540District LevelDDL</v>
      </c>
      <c r="G316" s="28" t="s">
        <v>6233</v>
      </c>
      <c r="H316" s="28" t="str">
        <f t="shared" si="22"/>
        <v>1540District LevelDistrict Design and Led</v>
      </c>
      <c r="I316" s="29">
        <v>5</v>
      </c>
      <c r="J316" s="28" t="str">
        <f t="shared" si="23"/>
        <v>1540District LevelDistrict Design and Led5</v>
      </c>
      <c r="K316" s="30">
        <v>0</v>
      </c>
      <c r="L316" s="30">
        <v>0</v>
      </c>
      <c r="M316" s="30">
        <v>0</v>
      </c>
      <c r="N316" s="30">
        <v>0</v>
      </c>
      <c r="O316" s="30">
        <v>0</v>
      </c>
      <c r="P316" s="30">
        <v>0</v>
      </c>
      <c r="Q316" s="30">
        <v>0</v>
      </c>
      <c r="R316" s="30">
        <v>0</v>
      </c>
      <c r="S316" s="30">
        <v>0</v>
      </c>
      <c r="T316" s="30">
        <v>0</v>
      </c>
      <c r="U316" s="30">
        <v>0</v>
      </c>
      <c r="V316" s="30">
        <v>50000</v>
      </c>
      <c r="W316" s="30">
        <v>50000</v>
      </c>
      <c r="X316" s="30">
        <v>0</v>
      </c>
      <c r="Y316" t="s">
        <v>6499</v>
      </c>
    </row>
    <row r="317" spans="1:25" x14ac:dyDescent="0.3">
      <c r="A317" s="2" t="s">
        <v>214</v>
      </c>
      <c r="B317" s="2" t="s">
        <v>5638</v>
      </c>
      <c r="C317" s="2" t="s">
        <v>215</v>
      </c>
      <c r="D317" s="2" t="s">
        <v>5639</v>
      </c>
      <c r="E317" s="28" t="s">
        <v>6473</v>
      </c>
      <c r="F317" s="28" t="str">
        <f t="shared" si="27"/>
        <v>15500612District Design and Led 17-20</v>
      </c>
      <c r="G317" s="28" t="s">
        <v>6233</v>
      </c>
      <c r="H317" s="28" t="str">
        <f t="shared" si="22"/>
        <v>15500612District Design and Led</v>
      </c>
      <c r="I317" s="29">
        <v>2</v>
      </c>
      <c r="J317" s="28" t="str">
        <f t="shared" si="23"/>
        <v>15500612District Design and Led2</v>
      </c>
      <c r="K317" s="30">
        <v>48559</v>
      </c>
      <c r="L317" s="30">
        <v>48286</v>
      </c>
      <c r="M317" s="30">
        <v>61738</v>
      </c>
      <c r="N317" s="30">
        <v>0</v>
      </c>
      <c r="O317" s="30">
        <v>0</v>
      </c>
      <c r="P317" s="30">
        <v>0</v>
      </c>
      <c r="Q317" s="30">
        <v>0</v>
      </c>
      <c r="R317" s="30">
        <v>0</v>
      </c>
      <c r="S317" s="30">
        <v>0</v>
      </c>
      <c r="T317" s="30">
        <v>0</v>
      </c>
      <c r="U317" s="30"/>
      <c r="V317" s="30"/>
      <c r="W317" s="30"/>
      <c r="X317" s="30"/>
      <c r="Y317" t="s">
        <v>6499</v>
      </c>
    </row>
    <row r="318" spans="1:25" x14ac:dyDescent="0.3">
      <c r="A318" s="2" t="s">
        <v>214</v>
      </c>
      <c r="B318" s="2" t="s">
        <v>2651</v>
      </c>
      <c r="C318" s="2" t="s">
        <v>215</v>
      </c>
      <c r="D318" s="2" t="s">
        <v>2652</v>
      </c>
      <c r="E318" s="28" t="s">
        <v>6473</v>
      </c>
      <c r="F318" s="28" t="str">
        <f t="shared" si="27"/>
        <v>15500678District Design and Led 17-20</v>
      </c>
      <c r="G318" s="28" t="s">
        <v>6233</v>
      </c>
      <c r="H318" s="28" t="str">
        <f t="shared" si="22"/>
        <v>15500678District Design and Led</v>
      </c>
      <c r="I318" s="29">
        <v>2</v>
      </c>
      <c r="J318" s="28" t="str">
        <f t="shared" si="23"/>
        <v>15500678District Design and Led2</v>
      </c>
      <c r="K318" s="30">
        <v>45071</v>
      </c>
      <c r="L318" s="30">
        <v>48103</v>
      </c>
      <c r="M318" s="30">
        <v>46929</v>
      </c>
      <c r="N318" s="30">
        <v>0</v>
      </c>
      <c r="O318" s="30">
        <v>0</v>
      </c>
      <c r="P318" s="30">
        <v>0</v>
      </c>
      <c r="Q318" s="30">
        <v>0</v>
      </c>
      <c r="R318" s="30">
        <v>0</v>
      </c>
      <c r="S318" s="30">
        <v>0</v>
      </c>
      <c r="T318" s="30">
        <v>0</v>
      </c>
      <c r="U318" s="30"/>
      <c r="V318" s="30"/>
      <c r="W318" s="30"/>
      <c r="X318" s="30"/>
      <c r="Y318" t="s">
        <v>6499</v>
      </c>
    </row>
    <row r="319" spans="1:25" x14ac:dyDescent="0.3">
      <c r="A319" s="28" t="s">
        <v>214</v>
      </c>
      <c r="B319" s="28" t="s">
        <v>3437</v>
      </c>
      <c r="C319" s="2" t="s">
        <v>215</v>
      </c>
      <c r="D319" s="2" t="s">
        <v>3438</v>
      </c>
      <c r="E319" s="28" t="s">
        <v>6475</v>
      </c>
      <c r="F319" s="28" t="str">
        <f t="shared" si="27"/>
        <v>15501917DDL</v>
      </c>
      <c r="G319" s="28" t="s">
        <v>6233</v>
      </c>
      <c r="H319" s="28" t="str">
        <f t="shared" si="22"/>
        <v>15501917District Design and Led</v>
      </c>
      <c r="I319" s="29">
        <v>5</v>
      </c>
      <c r="J319" s="28" t="str">
        <f t="shared" si="23"/>
        <v>15501917District Design and Led5</v>
      </c>
      <c r="K319" s="30">
        <v>0</v>
      </c>
      <c r="L319" s="30">
        <v>0</v>
      </c>
      <c r="M319" s="30">
        <v>0</v>
      </c>
      <c r="N319" s="30">
        <v>0</v>
      </c>
      <c r="O319" s="30">
        <v>0</v>
      </c>
      <c r="P319" s="30">
        <v>0</v>
      </c>
      <c r="Q319" s="30">
        <v>0</v>
      </c>
      <c r="R319" s="30">
        <v>0</v>
      </c>
      <c r="S319" s="30">
        <v>0</v>
      </c>
      <c r="T319" s="30">
        <v>0</v>
      </c>
      <c r="U319" s="30">
        <v>26600</v>
      </c>
      <c r="V319" s="30">
        <v>40550</v>
      </c>
      <c r="W319" s="30">
        <v>40550</v>
      </c>
      <c r="X319" s="30">
        <v>0</v>
      </c>
      <c r="Y319" t="s">
        <v>6500</v>
      </c>
    </row>
    <row r="320" spans="1:25" x14ac:dyDescent="0.3">
      <c r="A320" s="2" t="s">
        <v>214</v>
      </c>
      <c r="B320" s="2" t="s">
        <v>5640</v>
      </c>
      <c r="C320" s="2" t="s">
        <v>215</v>
      </c>
      <c r="D320" s="2" t="s">
        <v>3361</v>
      </c>
      <c r="E320" s="28" t="s">
        <v>6473</v>
      </c>
      <c r="F320" s="28" t="str">
        <f t="shared" si="27"/>
        <v>15503760District Design and Led 17-20</v>
      </c>
      <c r="G320" s="28" t="s">
        <v>6233</v>
      </c>
      <c r="H320" s="28" t="str">
        <f t="shared" si="22"/>
        <v>15503760District Design and Led</v>
      </c>
      <c r="I320" s="29">
        <v>2</v>
      </c>
      <c r="J320" s="28" t="str">
        <f t="shared" si="23"/>
        <v>15503760District Design and Led2</v>
      </c>
      <c r="K320" s="32">
        <v>34841</v>
      </c>
      <c r="L320" s="32">
        <v>35628</v>
      </c>
      <c r="M320" s="32">
        <v>-64432</v>
      </c>
      <c r="N320" s="32">
        <v>0</v>
      </c>
      <c r="O320" s="32">
        <v>0</v>
      </c>
      <c r="P320" s="32">
        <v>0</v>
      </c>
      <c r="Q320" s="32">
        <v>0</v>
      </c>
      <c r="R320" s="32">
        <v>0</v>
      </c>
      <c r="S320" s="32">
        <v>0</v>
      </c>
      <c r="T320" s="32">
        <v>0</v>
      </c>
      <c r="U320" s="32"/>
      <c r="V320" s="32"/>
      <c r="W320" s="32"/>
      <c r="X320" s="32"/>
      <c r="Y320" t="s">
        <v>6499</v>
      </c>
    </row>
    <row r="321" spans="1:25" x14ac:dyDescent="0.3">
      <c r="A321" s="2" t="s">
        <v>214</v>
      </c>
      <c r="B321" s="2" t="s">
        <v>2005</v>
      </c>
      <c r="C321" s="2" t="s">
        <v>215</v>
      </c>
      <c r="D321" s="2" t="s">
        <v>2006</v>
      </c>
      <c r="E321" s="28" t="s">
        <v>6468</v>
      </c>
      <c r="F321" s="28" t="s">
        <v>6469</v>
      </c>
      <c r="G321" s="28" t="s">
        <v>6240</v>
      </c>
      <c r="H321" s="28" t="str">
        <f t="shared" si="22"/>
        <v>15504282Diagnostic Review</v>
      </c>
      <c r="I321" s="29">
        <v>4</v>
      </c>
      <c r="J321" s="28" t="str">
        <f t="shared" si="23"/>
        <v>15504282Diagnostic Review4</v>
      </c>
      <c r="K321" s="30"/>
      <c r="L321" s="30"/>
      <c r="M321" s="30"/>
      <c r="N321" s="30"/>
      <c r="O321" s="30"/>
      <c r="P321" s="30"/>
      <c r="Q321" s="30">
        <v>25000</v>
      </c>
      <c r="R321" s="30">
        <v>0</v>
      </c>
      <c r="S321" s="30">
        <v>0</v>
      </c>
      <c r="T321" s="30">
        <v>0</v>
      </c>
      <c r="U321" s="30"/>
      <c r="V321" s="30"/>
      <c r="W321" s="30"/>
      <c r="X321" s="30"/>
      <c r="Y321" t="s">
        <v>6499</v>
      </c>
    </row>
    <row r="322" spans="1:25" x14ac:dyDescent="0.3">
      <c r="A322" s="2" t="s">
        <v>214</v>
      </c>
      <c r="B322" s="2" t="s">
        <v>5619</v>
      </c>
      <c r="C322" s="2" t="s">
        <v>215</v>
      </c>
      <c r="D322" s="2" t="s">
        <v>5620</v>
      </c>
      <c r="E322" s="28" t="s">
        <v>6473</v>
      </c>
      <c r="F322" s="28" t="str">
        <f t="shared" ref="F322:F356" si="28">A322&amp;B322&amp;E322</f>
        <v>15505068District Design and Led 17-20</v>
      </c>
      <c r="G322" s="28" t="s">
        <v>6233</v>
      </c>
      <c r="H322" s="28" t="str">
        <f t="shared" ref="H322:H385" si="29">A322&amp;B322&amp;G322</f>
        <v>15505068District Design and Led</v>
      </c>
      <c r="I322" s="29">
        <v>2</v>
      </c>
      <c r="J322" s="28" t="str">
        <f t="shared" ref="J322:J385" si="30">H322&amp;I322</f>
        <v>15505068District Design and Led2</v>
      </c>
      <c r="K322" s="30">
        <v>46861</v>
      </c>
      <c r="L322" s="30">
        <v>23115</v>
      </c>
      <c r="M322" s="30">
        <v>45486</v>
      </c>
      <c r="N322" s="30">
        <v>0</v>
      </c>
      <c r="O322" s="30">
        <v>0</v>
      </c>
      <c r="P322" s="30">
        <v>0</v>
      </c>
      <c r="Q322" s="30">
        <v>0</v>
      </c>
      <c r="R322" s="30">
        <v>0</v>
      </c>
      <c r="S322" s="30">
        <v>0</v>
      </c>
      <c r="T322" s="30">
        <v>0</v>
      </c>
      <c r="U322" s="30"/>
      <c r="V322" s="30"/>
      <c r="W322" s="30"/>
      <c r="X322" s="30"/>
      <c r="Y322" t="s">
        <v>6499</v>
      </c>
    </row>
    <row r="323" spans="1:25" x14ac:dyDescent="0.3">
      <c r="A323" s="2" t="s">
        <v>214</v>
      </c>
      <c r="B323" s="2" t="s">
        <v>4235</v>
      </c>
      <c r="C323" s="2" t="s">
        <v>215</v>
      </c>
      <c r="D323" s="2" t="s">
        <v>4236</v>
      </c>
      <c r="E323" s="28" t="s">
        <v>6473</v>
      </c>
      <c r="F323" s="28" t="str">
        <f t="shared" si="28"/>
        <v>15507127District Design and Led 17-20</v>
      </c>
      <c r="G323" s="28" t="s">
        <v>6233</v>
      </c>
      <c r="H323" s="28" t="str">
        <f t="shared" si="29"/>
        <v>15507127District Design and Led</v>
      </c>
      <c r="I323" s="29">
        <v>2</v>
      </c>
      <c r="J323" s="28" t="str">
        <f t="shared" si="30"/>
        <v>15507127District Design and Led2</v>
      </c>
      <c r="K323" s="30">
        <v>38420</v>
      </c>
      <c r="L323" s="30">
        <v>43420</v>
      </c>
      <c r="M323" s="30">
        <v>43427</v>
      </c>
      <c r="N323" s="30">
        <v>0</v>
      </c>
      <c r="O323" s="30">
        <v>0</v>
      </c>
      <c r="P323" s="30">
        <v>0</v>
      </c>
      <c r="Q323" s="30">
        <v>0</v>
      </c>
      <c r="R323" s="30">
        <v>0</v>
      </c>
      <c r="S323" s="30">
        <v>0</v>
      </c>
      <c r="T323" s="30">
        <v>0</v>
      </c>
      <c r="U323" s="30"/>
      <c r="V323" s="30"/>
      <c r="W323" s="30"/>
      <c r="X323" s="30"/>
      <c r="Y323" t="s">
        <v>6499</v>
      </c>
    </row>
    <row r="324" spans="1:25" x14ac:dyDescent="0.3">
      <c r="A324" s="2" t="s">
        <v>214</v>
      </c>
      <c r="B324" s="2" t="s">
        <v>1999</v>
      </c>
      <c r="C324" s="2" t="s">
        <v>215</v>
      </c>
      <c r="D324" s="2" t="s">
        <v>2000</v>
      </c>
      <c r="E324" s="28" t="s">
        <v>6473</v>
      </c>
      <c r="F324" s="28" t="str">
        <f t="shared" si="28"/>
        <v>15507161District Design and Led 17-20</v>
      </c>
      <c r="G324" s="28" t="s">
        <v>6233</v>
      </c>
      <c r="H324" s="28" t="str">
        <f t="shared" si="29"/>
        <v>15507161District Design and Led</v>
      </c>
      <c r="I324" s="29">
        <v>2</v>
      </c>
      <c r="J324" s="28" t="str">
        <f t="shared" si="30"/>
        <v>15507161District Design and Led2</v>
      </c>
      <c r="K324" s="32">
        <v>48265</v>
      </c>
      <c r="L324" s="32">
        <v>26494</v>
      </c>
      <c r="M324" s="32">
        <v>28997</v>
      </c>
      <c r="N324" s="30">
        <v>0</v>
      </c>
      <c r="O324" s="32">
        <v>0</v>
      </c>
      <c r="P324" s="32">
        <v>0</v>
      </c>
      <c r="Q324" s="30">
        <v>0</v>
      </c>
      <c r="R324" s="30">
        <v>0</v>
      </c>
      <c r="S324" s="30">
        <v>0</v>
      </c>
      <c r="T324" s="30">
        <v>0</v>
      </c>
      <c r="U324" s="30"/>
      <c r="V324" s="30"/>
      <c r="W324" s="30"/>
      <c r="X324" s="30"/>
      <c r="Y324" t="s">
        <v>6499</v>
      </c>
    </row>
    <row r="325" spans="1:25" x14ac:dyDescent="0.3">
      <c r="A325" s="2" t="s">
        <v>214</v>
      </c>
      <c r="B325" s="2" t="s">
        <v>4902</v>
      </c>
      <c r="C325" s="2" t="s">
        <v>215</v>
      </c>
      <c r="D325" s="2" t="s">
        <v>4903</v>
      </c>
      <c r="E325" s="28" t="s">
        <v>6473</v>
      </c>
      <c r="F325" s="28" t="str">
        <f t="shared" si="28"/>
        <v>15507198District Design and Led 17-20</v>
      </c>
      <c r="G325" s="28" t="s">
        <v>6233</v>
      </c>
      <c r="H325" s="28" t="str">
        <f t="shared" si="29"/>
        <v>15507198District Design and Led</v>
      </c>
      <c r="I325" s="29">
        <v>2</v>
      </c>
      <c r="J325" s="28" t="str">
        <f t="shared" si="30"/>
        <v>15507198District Design and Led2</v>
      </c>
      <c r="K325" s="32">
        <v>82077</v>
      </c>
      <c r="L325" s="32">
        <v>67727</v>
      </c>
      <c r="M325" s="32">
        <v>103765</v>
      </c>
      <c r="N325" s="32">
        <v>0</v>
      </c>
      <c r="O325" s="32">
        <v>0</v>
      </c>
      <c r="P325" s="32">
        <v>0</v>
      </c>
      <c r="Q325" s="32">
        <v>0</v>
      </c>
      <c r="R325" s="32">
        <v>0</v>
      </c>
      <c r="S325" s="32">
        <v>0</v>
      </c>
      <c r="T325" s="32">
        <v>0</v>
      </c>
      <c r="U325" s="32"/>
      <c r="V325" s="32"/>
      <c r="W325" s="32"/>
      <c r="X325" s="32"/>
      <c r="Y325" t="s">
        <v>6499</v>
      </c>
    </row>
    <row r="326" spans="1:25" x14ac:dyDescent="0.3">
      <c r="A326" s="2" t="s">
        <v>214</v>
      </c>
      <c r="B326" s="28" t="s">
        <v>6248</v>
      </c>
      <c r="C326" s="2" t="s">
        <v>215</v>
      </c>
      <c r="D326" s="2" t="s">
        <v>6474</v>
      </c>
      <c r="E326" s="28" t="s">
        <v>6473</v>
      </c>
      <c r="F326" s="28" t="str">
        <f t="shared" si="28"/>
        <v>1550District LevelDistrict Design and Led 17-20</v>
      </c>
      <c r="G326" s="28" t="s">
        <v>6233</v>
      </c>
      <c r="H326" s="28" t="str">
        <f t="shared" si="29"/>
        <v>1550District LevelDistrict Design and Led</v>
      </c>
      <c r="I326" s="29">
        <v>2</v>
      </c>
      <c r="J326" s="28" t="str">
        <f t="shared" si="30"/>
        <v>1550District LevelDistrict Design and Led2</v>
      </c>
      <c r="K326" s="30">
        <v>13936</v>
      </c>
      <c r="L326" s="30">
        <v>0</v>
      </c>
      <c r="M326" s="30">
        <v>26989</v>
      </c>
      <c r="N326" s="30">
        <v>0</v>
      </c>
      <c r="O326" s="30">
        <v>0</v>
      </c>
      <c r="P326" s="30">
        <v>0</v>
      </c>
      <c r="Q326" s="30">
        <v>0</v>
      </c>
      <c r="R326" s="30">
        <v>0</v>
      </c>
      <c r="S326" s="30">
        <v>0</v>
      </c>
      <c r="T326" s="30">
        <v>0</v>
      </c>
      <c r="U326" s="30"/>
      <c r="V326" s="30"/>
      <c r="W326" s="30"/>
      <c r="X326" s="30"/>
      <c r="Y326" t="s">
        <v>6499</v>
      </c>
    </row>
    <row r="327" spans="1:25" x14ac:dyDescent="0.3">
      <c r="A327" s="2" t="s">
        <v>233</v>
      </c>
      <c r="B327" s="28" t="s">
        <v>404</v>
      </c>
      <c r="C327" s="2" t="s">
        <v>234</v>
      </c>
      <c r="D327" s="2" t="s">
        <v>4926</v>
      </c>
      <c r="E327" s="28" t="s">
        <v>6237</v>
      </c>
      <c r="F327" s="28" t="str">
        <f t="shared" si="28"/>
        <v>15600510Turnaround Network</v>
      </c>
      <c r="G327" s="28" t="s">
        <v>6237</v>
      </c>
      <c r="H327" s="28" t="str">
        <f t="shared" si="29"/>
        <v>15600510Turnaround Network</v>
      </c>
      <c r="I327" s="29">
        <v>2</v>
      </c>
      <c r="J327" s="28" t="str">
        <f t="shared" si="30"/>
        <v>15600510Turnaround Network2</v>
      </c>
      <c r="K327" s="30"/>
      <c r="L327" s="30"/>
      <c r="M327" s="30"/>
      <c r="N327" s="30">
        <v>0</v>
      </c>
      <c r="O327" s="30">
        <v>105459.25140000001</v>
      </c>
      <c r="P327" s="30">
        <v>0</v>
      </c>
      <c r="Q327" s="30">
        <v>0</v>
      </c>
      <c r="R327" s="30">
        <v>30888</v>
      </c>
      <c r="S327" s="30">
        <v>0</v>
      </c>
      <c r="T327" s="30">
        <v>0</v>
      </c>
      <c r="U327" s="30"/>
      <c r="V327" s="30"/>
      <c r="W327" s="30"/>
      <c r="X327" s="30"/>
      <c r="Y327" t="s">
        <v>6499</v>
      </c>
    </row>
    <row r="328" spans="1:25" x14ac:dyDescent="0.3">
      <c r="A328" s="2" t="s">
        <v>233</v>
      </c>
      <c r="B328" s="2" t="s">
        <v>404</v>
      </c>
      <c r="C328" s="2" t="s">
        <v>234</v>
      </c>
      <c r="D328" s="2" t="s">
        <v>4926</v>
      </c>
      <c r="E328" s="28" t="s">
        <v>6237</v>
      </c>
      <c r="F328" s="28" t="str">
        <f t="shared" si="28"/>
        <v>15600510Turnaround Network</v>
      </c>
      <c r="G328" s="28" t="s">
        <v>6237</v>
      </c>
      <c r="H328" s="28" t="str">
        <f t="shared" si="29"/>
        <v>15600510Turnaround Network</v>
      </c>
      <c r="I328" s="29">
        <v>3</v>
      </c>
      <c r="J328" s="28" t="str">
        <f t="shared" si="30"/>
        <v>15600510Turnaround Network3</v>
      </c>
      <c r="K328" s="30"/>
      <c r="L328" s="30">
        <v>30000</v>
      </c>
      <c r="M328" s="30"/>
      <c r="N328" s="30">
        <v>0</v>
      </c>
      <c r="O328" s="30"/>
      <c r="P328" s="30">
        <v>0</v>
      </c>
      <c r="Q328" s="30">
        <v>0</v>
      </c>
      <c r="R328" s="30">
        <v>0</v>
      </c>
      <c r="S328" s="30">
        <v>0</v>
      </c>
      <c r="T328" s="30">
        <v>0</v>
      </c>
      <c r="U328" s="30"/>
      <c r="V328" s="30"/>
      <c r="W328" s="30"/>
      <c r="X328" s="30"/>
      <c r="Y328" t="s">
        <v>6499</v>
      </c>
    </row>
    <row r="329" spans="1:25" x14ac:dyDescent="0.3">
      <c r="A329" s="28" t="s">
        <v>233</v>
      </c>
      <c r="B329" s="28" t="s">
        <v>404</v>
      </c>
      <c r="C329" s="2" t="s">
        <v>234</v>
      </c>
      <c r="D329" s="2" t="s">
        <v>4926</v>
      </c>
      <c r="E329" s="28" t="s">
        <v>6496</v>
      </c>
      <c r="F329" s="28" t="str">
        <f t="shared" si="28"/>
        <v>15600510Offered Services Continuation</v>
      </c>
      <c r="G329" s="28" t="s">
        <v>6237</v>
      </c>
      <c r="H329" s="28" t="str">
        <f t="shared" si="29"/>
        <v>15600510Turnaround Network</v>
      </c>
      <c r="I329" s="29">
        <v>5</v>
      </c>
      <c r="J329" s="28" t="str">
        <f t="shared" si="30"/>
        <v>15600510Turnaround Network5</v>
      </c>
      <c r="K329" s="30">
        <v>0</v>
      </c>
      <c r="L329" s="30">
        <v>0</v>
      </c>
      <c r="M329" s="30">
        <v>0</v>
      </c>
      <c r="N329" s="30">
        <v>0</v>
      </c>
      <c r="O329" s="30">
        <v>0</v>
      </c>
      <c r="P329" s="30">
        <v>0</v>
      </c>
      <c r="Q329" s="30">
        <v>0</v>
      </c>
      <c r="R329" s="30">
        <v>0</v>
      </c>
      <c r="S329" s="30">
        <v>0</v>
      </c>
      <c r="T329" s="30">
        <v>0</v>
      </c>
      <c r="U329" s="30">
        <v>0</v>
      </c>
      <c r="V329" s="30">
        <v>39946</v>
      </c>
      <c r="W329" s="30">
        <v>0</v>
      </c>
      <c r="X329" s="30">
        <v>0</v>
      </c>
      <c r="Y329" t="s">
        <v>6499</v>
      </c>
    </row>
    <row r="330" spans="1:25" x14ac:dyDescent="0.3">
      <c r="A330" s="2" t="s">
        <v>233</v>
      </c>
      <c r="B330" s="28" t="s">
        <v>2673</v>
      </c>
      <c r="C330" s="2" t="s">
        <v>234</v>
      </c>
      <c r="D330" s="2" t="s">
        <v>1675</v>
      </c>
      <c r="E330" s="28" t="s">
        <v>6237</v>
      </c>
      <c r="F330" s="28" t="str">
        <f t="shared" si="28"/>
        <v>15605170Turnaround Network</v>
      </c>
      <c r="G330" s="28" t="s">
        <v>6237</v>
      </c>
      <c r="H330" s="28" t="str">
        <f t="shared" si="29"/>
        <v>15605170Turnaround Network</v>
      </c>
      <c r="I330" s="29">
        <v>2</v>
      </c>
      <c r="J330" s="28" t="str">
        <f t="shared" si="30"/>
        <v>15605170Turnaround Network2</v>
      </c>
      <c r="K330" s="30">
        <v>100260</v>
      </c>
      <c r="L330" s="30"/>
      <c r="M330" s="30"/>
      <c r="N330" s="30">
        <v>0</v>
      </c>
      <c r="O330" s="30">
        <v>0</v>
      </c>
      <c r="P330" s="30">
        <v>0</v>
      </c>
      <c r="Q330" s="30">
        <v>0</v>
      </c>
      <c r="R330" s="30">
        <v>0</v>
      </c>
      <c r="S330" s="30">
        <v>0</v>
      </c>
      <c r="T330" s="30">
        <v>0</v>
      </c>
      <c r="U330" s="30"/>
      <c r="V330" s="30"/>
      <c r="W330" s="30"/>
      <c r="X330" s="30"/>
      <c r="Y330" t="s">
        <v>6499</v>
      </c>
    </row>
    <row r="331" spans="1:25" x14ac:dyDescent="0.3">
      <c r="A331" s="2" t="s">
        <v>233</v>
      </c>
      <c r="B331" s="2" t="s">
        <v>2673</v>
      </c>
      <c r="C331" s="2" t="s">
        <v>234</v>
      </c>
      <c r="D331" s="2" t="s">
        <v>1675</v>
      </c>
      <c r="E331" s="28" t="s">
        <v>6237</v>
      </c>
      <c r="F331" s="28" t="str">
        <f t="shared" si="28"/>
        <v>15605170Turnaround Network</v>
      </c>
      <c r="G331" s="28" t="s">
        <v>6237</v>
      </c>
      <c r="H331" s="28" t="str">
        <f t="shared" si="29"/>
        <v>15605170Turnaround Network</v>
      </c>
      <c r="I331" s="29">
        <v>3</v>
      </c>
      <c r="J331" s="28" t="str">
        <f t="shared" si="30"/>
        <v>15605170Turnaround Network3</v>
      </c>
      <c r="K331" s="30"/>
      <c r="L331" s="30">
        <v>29924</v>
      </c>
      <c r="M331" s="30"/>
      <c r="N331" s="30">
        <v>0</v>
      </c>
      <c r="O331" s="30">
        <v>0</v>
      </c>
      <c r="P331" s="30">
        <v>0</v>
      </c>
      <c r="Q331" s="30">
        <v>0</v>
      </c>
      <c r="R331" s="30">
        <v>0</v>
      </c>
      <c r="S331" s="30">
        <v>0</v>
      </c>
      <c r="T331" s="30">
        <v>0</v>
      </c>
      <c r="U331" s="30"/>
      <c r="V331" s="30"/>
      <c r="W331" s="30"/>
      <c r="X331" s="30"/>
      <c r="Y331" t="s">
        <v>6499</v>
      </c>
    </row>
    <row r="332" spans="1:25" x14ac:dyDescent="0.3">
      <c r="A332" s="2" t="s">
        <v>233</v>
      </c>
      <c r="B332" s="2" t="s">
        <v>4248</v>
      </c>
      <c r="C332" s="2" t="s">
        <v>234</v>
      </c>
      <c r="D332" s="2" t="s">
        <v>4249</v>
      </c>
      <c r="E332" s="28" t="s">
        <v>6237</v>
      </c>
      <c r="F332" s="28" t="str">
        <f t="shared" si="28"/>
        <v>15606194Turnaround Network</v>
      </c>
      <c r="G332" s="28" t="s">
        <v>6237</v>
      </c>
      <c r="H332" s="28" t="str">
        <f t="shared" si="29"/>
        <v>15606194Turnaround Network</v>
      </c>
      <c r="I332" s="29">
        <v>3</v>
      </c>
      <c r="J332" s="28" t="str">
        <f t="shared" si="30"/>
        <v>15606194Turnaround Network3</v>
      </c>
      <c r="K332" s="30"/>
      <c r="L332" s="30">
        <v>30000</v>
      </c>
      <c r="M332" s="30"/>
      <c r="N332" s="30">
        <v>0</v>
      </c>
      <c r="O332" s="30">
        <v>0</v>
      </c>
      <c r="P332" s="30">
        <v>0</v>
      </c>
      <c r="Q332" s="30">
        <v>0</v>
      </c>
      <c r="R332" s="30">
        <v>0</v>
      </c>
      <c r="S332" s="30">
        <v>0</v>
      </c>
      <c r="T332" s="30">
        <v>0</v>
      </c>
      <c r="U332" s="30"/>
      <c r="V332" s="30"/>
      <c r="W332" s="30"/>
      <c r="X332" s="30"/>
      <c r="Y332" t="s">
        <v>6499</v>
      </c>
    </row>
    <row r="333" spans="1:25" x14ac:dyDescent="0.3">
      <c r="A333" s="2" t="s">
        <v>233</v>
      </c>
      <c r="B333" s="28" t="s">
        <v>2679</v>
      </c>
      <c r="C333" s="2" t="s">
        <v>234</v>
      </c>
      <c r="D333" s="2" t="s">
        <v>2680</v>
      </c>
      <c r="E333" s="28" t="s">
        <v>6237</v>
      </c>
      <c r="F333" s="28" t="str">
        <f t="shared" si="28"/>
        <v>15608918Turnaround Network</v>
      </c>
      <c r="G333" s="28" t="s">
        <v>6237</v>
      </c>
      <c r="H333" s="28" t="str">
        <f t="shared" si="29"/>
        <v>15608918Turnaround Network</v>
      </c>
      <c r="I333" s="29">
        <v>2</v>
      </c>
      <c r="J333" s="28" t="str">
        <f t="shared" si="30"/>
        <v>15608918Turnaround Network2</v>
      </c>
      <c r="K333" s="30">
        <v>100270</v>
      </c>
      <c r="L333" s="30"/>
      <c r="M333" s="30"/>
      <c r="N333" s="30">
        <v>0</v>
      </c>
      <c r="O333" s="30">
        <v>0</v>
      </c>
      <c r="P333" s="30">
        <v>0</v>
      </c>
      <c r="Q333" s="30">
        <v>0</v>
      </c>
      <c r="R333" s="30">
        <v>0</v>
      </c>
      <c r="S333" s="30">
        <v>0</v>
      </c>
      <c r="T333" s="30">
        <v>0</v>
      </c>
      <c r="U333" s="30"/>
      <c r="V333" s="30"/>
      <c r="W333" s="30"/>
      <c r="X333" s="30"/>
      <c r="Y333" t="s">
        <v>6499</v>
      </c>
    </row>
    <row r="334" spans="1:25" x14ac:dyDescent="0.3">
      <c r="A334" s="2" t="s">
        <v>233</v>
      </c>
      <c r="B334" s="2" t="s">
        <v>2679</v>
      </c>
      <c r="C334" s="2" t="s">
        <v>234</v>
      </c>
      <c r="D334" s="2" t="s">
        <v>2680</v>
      </c>
      <c r="E334" s="28" t="s">
        <v>6237</v>
      </c>
      <c r="F334" s="28" t="str">
        <f t="shared" si="28"/>
        <v>15608918Turnaround Network</v>
      </c>
      <c r="G334" s="28" t="s">
        <v>6237</v>
      </c>
      <c r="H334" s="28" t="str">
        <f t="shared" si="29"/>
        <v>15608918Turnaround Network</v>
      </c>
      <c r="I334" s="29">
        <v>3</v>
      </c>
      <c r="J334" s="28" t="str">
        <f t="shared" si="30"/>
        <v>15608918Turnaround Network3</v>
      </c>
      <c r="K334" s="30"/>
      <c r="L334" s="30">
        <v>30000</v>
      </c>
      <c r="M334" s="30"/>
      <c r="N334" s="30">
        <v>0</v>
      </c>
      <c r="O334" s="30">
        <v>0</v>
      </c>
      <c r="P334" s="30">
        <v>0</v>
      </c>
      <c r="Q334" s="30">
        <v>0</v>
      </c>
      <c r="R334" s="30">
        <v>0</v>
      </c>
      <c r="S334" s="30">
        <v>0</v>
      </c>
      <c r="T334" s="30">
        <v>0</v>
      </c>
      <c r="U334" s="30"/>
      <c r="V334" s="30"/>
      <c r="W334" s="30"/>
      <c r="X334" s="30"/>
      <c r="Y334" t="s">
        <v>6499</v>
      </c>
    </row>
    <row r="335" spans="1:25" x14ac:dyDescent="0.3">
      <c r="A335" s="2" t="s">
        <v>233</v>
      </c>
      <c r="B335" s="28" t="s">
        <v>2671</v>
      </c>
      <c r="C335" s="2" t="s">
        <v>234</v>
      </c>
      <c r="D335" s="2" t="s">
        <v>2672</v>
      </c>
      <c r="E335" s="28" t="s">
        <v>6237</v>
      </c>
      <c r="F335" s="28" t="str">
        <f t="shared" si="28"/>
        <v>15609228Turnaround Network</v>
      </c>
      <c r="G335" s="28" t="s">
        <v>6237</v>
      </c>
      <c r="H335" s="28" t="str">
        <f t="shared" si="29"/>
        <v>15609228Turnaround Network</v>
      </c>
      <c r="I335" s="29">
        <v>2</v>
      </c>
      <c r="J335" s="28" t="str">
        <f t="shared" si="30"/>
        <v>15609228Turnaround Network2</v>
      </c>
      <c r="K335" s="30"/>
      <c r="L335" s="30"/>
      <c r="M335" s="30"/>
      <c r="N335" s="30">
        <v>0</v>
      </c>
      <c r="O335" s="30">
        <v>94479.242400000003</v>
      </c>
      <c r="P335" s="30">
        <v>0</v>
      </c>
      <c r="Q335" s="30">
        <v>0</v>
      </c>
      <c r="R335" s="30">
        <v>30888</v>
      </c>
      <c r="S335" s="30">
        <v>0</v>
      </c>
      <c r="T335" s="30">
        <v>0</v>
      </c>
      <c r="U335" s="30"/>
      <c r="V335" s="30"/>
      <c r="W335" s="30"/>
      <c r="X335" s="30"/>
      <c r="Y335" t="s">
        <v>6499</v>
      </c>
    </row>
    <row r="336" spans="1:25" x14ac:dyDescent="0.3">
      <c r="A336" s="2" t="s">
        <v>233</v>
      </c>
      <c r="B336" s="2" t="s">
        <v>2671</v>
      </c>
      <c r="C336" s="2" t="s">
        <v>234</v>
      </c>
      <c r="D336" s="2" t="s">
        <v>2672</v>
      </c>
      <c r="E336" s="28" t="s">
        <v>6237</v>
      </c>
      <c r="F336" s="28" t="str">
        <f t="shared" si="28"/>
        <v>15609228Turnaround Network</v>
      </c>
      <c r="G336" s="28" t="s">
        <v>6237</v>
      </c>
      <c r="H336" s="28" t="str">
        <f t="shared" si="29"/>
        <v>15609228Turnaround Network</v>
      </c>
      <c r="I336" s="29">
        <v>3</v>
      </c>
      <c r="J336" s="28" t="str">
        <f t="shared" si="30"/>
        <v>15609228Turnaround Network3</v>
      </c>
      <c r="K336" s="30"/>
      <c r="L336" s="30">
        <v>30000</v>
      </c>
      <c r="M336" s="30"/>
      <c r="N336" s="30">
        <v>0</v>
      </c>
      <c r="O336" s="30"/>
      <c r="P336" s="30">
        <v>0</v>
      </c>
      <c r="Q336" s="30">
        <v>0</v>
      </c>
      <c r="R336" s="30">
        <v>0</v>
      </c>
      <c r="S336" s="30">
        <v>0</v>
      </c>
      <c r="T336" s="30">
        <v>0</v>
      </c>
      <c r="U336" s="30"/>
      <c r="V336" s="30"/>
      <c r="W336" s="30"/>
      <c r="X336" s="30"/>
      <c r="Y336" t="s">
        <v>6499</v>
      </c>
    </row>
    <row r="337" spans="1:25" x14ac:dyDescent="0.3">
      <c r="A337" s="28" t="s">
        <v>233</v>
      </c>
      <c r="B337" s="28" t="s">
        <v>4246</v>
      </c>
      <c r="C337" s="2" t="s">
        <v>234</v>
      </c>
      <c r="D337" s="2" t="s">
        <v>4247</v>
      </c>
      <c r="E337" s="28" t="s">
        <v>6238</v>
      </c>
      <c r="F337" s="28" t="str">
        <f t="shared" si="28"/>
        <v>15609260AEC Pilot</v>
      </c>
      <c r="G337" s="28" t="s">
        <v>6238</v>
      </c>
      <c r="H337" s="28" t="str">
        <f t="shared" si="29"/>
        <v>15609260AEC Pilot</v>
      </c>
      <c r="I337" s="29">
        <v>2</v>
      </c>
      <c r="J337" s="28" t="str">
        <f t="shared" si="30"/>
        <v>15609260AEC Pilot2</v>
      </c>
      <c r="K337" s="30"/>
      <c r="L337" s="30"/>
      <c r="M337" s="30"/>
      <c r="N337" s="30">
        <v>0</v>
      </c>
      <c r="O337" s="30">
        <v>19961</v>
      </c>
      <c r="P337" s="30">
        <v>0</v>
      </c>
      <c r="Q337" s="30">
        <v>0</v>
      </c>
      <c r="R337" s="30">
        <v>0</v>
      </c>
      <c r="S337" s="30">
        <v>0</v>
      </c>
      <c r="T337" s="30">
        <v>0</v>
      </c>
      <c r="U337" s="30"/>
      <c r="V337" s="30"/>
      <c r="W337" s="30"/>
      <c r="X337" s="30"/>
      <c r="Y337" t="s">
        <v>6499</v>
      </c>
    </row>
    <row r="338" spans="1:25" x14ac:dyDescent="0.3">
      <c r="A338" s="2" t="s">
        <v>233</v>
      </c>
      <c r="B338" s="2" t="s">
        <v>4246</v>
      </c>
      <c r="C338" s="2" t="s">
        <v>234</v>
      </c>
      <c r="D338" s="2" t="s">
        <v>4247</v>
      </c>
      <c r="E338" s="28" t="s">
        <v>6465</v>
      </c>
      <c r="F338" s="28" t="str">
        <f t="shared" si="28"/>
        <v>15609260Diagnostic Review 19-20</v>
      </c>
      <c r="G338" s="28" t="s">
        <v>6240</v>
      </c>
      <c r="H338" s="28" t="str">
        <f t="shared" si="29"/>
        <v>15609260Diagnostic Review</v>
      </c>
      <c r="I338" s="29">
        <v>3</v>
      </c>
      <c r="J338" s="28" t="str">
        <f t="shared" si="30"/>
        <v>15609260Diagnostic Review3</v>
      </c>
      <c r="K338" s="30"/>
      <c r="L338" s="30"/>
      <c r="M338" s="30"/>
      <c r="N338" s="30">
        <v>19455</v>
      </c>
      <c r="O338" s="30"/>
      <c r="P338" s="30"/>
      <c r="Q338" s="30">
        <v>0</v>
      </c>
      <c r="R338" s="30">
        <v>0</v>
      </c>
      <c r="S338" s="30">
        <v>0</v>
      </c>
      <c r="T338" s="30">
        <v>0</v>
      </c>
      <c r="U338" s="30"/>
      <c r="V338" s="30"/>
      <c r="W338" s="30"/>
      <c r="X338" s="30"/>
      <c r="Y338" t="s">
        <v>6499</v>
      </c>
    </row>
    <row r="339" spans="1:25" x14ac:dyDescent="0.3">
      <c r="A339" s="2" t="s">
        <v>233</v>
      </c>
      <c r="B339" s="28" t="s">
        <v>4252</v>
      </c>
      <c r="C339" s="2" t="s">
        <v>234</v>
      </c>
      <c r="D339" s="2" t="s">
        <v>4253</v>
      </c>
      <c r="E339" s="28" t="s">
        <v>6237</v>
      </c>
      <c r="F339" s="28" t="str">
        <f t="shared" si="28"/>
        <v>15609674Turnaround Network</v>
      </c>
      <c r="G339" s="28" t="s">
        <v>6237</v>
      </c>
      <c r="H339" s="28" t="str">
        <f t="shared" si="29"/>
        <v>15609674Turnaround Network</v>
      </c>
      <c r="I339" s="29">
        <v>2</v>
      </c>
      <c r="J339" s="28" t="str">
        <f t="shared" si="30"/>
        <v>15609674Turnaround Network2</v>
      </c>
      <c r="K339" s="30">
        <v>100265</v>
      </c>
      <c r="L339" s="30"/>
      <c r="M339" s="30"/>
      <c r="N339" s="30">
        <v>0</v>
      </c>
      <c r="O339" s="30">
        <v>0</v>
      </c>
      <c r="P339" s="30">
        <v>0</v>
      </c>
      <c r="Q339" s="30">
        <v>0</v>
      </c>
      <c r="R339" s="30">
        <v>0</v>
      </c>
      <c r="S339" s="30">
        <v>0</v>
      </c>
      <c r="T339" s="30">
        <v>0</v>
      </c>
      <c r="U339" s="30"/>
      <c r="V339" s="30"/>
      <c r="W339" s="30"/>
      <c r="X339" s="30"/>
      <c r="Y339" t="s">
        <v>6499</v>
      </c>
    </row>
    <row r="340" spans="1:25" x14ac:dyDescent="0.3">
      <c r="A340" s="28" t="s">
        <v>233</v>
      </c>
      <c r="B340" s="28" t="s">
        <v>6248</v>
      </c>
      <c r="C340" s="2" t="s">
        <v>234</v>
      </c>
      <c r="D340" s="2" t="s">
        <v>6474</v>
      </c>
      <c r="E340" s="28" t="s">
        <v>6461</v>
      </c>
      <c r="F340" s="28" t="str">
        <f t="shared" si="28"/>
        <v>1560District LevelConsultation 17-18</v>
      </c>
      <c r="G340" s="28" t="s">
        <v>6239</v>
      </c>
      <c r="H340" s="28" t="str">
        <f t="shared" si="29"/>
        <v>1560District LevelConsultation</v>
      </c>
      <c r="I340" s="29">
        <v>1</v>
      </c>
      <c r="J340" s="28" t="str">
        <f t="shared" si="30"/>
        <v>1560District LevelConsultation1</v>
      </c>
      <c r="K340" s="30">
        <v>15000</v>
      </c>
      <c r="L340" s="30"/>
      <c r="M340" s="30"/>
      <c r="N340" s="30">
        <v>0</v>
      </c>
      <c r="O340" s="30" t="s">
        <v>6462</v>
      </c>
      <c r="P340" s="30" t="s">
        <v>6462</v>
      </c>
      <c r="Q340" s="30">
        <v>0</v>
      </c>
      <c r="R340" s="30">
        <v>0</v>
      </c>
      <c r="S340" s="30">
        <v>0</v>
      </c>
      <c r="T340" s="30">
        <v>0</v>
      </c>
      <c r="U340" s="30"/>
      <c r="V340" s="30"/>
      <c r="W340" s="30"/>
      <c r="X340" s="30"/>
      <c r="Y340" t="s">
        <v>6499</v>
      </c>
    </row>
    <row r="341" spans="1:25" x14ac:dyDescent="0.3">
      <c r="A341" s="28" t="s">
        <v>233</v>
      </c>
      <c r="B341" s="28" t="s">
        <v>6248</v>
      </c>
      <c r="C341" s="2" t="s">
        <v>234</v>
      </c>
      <c r="D341" s="2" t="s">
        <v>6474</v>
      </c>
      <c r="E341" s="2" t="s">
        <v>6482</v>
      </c>
      <c r="F341" s="28" t="str">
        <f t="shared" si="28"/>
        <v>1560District LevelEASI MTSS</v>
      </c>
      <c r="G341" s="2" t="s">
        <v>6235</v>
      </c>
      <c r="H341" s="28" t="str">
        <f t="shared" si="29"/>
        <v>1560District LevelMTSS</v>
      </c>
      <c r="I341" s="29">
        <v>2</v>
      </c>
      <c r="J341" s="28" t="str">
        <f t="shared" si="30"/>
        <v>1560District LevelMTSS2</v>
      </c>
      <c r="K341" s="30"/>
      <c r="L341" s="30"/>
      <c r="M341" s="30">
        <v>65000</v>
      </c>
      <c r="N341" s="30">
        <v>0</v>
      </c>
      <c r="O341" s="30">
        <v>66515</v>
      </c>
      <c r="P341" s="30">
        <v>0</v>
      </c>
      <c r="Q341" s="30">
        <v>0</v>
      </c>
      <c r="R341" s="30">
        <v>0</v>
      </c>
      <c r="S341" s="30">
        <v>0</v>
      </c>
      <c r="T341" s="30">
        <v>0</v>
      </c>
      <c r="U341" s="30"/>
      <c r="V341" s="30"/>
      <c r="W341" s="30"/>
      <c r="X341" s="30"/>
      <c r="Y341" t="s">
        <v>6499</v>
      </c>
    </row>
    <row r="342" spans="1:25" x14ac:dyDescent="0.3">
      <c r="A342" s="2" t="s">
        <v>233</v>
      </c>
      <c r="B342" s="28" t="s">
        <v>6248</v>
      </c>
      <c r="C342" s="2" t="s">
        <v>234</v>
      </c>
      <c r="D342" s="2" t="s">
        <v>6474</v>
      </c>
      <c r="E342" s="28" t="s">
        <v>6237</v>
      </c>
      <c r="F342" s="28" t="str">
        <f t="shared" si="28"/>
        <v>1560District LevelTurnaround Network</v>
      </c>
      <c r="G342" s="28" t="s">
        <v>6237</v>
      </c>
      <c r="H342" s="28" t="str">
        <f t="shared" si="29"/>
        <v>1560District LevelTurnaround Network</v>
      </c>
      <c r="I342" s="29">
        <v>2</v>
      </c>
      <c r="J342" s="28" t="str">
        <f t="shared" si="30"/>
        <v>1560District LevelTurnaround Network2</v>
      </c>
      <c r="K342" s="30"/>
      <c r="L342" s="30"/>
      <c r="M342" s="30"/>
      <c r="N342" s="30">
        <v>0</v>
      </c>
      <c r="O342" s="30">
        <v>0</v>
      </c>
      <c r="P342" s="30">
        <v>0</v>
      </c>
      <c r="Q342" s="30">
        <v>0</v>
      </c>
      <c r="R342" s="30">
        <v>0</v>
      </c>
      <c r="S342" s="30">
        <v>0</v>
      </c>
      <c r="T342" s="30">
        <v>0</v>
      </c>
      <c r="U342" s="30"/>
      <c r="V342" s="30"/>
      <c r="W342" s="30"/>
      <c r="X342" s="30"/>
      <c r="Y342" t="s">
        <v>6499</v>
      </c>
    </row>
    <row r="343" spans="1:25" x14ac:dyDescent="0.3">
      <c r="A343" s="2" t="s">
        <v>233</v>
      </c>
      <c r="B343" s="28" t="s">
        <v>6248</v>
      </c>
      <c r="C343" s="2" t="s">
        <v>234</v>
      </c>
      <c r="D343" s="2" t="s">
        <v>6474</v>
      </c>
      <c r="E343" s="28" t="s">
        <v>6237</v>
      </c>
      <c r="F343" s="28" t="str">
        <f t="shared" si="28"/>
        <v>1560District LevelTurnaround Network</v>
      </c>
      <c r="G343" s="28" t="s">
        <v>6237</v>
      </c>
      <c r="H343" s="28" t="str">
        <f t="shared" si="29"/>
        <v>1560District LevelTurnaround Network</v>
      </c>
      <c r="I343" s="29">
        <v>2</v>
      </c>
      <c r="J343" s="28" t="str">
        <f t="shared" si="30"/>
        <v>1560District LevelTurnaround Network2</v>
      </c>
      <c r="K343" s="30">
        <v>49998</v>
      </c>
      <c r="L343" s="30"/>
      <c r="M343" s="30"/>
      <c r="N343" s="30">
        <v>0</v>
      </c>
      <c r="O343" s="30">
        <v>0</v>
      </c>
      <c r="P343" s="30">
        <v>0</v>
      </c>
      <c r="Q343" s="30">
        <v>0</v>
      </c>
      <c r="R343" s="30">
        <v>20592</v>
      </c>
      <c r="S343" s="30">
        <v>0</v>
      </c>
      <c r="T343" s="30">
        <v>0</v>
      </c>
      <c r="U343" s="30"/>
      <c r="V343" s="30"/>
      <c r="W343" s="30"/>
      <c r="X343" s="30"/>
      <c r="Y343" t="s">
        <v>6499</v>
      </c>
    </row>
    <row r="344" spans="1:25" x14ac:dyDescent="0.3">
      <c r="A344" s="2" t="s">
        <v>233</v>
      </c>
      <c r="B344" s="28" t="s">
        <v>6248</v>
      </c>
      <c r="C344" s="2" t="s">
        <v>234</v>
      </c>
      <c r="D344" s="2" t="s">
        <v>6474</v>
      </c>
      <c r="E344" s="28" t="s">
        <v>6237</v>
      </c>
      <c r="F344" s="28" t="str">
        <f t="shared" si="28"/>
        <v>1560District LevelTurnaround Network</v>
      </c>
      <c r="G344" s="28" t="s">
        <v>6237</v>
      </c>
      <c r="H344" s="28" t="str">
        <f t="shared" si="29"/>
        <v>1560District LevelTurnaround Network</v>
      </c>
      <c r="I344" s="29">
        <v>2</v>
      </c>
      <c r="J344" s="28" t="str">
        <f t="shared" si="30"/>
        <v>1560District LevelTurnaround Network2</v>
      </c>
      <c r="K344" s="30"/>
      <c r="L344" s="30"/>
      <c r="M344" s="30"/>
      <c r="N344" s="30">
        <v>0</v>
      </c>
      <c r="O344" s="30">
        <v>20466</v>
      </c>
      <c r="P344" s="30">
        <v>0</v>
      </c>
      <c r="Q344" s="30">
        <v>0</v>
      </c>
      <c r="R344" s="30">
        <v>0</v>
      </c>
      <c r="S344" s="30">
        <v>0</v>
      </c>
      <c r="T344" s="30">
        <v>0</v>
      </c>
      <c r="U344" s="30"/>
      <c r="V344" s="30"/>
      <c r="W344" s="30"/>
      <c r="X344" s="30"/>
      <c r="Y344" t="s">
        <v>6499</v>
      </c>
    </row>
    <row r="345" spans="1:25" x14ac:dyDescent="0.3">
      <c r="A345" s="2" t="s">
        <v>233</v>
      </c>
      <c r="B345" s="2" t="s">
        <v>6248</v>
      </c>
      <c r="C345" s="2" t="s">
        <v>234</v>
      </c>
      <c r="D345" s="2" t="s">
        <v>6474</v>
      </c>
      <c r="E345" s="28" t="s">
        <v>6237</v>
      </c>
      <c r="F345" s="28" t="str">
        <f t="shared" si="28"/>
        <v>1560District LevelTurnaround Network</v>
      </c>
      <c r="G345" s="28" t="s">
        <v>6237</v>
      </c>
      <c r="H345" s="28" t="str">
        <f t="shared" si="29"/>
        <v>1560District LevelTurnaround Network</v>
      </c>
      <c r="I345" s="29">
        <v>3</v>
      </c>
      <c r="J345" s="28" t="str">
        <f t="shared" si="30"/>
        <v>1560District LevelTurnaround Network3</v>
      </c>
      <c r="K345" s="30"/>
      <c r="L345" s="30">
        <v>34192</v>
      </c>
      <c r="M345" s="30"/>
      <c r="N345" s="30">
        <v>0</v>
      </c>
      <c r="O345" s="30">
        <v>0</v>
      </c>
      <c r="P345" s="30">
        <v>0</v>
      </c>
      <c r="Q345" s="30">
        <v>0</v>
      </c>
      <c r="R345" s="30">
        <v>0</v>
      </c>
      <c r="S345" s="30">
        <v>0</v>
      </c>
      <c r="T345" s="30">
        <v>0</v>
      </c>
      <c r="U345" s="30"/>
      <c r="V345" s="30"/>
      <c r="W345" s="30"/>
      <c r="X345" s="30"/>
      <c r="Y345" t="s">
        <v>6499</v>
      </c>
    </row>
    <row r="346" spans="1:25" x14ac:dyDescent="0.3">
      <c r="A346" s="2" t="s">
        <v>233</v>
      </c>
      <c r="B346" s="2" t="s">
        <v>6248</v>
      </c>
      <c r="C346" s="2" t="s">
        <v>234</v>
      </c>
      <c r="D346" s="2" t="s">
        <v>6474</v>
      </c>
      <c r="E346" s="28" t="s">
        <v>6237</v>
      </c>
      <c r="F346" s="28" t="str">
        <f t="shared" si="28"/>
        <v>1560District LevelTurnaround Network</v>
      </c>
      <c r="G346" s="28" t="s">
        <v>6237</v>
      </c>
      <c r="H346" s="28" t="str">
        <f t="shared" si="29"/>
        <v>1560District LevelTurnaround Network</v>
      </c>
      <c r="I346" s="29">
        <v>3</v>
      </c>
      <c r="J346" s="28" t="str">
        <f t="shared" si="30"/>
        <v>1560District LevelTurnaround Network3</v>
      </c>
      <c r="K346" s="30"/>
      <c r="L346" s="30">
        <v>49950</v>
      </c>
      <c r="M346" s="30"/>
      <c r="N346" s="30">
        <v>0</v>
      </c>
      <c r="O346" s="30">
        <v>0</v>
      </c>
      <c r="P346" s="30">
        <v>0</v>
      </c>
      <c r="Q346" s="30">
        <v>0</v>
      </c>
      <c r="R346" s="30">
        <v>0</v>
      </c>
      <c r="S346" s="30">
        <v>0</v>
      </c>
      <c r="T346" s="30">
        <v>0</v>
      </c>
      <c r="U346" s="30"/>
      <c r="V346" s="30"/>
      <c r="W346" s="30"/>
      <c r="X346" s="30"/>
      <c r="Y346" t="s">
        <v>6499</v>
      </c>
    </row>
    <row r="347" spans="1:25" x14ac:dyDescent="0.3">
      <c r="A347" s="28" t="s">
        <v>233</v>
      </c>
      <c r="B347" s="28" t="s">
        <v>6248</v>
      </c>
      <c r="C347" s="2" t="s">
        <v>234</v>
      </c>
      <c r="D347" s="2" t="s">
        <v>6474</v>
      </c>
      <c r="E347" s="28" t="s">
        <v>6496</v>
      </c>
      <c r="F347" s="28" t="str">
        <f t="shared" si="28"/>
        <v>1560District LevelOffered Services Continuation</v>
      </c>
      <c r="G347" s="28" t="s">
        <v>6235</v>
      </c>
      <c r="H347" s="28" t="str">
        <f t="shared" si="29"/>
        <v>1560District LevelMTSS</v>
      </c>
      <c r="I347" s="29">
        <v>5</v>
      </c>
      <c r="J347" s="28" t="str">
        <f t="shared" si="30"/>
        <v>1560District LevelMTSS5</v>
      </c>
      <c r="K347" s="30">
        <v>0</v>
      </c>
      <c r="L347" s="30">
        <v>0</v>
      </c>
      <c r="M347" s="30">
        <v>0</v>
      </c>
      <c r="N347" s="30">
        <v>0</v>
      </c>
      <c r="O347" s="30">
        <v>0</v>
      </c>
      <c r="P347" s="30">
        <v>0</v>
      </c>
      <c r="Q347" s="30">
        <v>0</v>
      </c>
      <c r="R347" s="30">
        <v>0</v>
      </c>
      <c r="S347" s="30">
        <v>0</v>
      </c>
      <c r="T347" s="30">
        <v>0</v>
      </c>
      <c r="U347" s="30">
        <v>0</v>
      </c>
      <c r="V347" s="30">
        <v>38768</v>
      </c>
      <c r="W347" s="30">
        <v>0</v>
      </c>
      <c r="X347" s="30">
        <v>0</v>
      </c>
      <c r="Y347" t="s">
        <v>6499</v>
      </c>
    </row>
    <row r="348" spans="1:25" x14ac:dyDescent="0.3">
      <c r="A348" s="2" t="s">
        <v>243</v>
      </c>
      <c r="B348" s="2" t="s">
        <v>1191</v>
      </c>
      <c r="C348" s="2" t="s">
        <v>244</v>
      </c>
      <c r="D348" s="2" t="s">
        <v>1192</v>
      </c>
      <c r="E348" s="28" t="s">
        <v>6463</v>
      </c>
      <c r="F348" s="28" t="str">
        <f t="shared" si="28"/>
        <v>15702792Diagnostic Review 18-19</v>
      </c>
      <c r="G348" s="28" t="s">
        <v>6240</v>
      </c>
      <c r="H348" s="28" t="str">
        <f t="shared" si="29"/>
        <v>15702792Diagnostic Review</v>
      </c>
      <c r="I348" s="29">
        <v>3</v>
      </c>
      <c r="J348" s="28" t="str">
        <f t="shared" si="30"/>
        <v>15702792Diagnostic Review3</v>
      </c>
      <c r="K348" s="30"/>
      <c r="L348" s="30">
        <v>10000</v>
      </c>
      <c r="M348" s="30"/>
      <c r="N348" s="30">
        <v>0</v>
      </c>
      <c r="O348" s="30">
        <v>0</v>
      </c>
      <c r="P348" s="30">
        <v>0</v>
      </c>
      <c r="Q348" s="30">
        <v>0</v>
      </c>
      <c r="R348" s="30">
        <v>0</v>
      </c>
      <c r="S348" s="30">
        <v>0</v>
      </c>
      <c r="T348" s="30">
        <v>0</v>
      </c>
      <c r="U348" s="30"/>
      <c r="V348" s="30"/>
      <c r="W348" s="30"/>
      <c r="X348" s="30"/>
      <c r="Y348" t="s">
        <v>6499</v>
      </c>
    </row>
    <row r="349" spans="1:25" x14ac:dyDescent="0.3">
      <c r="A349" s="2" t="s">
        <v>243</v>
      </c>
      <c r="B349" s="2" t="s">
        <v>4929</v>
      </c>
      <c r="C349" s="2" t="s">
        <v>244</v>
      </c>
      <c r="D349" s="2" t="s">
        <v>4930</v>
      </c>
      <c r="E349" s="28" t="s">
        <v>6463</v>
      </c>
      <c r="F349" s="28" t="str">
        <f t="shared" si="28"/>
        <v>15702794Diagnostic Review 18-19</v>
      </c>
      <c r="G349" s="28" t="s">
        <v>6240</v>
      </c>
      <c r="H349" s="28" t="str">
        <f t="shared" si="29"/>
        <v>15702794Diagnostic Review</v>
      </c>
      <c r="I349" s="29">
        <v>3</v>
      </c>
      <c r="J349" s="28" t="str">
        <f t="shared" si="30"/>
        <v>15702794Diagnostic Review3</v>
      </c>
      <c r="K349" s="30"/>
      <c r="L349" s="30">
        <v>10000</v>
      </c>
      <c r="M349" s="30"/>
      <c r="N349" s="30">
        <v>0</v>
      </c>
      <c r="O349" s="30">
        <v>0</v>
      </c>
      <c r="P349" s="30">
        <v>0</v>
      </c>
      <c r="Q349" s="30">
        <v>0</v>
      </c>
      <c r="R349" s="30">
        <v>0</v>
      </c>
      <c r="S349" s="30">
        <v>0</v>
      </c>
      <c r="T349" s="30">
        <v>0</v>
      </c>
      <c r="U349" s="30"/>
      <c r="V349" s="30"/>
      <c r="W349" s="30"/>
      <c r="X349" s="30"/>
      <c r="Y349" t="s">
        <v>6499</v>
      </c>
    </row>
    <row r="350" spans="1:25" x14ac:dyDescent="0.3">
      <c r="A350" s="2" t="s">
        <v>243</v>
      </c>
      <c r="B350" s="28" t="s">
        <v>6248</v>
      </c>
      <c r="C350" s="2" t="s">
        <v>244</v>
      </c>
      <c r="D350" s="2" t="s">
        <v>6474</v>
      </c>
      <c r="E350" s="28" t="s">
        <v>6461</v>
      </c>
      <c r="F350" s="28" t="str">
        <f t="shared" si="28"/>
        <v>1570District LevelConsultation 17-18</v>
      </c>
      <c r="G350" s="28" t="s">
        <v>6239</v>
      </c>
      <c r="H350" s="28" t="str">
        <f t="shared" si="29"/>
        <v>1570District LevelConsultation</v>
      </c>
      <c r="I350" s="29">
        <v>1</v>
      </c>
      <c r="J350" s="28" t="str">
        <f t="shared" si="30"/>
        <v>1570District LevelConsultation1</v>
      </c>
      <c r="K350" s="30">
        <v>15000</v>
      </c>
      <c r="L350" s="30"/>
      <c r="M350" s="30"/>
      <c r="N350" s="30">
        <v>0</v>
      </c>
      <c r="O350" s="30" t="s">
        <v>6462</v>
      </c>
      <c r="P350" s="30" t="s">
        <v>6462</v>
      </c>
      <c r="Q350" s="30">
        <v>0</v>
      </c>
      <c r="R350" s="30">
        <v>0</v>
      </c>
      <c r="S350" s="30">
        <v>0</v>
      </c>
      <c r="T350" s="30">
        <v>0</v>
      </c>
      <c r="U350" s="30"/>
      <c r="V350" s="30"/>
      <c r="W350" s="30"/>
      <c r="X350" s="30"/>
      <c r="Y350" t="s">
        <v>6499</v>
      </c>
    </row>
    <row r="351" spans="1:25" x14ac:dyDescent="0.3">
      <c r="A351" s="2" t="s">
        <v>1195</v>
      </c>
      <c r="B351" s="2" t="s">
        <v>1197</v>
      </c>
      <c r="C351" s="2" t="s">
        <v>1196</v>
      </c>
      <c r="D351" s="2" t="s">
        <v>1198</v>
      </c>
      <c r="E351" s="28" t="s">
        <v>6455</v>
      </c>
      <c r="F351" s="28" t="str">
        <f t="shared" si="28"/>
        <v>16200058Connect For Success 17-20</v>
      </c>
      <c r="G351" s="28" t="s">
        <v>6234</v>
      </c>
      <c r="H351" s="28" t="str">
        <f t="shared" si="29"/>
        <v>16200058Connect For Success</v>
      </c>
      <c r="I351" s="29">
        <v>1</v>
      </c>
      <c r="J351" s="28" t="str">
        <f t="shared" si="30"/>
        <v>16200058Connect For Success1</v>
      </c>
      <c r="K351" s="30">
        <v>19946</v>
      </c>
      <c r="L351" s="30">
        <v>79560</v>
      </c>
      <c r="M351" s="30">
        <v>80000</v>
      </c>
      <c r="N351" s="30">
        <v>0</v>
      </c>
      <c r="O351" s="30">
        <v>0</v>
      </c>
      <c r="P351" s="30">
        <v>0</v>
      </c>
      <c r="Q351" s="30">
        <v>0</v>
      </c>
      <c r="R351" s="30">
        <v>0</v>
      </c>
      <c r="S351" s="30">
        <v>0</v>
      </c>
      <c r="T351" s="30">
        <v>0</v>
      </c>
      <c r="U351" s="30"/>
      <c r="V351" s="30"/>
      <c r="W351" s="30"/>
      <c r="X351" s="30"/>
      <c r="Y351" t="s">
        <v>6499</v>
      </c>
    </row>
    <row r="352" spans="1:25" x14ac:dyDescent="0.3">
      <c r="A352" s="2" t="s">
        <v>1195</v>
      </c>
      <c r="B352" s="2" t="s">
        <v>1197</v>
      </c>
      <c r="C352" s="2" t="s">
        <v>1196</v>
      </c>
      <c r="D352" s="2" t="s">
        <v>1198</v>
      </c>
      <c r="E352" s="28" t="s">
        <v>6478</v>
      </c>
      <c r="F352" s="28" t="str">
        <f t="shared" si="28"/>
        <v>16200058District Design and Led 19-22</v>
      </c>
      <c r="G352" s="28" t="s">
        <v>6233</v>
      </c>
      <c r="H352" s="28" t="str">
        <f t="shared" si="29"/>
        <v>16200058District Design and Led</v>
      </c>
      <c r="I352" s="29">
        <v>3</v>
      </c>
      <c r="J352" s="28" t="str">
        <f t="shared" si="30"/>
        <v>16200058District Design and Led3</v>
      </c>
      <c r="K352" s="30"/>
      <c r="L352" s="30"/>
      <c r="M352" s="30"/>
      <c r="N352" s="30">
        <v>0</v>
      </c>
      <c r="O352" s="30">
        <v>0</v>
      </c>
      <c r="P352" s="30">
        <v>82875</v>
      </c>
      <c r="Q352" s="30">
        <v>0</v>
      </c>
      <c r="R352" s="30">
        <v>0</v>
      </c>
      <c r="S352" s="30">
        <v>82875</v>
      </c>
      <c r="T352" s="30">
        <v>0</v>
      </c>
      <c r="U352" s="30"/>
      <c r="V352" s="30"/>
      <c r="W352" s="30"/>
      <c r="X352" s="30"/>
      <c r="Y352" t="s">
        <v>6499</v>
      </c>
    </row>
    <row r="353" spans="1:25" x14ac:dyDescent="0.3">
      <c r="A353" s="2" t="s">
        <v>1195</v>
      </c>
      <c r="B353" s="2" t="s">
        <v>4260</v>
      </c>
      <c r="C353" s="2" t="s">
        <v>1196</v>
      </c>
      <c r="D353" s="2" t="s">
        <v>4261</v>
      </c>
      <c r="E353" s="28" t="s">
        <v>6478</v>
      </c>
      <c r="F353" s="28" t="str">
        <f t="shared" si="28"/>
        <v>16200066District Design and Led 19-22</v>
      </c>
      <c r="G353" s="28" t="s">
        <v>6233</v>
      </c>
      <c r="H353" s="28" t="str">
        <f t="shared" si="29"/>
        <v>16200066District Design and Led</v>
      </c>
      <c r="I353" s="29">
        <v>3</v>
      </c>
      <c r="J353" s="28" t="str">
        <f t="shared" si="30"/>
        <v>16200066District Design and Led3</v>
      </c>
      <c r="K353" s="32"/>
      <c r="L353" s="32"/>
      <c r="M353" s="32"/>
      <c r="N353" s="30">
        <v>0</v>
      </c>
      <c r="O353" s="32">
        <v>0</v>
      </c>
      <c r="P353" s="32">
        <v>82875</v>
      </c>
      <c r="Q353" s="30">
        <v>0</v>
      </c>
      <c r="R353" s="30">
        <v>0</v>
      </c>
      <c r="S353" s="30">
        <v>82875</v>
      </c>
      <c r="T353" s="30">
        <v>0</v>
      </c>
      <c r="U353" s="30"/>
      <c r="V353" s="30"/>
      <c r="W353" s="30"/>
      <c r="X353" s="30"/>
      <c r="Y353" t="s">
        <v>6499</v>
      </c>
    </row>
    <row r="354" spans="1:25" x14ac:dyDescent="0.3">
      <c r="A354" s="28" t="s">
        <v>1195</v>
      </c>
      <c r="B354" s="28" t="s">
        <v>6248</v>
      </c>
      <c r="C354" s="2" t="s">
        <v>1196</v>
      </c>
      <c r="D354" s="2" t="s">
        <v>6474</v>
      </c>
      <c r="E354" s="28" t="s">
        <v>6475</v>
      </c>
      <c r="F354" s="28" t="str">
        <f t="shared" si="28"/>
        <v>1620District LevelDDL</v>
      </c>
      <c r="G354" s="28" t="s">
        <v>6233</v>
      </c>
      <c r="H354" s="28" t="str">
        <f t="shared" si="29"/>
        <v>1620District LevelDistrict Design and Led</v>
      </c>
      <c r="I354" s="29">
        <v>5</v>
      </c>
      <c r="J354" s="28" t="str">
        <f t="shared" si="30"/>
        <v>1620District LevelDistrict Design and Led5</v>
      </c>
      <c r="K354" s="30">
        <v>0</v>
      </c>
      <c r="L354" s="30">
        <v>0</v>
      </c>
      <c r="M354" s="30">
        <v>0</v>
      </c>
      <c r="N354" s="30">
        <v>0</v>
      </c>
      <c r="O354" s="30">
        <v>0</v>
      </c>
      <c r="P354" s="30">
        <v>0</v>
      </c>
      <c r="Q354" s="30">
        <v>0</v>
      </c>
      <c r="R354" s="30">
        <v>0</v>
      </c>
      <c r="S354" s="30">
        <v>0</v>
      </c>
      <c r="T354" s="30">
        <v>0</v>
      </c>
      <c r="U354" s="30">
        <v>72500</v>
      </c>
      <c r="V354" s="30">
        <v>119375</v>
      </c>
      <c r="W354" s="30">
        <v>107500</v>
      </c>
      <c r="X354" s="30">
        <v>0</v>
      </c>
      <c r="Y354" t="s">
        <v>6500</v>
      </c>
    </row>
    <row r="355" spans="1:25" x14ac:dyDescent="0.3">
      <c r="A355" s="28" t="s">
        <v>97</v>
      </c>
      <c r="B355" s="28" t="s">
        <v>3408</v>
      </c>
      <c r="C355" s="2" t="s">
        <v>171</v>
      </c>
      <c r="D355" s="2" t="s">
        <v>3409</v>
      </c>
      <c r="E355" s="28" t="s">
        <v>6457</v>
      </c>
      <c r="F355" s="28" t="str">
        <f t="shared" si="28"/>
        <v>18280515OfferedServices</v>
      </c>
      <c r="G355" s="28" t="s">
        <v>6237</v>
      </c>
      <c r="H355" s="28" t="str">
        <f t="shared" si="29"/>
        <v>18280515Turnaround Network</v>
      </c>
      <c r="I355" s="29">
        <v>5</v>
      </c>
      <c r="J355" s="28" t="str">
        <f t="shared" si="30"/>
        <v>18280515Turnaround Network5</v>
      </c>
      <c r="K355" s="30">
        <v>0</v>
      </c>
      <c r="L355" s="30">
        <v>0</v>
      </c>
      <c r="M355" s="30">
        <v>0</v>
      </c>
      <c r="N355" s="30">
        <v>0</v>
      </c>
      <c r="O355" s="30">
        <v>0</v>
      </c>
      <c r="P355" s="30">
        <v>0</v>
      </c>
      <c r="Q355" s="30">
        <v>0</v>
      </c>
      <c r="R355" s="30">
        <v>0</v>
      </c>
      <c r="S355" s="30">
        <v>0</v>
      </c>
      <c r="T355" s="30">
        <v>0</v>
      </c>
      <c r="U355" s="30">
        <v>0</v>
      </c>
      <c r="V355" s="30">
        <v>30000</v>
      </c>
      <c r="W355" s="30">
        <v>75000</v>
      </c>
      <c r="X355" s="30">
        <v>30000</v>
      </c>
      <c r="Y355" t="s">
        <v>6499</v>
      </c>
    </row>
    <row r="356" spans="1:25" x14ac:dyDescent="0.3">
      <c r="A356" s="28" t="s">
        <v>97</v>
      </c>
      <c r="B356" s="28" t="s">
        <v>6248</v>
      </c>
      <c r="C356" s="2" t="s">
        <v>171</v>
      </c>
      <c r="D356" s="2" t="s">
        <v>6474</v>
      </c>
      <c r="E356" s="28" t="s">
        <v>6497</v>
      </c>
      <c r="F356" s="28" t="str">
        <f t="shared" si="28"/>
        <v>1828District LevelPilot</v>
      </c>
      <c r="G356" s="2" t="s">
        <v>6487</v>
      </c>
      <c r="H356" s="28" t="str">
        <f t="shared" si="29"/>
        <v>1828District LevelSupervisor Pilot</v>
      </c>
      <c r="I356" s="29">
        <v>5</v>
      </c>
      <c r="J356" s="28" t="str">
        <f t="shared" si="30"/>
        <v>1828District LevelSupervisor Pilot5</v>
      </c>
      <c r="K356" s="30">
        <v>0</v>
      </c>
      <c r="L356" s="30">
        <v>0</v>
      </c>
      <c r="M356" s="30">
        <v>0</v>
      </c>
      <c r="N356" s="30">
        <v>0</v>
      </c>
      <c r="O356" s="30">
        <v>0</v>
      </c>
      <c r="P356" s="30">
        <v>0</v>
      </c>
      <c r="Q356" s="30">
        <v>0</v>
      </c>
      <c r="R356" s="30">
        <v>0</v>
      </c>
      <c r="S356" s="30">
        <v>0</v>
      </c>
      <c r="T356" s="30">
        <v>0</v>
      </c>
      <c r="U356" s="30">
        <v>10000</v>
      </c>
      <c r="V356" s="30">
        <v>0</v>
      </c>
      <c r="W356" s="30">
        <v>0</v>
      </c>
      <c r="X356" s="30">
        <v>0</v>
      </c>
      <c r="Y356" t="s">
        <v>6499</v>
      </c>
    </row>
    <row r="357" spans="1:25" x14ac:dyDescent="0.3">
      <c r="A357" s="2" t="s">
        <v>177</v>
      </c>
      <c r="B357" s="2" t="s">
        <v>4217</v>
      </c>
      <c r="C357" s="2" t="s">
        <v>178</v>
      </c>
      <c r="D357" s="2" t="s">
        <v>4159</v>
      </c>
      <c r="E357" s="2" t="s">
        <v>6457</v>
      </c>
      <c r="F357" s="28" t="s">
        <v>6483</v>
      </c>
      <c r="G357" s="2" t="s">
        <v>6241</v>
      </c>
      <c r="H357" s="28" t="str">
        <f t="shared" si="29"/>
        <v>20001450School Turnaround Leadership Development Program</v>
      </c>
      <c r="I357" s="29">
        <v>4</v>
      </c>
      <c r="J357" s="28" t="str">
        <f t="shared" si="30"/>
        <v>20001450School Turnaround Leadership Development Program4</v>
      </c>
      <c r="K357" s="32"/>
      <c r="L357" s="32"/>
      <c r="M357" s="32"/>
      <c r="N357" s="30"/>
      <c r="O357" s="30"/>
      <c r="P357" s="30"/>
      <c r="Q357" s="30">
        <v>23000</v>
      </c>
      <c r="R357" s="30">
        <v>0</v>
      </c>
      <c r="S357" s="30">
        <v>0</v>
      </c>
      <c r="T357" s="30">
        <v>0</v>
      </c>
      <c r="U357" s="30"/>
      <c r="V357" s="30"/>
      <c r="W357" s="30"/>
      <c r="X357" s="30"/>
      <c r="Y357" t="s">
        <v>6499</v>
      </c>
    </row>
    <row r="358" spans="1:25" x14ac:dyDescent="0.3">
      <c r="A358" s="2" t="s">
        <v>177</v>
      </c>
      <c r="B358" s="2" t="s">
        <v>339</v>
      </c>
      <c r="C358" s="2" t="s">
        <v>178</v>
      </c>
      <c r="D358" s="2" t="s">
        <v>1163</v>
      </c>
      <c r="E358" s="2" t="s">
        <v>6484</v>
      </c>
      <c r="F358" s="28" t="str">
        <f t="shared" ref="F358:F367" si="31">A358&amp;B358&amp;E358</f>
        <v>20001520School Turnaround Leaders Program</v>
      </c>
      <c r="G358" s="2" t="s">
        <v>6241</v>
      </c>
      <c r="H358" s="28" t="str">
        <f t="shared" si="29"/>
        <v>20001520School Turnaround Leadership Development Program</v>
      </c>
      <c r="I358" s="29">
        <v>3</v>
      </c>
      <c r="J358" s="28" t="str">
        <f t="shared" si="30"/>
        <v>20001520School Turnaround Leadership Development Program3</v>
      </c>
      <c r="K358" s="32"/>
      <c r="L358" s="32"/>
      <c r="M358" s="32"/>
      <c r="N358" s="30">
        <v>31780</v>
      </c>
      <c r="O358" s="30"/>
      <c r="P358" s="30"/>
      <c r="Q358" s="30">
        <v>0</v>
      </c>
      <c r="R358" s="30">
        <v>0</v>
      </c>
      <c r="S358" s="30">
        <v>0</v>
      </c>
      <c r="T358" s="30">
        <v>0</v>
      </c>
      <c r="U358" s="30"/>
      <c r="V358" s="30"/>
      <c r="W358" s="30"/>
      <c r="X358" s="30"/>
      <c r="Y358" t="s">
        <v>6499</v>
      </c>
    </row>
    <row r="359" spans="1:25" x14ac:dyDescent="0.3">
      <c r="A359" s="28" t="s">
        <v>177</v>
      </c>
      <c r="B359" s="28" t="s">
        <v>339</v>
      </c>
      <c r="C359" s="2" t="s">
        <v>178</v>
      </c>
      <c r="D359" s="2" t="s">
        <v>1163</v>
      </c>
      <c r="E359" s="28" t="s">
        <v>6237</v>
      </c>
      <c r="F359" s="28" t="str">
        <f t="shared" si="31"/>
        <v>20001520Turnaround Network</v>
      </c>
      <c r="G359" s="28" t="s">
        <v>6237</v>
      </c>
      <c r="H359" s="28" t="str">
        <f t="shared" si="29"/>
        <v>20001520Turnaround Network</v>
      </c>
      <c r="I359" s="29">
        <v>3</v>
      </c>
      <c r="J359" s="28" t="str">
        <f t="shared" si="30"/>
        <v>20001520Turnaround Network3</v>
      </c>
      <c r="K359" s="30"/>
      <c r="L359" s="30"/>
      <c r="M359" s="30"/>
      <c r="N359" s="30">
        <v>15738</v>
      </c>
      <c r="O359" s="30"/>
      <c r="P359" s="30">
        <v>15249</v>
      </c>
      <c r="Q359" s="30">
        <v>0</v>
      </c>
      <c r="R359" s="30">
        <v>0</v>
      </c>
      <c r="S359" s="30">
        <v>78367.5</v>
      </c>
      <c r="T359" s="30">
        <v>0</v>
      </c>
      <c r="U359" s="30"/>
      <c r="V359" s="30"/>
      <c r="W359" s="30"/>
      <c r="X359" s="30"/>
      <c r="Y359" t="s">
        <v>6499</v>
      </c>
    </row>
    <row r="360" spans="1:25" x14ac:dyDescent="0.3">
      <c r="A360" s="28" t="s">
        <v>177</v>
      </c>
      <c r="B360" s="28" t="s">
        <v>1143</v>
      </c>
      <c r="C360" s="2" t="s">
        <v>178</v>
      </c>
      <c r="D360" s="2" t="s">
        <v>1144</v>
      </c>
      <c r="E360" s="28" t="s">
        <v>6238</v>
      </c>
      <c r="F360" s="28" t="str">
        <f t="shared" si="31"/>
        <v>20003604AEC Pilot</v>
      </c>
      <c r="G360" s="28" t="s">
        <v>6238</v>
      </c>
      <c r="H360" s="28" t="str">
        <f t="shared" si="29"/>
        <v>20003604AEC Pilot</v>
      </c>
      <c r="I360" s="29">
        <v>2</v>
      </c>
      <c r="J360" s="28" t="str">
        <f t="shared" si="30"/>
        <v>20003604AEC Pilot2</v>
      </c>
      <c r="K360" s="30"/>
      <c r="L360" s="30">
        <v>7431</v>
      </c>
      <c r="M360" s="30">
        <v>0</v>
      </c>
      <c r="N360" s="30">
        <v>0</v>
      </c>
      <c r="O360" s="30"/>
      <c r="P360" s="30">
        <v>0</v>
      </c>
      <c r="Q360" s="30">
        <v>0</v>
      </c>
      <c r="R360" s="30">
        <v>0</v>
      </c>
      <c r="S360" s="30">
        <v>0</v>
      </c>
      <c r="T360" s="30">
        <v>0</v>
      </c>
      <c r="U360" s="30"/>
      <c r="V360" s="30"/>
      <c r="W360" s="30"/>
      <c r="X360" s="30"/>
      <c r="Y360" t="s">
        <v>6499</v>
      </c>
    </row>
    <row r="361" spans="1:25" x14ac:dyDescent="0.3">
      <c r="A361" s="2" t="s">
        <v>177</v>
      </c>
      <c r="B361" s="2" t="s">
        <v>1143</v>
      </c>
      <c r="C361" s="2" t="s">
        <v>178</v>
      </c>
      <c r="D361" s="2" t="s">
        <v>1144</v>
      </c>
      <c r="E361" s="28" t="s">
        <v>6478</v>
      </c>
      <c r="F361" s="28" t="str">
        <f t="shared" si="31"/>
        <v>20003604District Design and Led 19-22</v>
      </c>
      <c r="G361" s="28" t="s">
        <v>6233</v>
      </c>
      <c r="H361" s="28" t="str">
        <f t="shared" si="29"/>
        <v>20003604District Design and Led</v>
      </c>
      <c r="I361" s="29">
        <v>3</v>
      </c>
      <c r="J361" s="28" t="str">
        <f t="shared" si="30"/>
        <v>20003604District Design and Led3</v>
      </c>
      <c r="K361" s="30"/>
      <c r="L361" s="30"/>
      <c r="M361" s="30"/>
      <c r="N361" s="30">
        <v>37751</v>
      </c>
      <c r="O361" s="30">
        <v>0</v>
      </c>
      <c r="P361" s="30">
        <v>76245</v>
      </c>
      <c r="Q361" s="30">
        <v>0</v>
      </c>
      <c r="R361" s="30">
        <v>0</v>
      </c>
      <c r="S361" s="30">
        <v>78367.5</v>
      </c>
      <c r="T361" s="30">
        <v>0</v>
      </c>
      <c r="U361" s="30"/>
      <c r="V361" s="30"/>
      <c r="W361" s="30"/>
      <c r="X361" s="30"/>
      <c r="Y361" t="s">
        <v>6499</v>
      </c>
    </row>
    <row r="362" spans="1:25" x14ac:dyDescent="0.3">
      <c r="A362" s="2" t="s">
        <v>177</v>
      </c>
      <c r="B362" s="2" t="s">
        <v>1980</v>
      </c>
      <c r="C362" s="2" t="s">
        <v>178</v>
      </c>
      <c r="D362" s="2" t="s">
        <v>1981</v>
      </c>
      <c r="E362" s="28" t="s">
        <v>6465</v>
      </c>
      <c r="F362" s="28" t="str">
        <f t="shared" si="31"/>
        <v>20007236Diagnostic Review 19-20</v>
      </c>
      <c r="G362" s="28" t="s">
        <v>6240</v>
      </c>
      <c r="H362" s="28" t="str">
        <f t="shared" si="29"/>
        <v>20007236Diagnostic Review</v>
      </c>
      <c r="I362" s="29">
        <v>3</v>
      </c>
      <c r="J362" s="28" t="str">
        <f t="shared" si="30"/>
        <v>20007236Diagnostic Review3</v>
      </c>
      <c r="K362" s="30"/>
      <c r="L362" s="30"/>
      <c r="M362" s="30"/>
      <c r="N362" s="30">
        <v>10492</v>
      </c>
      <c r="O362" s="30"/>
      <c r="P362" s="30"/>
      <c r="Q362" s="30">
        <v>0</v>
      </c>
      <c r="R362" s="30">
        <v>0</v>
      </c>
      <c r="S362" s="30">
        <v>0</v>
      </c>
      <c r="T362" s="30">
        <v>0</v>
      </c>
      <c r="U362" s="30"/>
      <c r="V362" s="30"/>
      <c r="W362" s="30"/>
      <c r="X362" s="30"/>
      <c r="Y362" t="s">
        <v>6499</v>
      </c>
    </row>
    <row r="363" spans="1:25" x14ac:dyDescent="0.3">
      <c r="A363" s="2" t="s">
        <v>177</v>
      </c>
      <c r="B363" s="28" t="s">
        <v>6248</v>
      </c>
      <c r="C363" s="2" t="s">
        <v>178</v>
      </c>
      <c r="D363" s="2" t="s">
        <v>6474</v>
      </c>
      <c r="E363" s="28" t="s">
        <v>6463</v>
      </c>
      <c r="F363" s="28" t="str">
        <f t="shared" si="31"/>
        <v>2000District LevelDiagnostic Review 18-19</v>
      </c>
      <c r="G363" s="28" t="s">
        <v>6240</v>
      </c>
      <c r="H363" s="28" t="str">
        <f t="shared" si="29"/>
        <v>2000District LevelDiagnostic Review</v>
      </c>
      <c r="I363" s="29">
        <v>3</v>
      </c>
      <c r="J363" s="28" t="str">
        <f t="shared" si="30"/>
        <v>2000District LevelDiagnostic Review3</v>
      </c>
      <c r="K363" s="32"/>
      <c r="L363" s="32">
        <v>14858</v>
      </c>
      <c r="M363" s="32"/>
      <c r="N363" s="30">
        <v>0</v>
      </c>
      <c r="O363" s="32">
        <v>0</v>
      </c>
      <c r="P363" s="32">
        <v>0</v>
      </c>
      <c r="Q363" s="30">
        <v>0</v>
      </c>
      <c r="R363" s="30">
        <v>0</v>
      </c>
      <c r="S363" s="30">
        <v>0</v>
      </c>
      <c r="T363" s="30">
        <v>0</v>
      </c>
      <c r="U363" s="30"/>
      <c r="V363" s="30"/>
      <c r="W363" s="30"/>
      <c r="X363" s="30"/>
      <c r="Y363" t="s">
        <v>6499</v>
      </c>
    </row>
    <row r="364" spans="1:25" x14ac:dyDescent="0.3">
      <c r="A364" s="28" t="s">
        <v>177</v>
      </c>
      <c r="B364" s="28" t="s">
        <v>6248</v>
      </c>
      <c r="C364" s="2" t="s">
        <v>178</v>
      </c>
      <c r="D364" s="2" t="s">
        <v>6474</v>
      </c>
      <c r="E364" s="28" t="s">
        <v>6475</v>
      </c>
      <c r="F364" s="28" t="str">
        <f t="shared" si="31"/>
        <v>2000District LevelDDL</v>
      </c>
      <c r="G364" s="28" t="s">
        <v>6233</v>
      </c>
      <c r="H364" s="28" t="str">
        <f t="shared" si="29"/>
        <v>2000District LevelDistrict Design and Led</v>
      </c>
      <c r="I364" s="29">
        <v>5</v>
      </c>
      <c r="J364" s="28" t="str">
        <f t="shared" si="30"/>
        <v>2000District LevelDistrict Design and Led5</v>
      </c>
      <c r="K364" s="30">
        <v>0</v>
      </c>
      <c r="L364" s="30">
        <v>0</v>
      </c>
      <c r="M364" s="30">
        <v>0</v>
      </c>
      <c r="N364" s="30">
        <v>0</v>
      </c>
      <c r="O364" s="30">
        <v>0</v>
      </c>
      <c r="P364" s="30">
        <v>0</v>
      </c>
      <c r="Q364" s="30">
        <v>0</v>
      </c>
      <c r="R364" s="30">
        <v>0</v>
      </c>
      <c r="S364" s="30">
        <v>0</v>
      </c>
      <c r="T364" s="30">
        <v>0</v>
      </c>
      <c r="U364" s="30">
        <v>40000</v>
      </c>
      <c r="V364" s="30">
        <v>120000</v>
      </c>
      <c r="W364" s="30">
        <v>130000</v>
      </c>
      <c r="X364" s="30">
        <v>0</v>
      </c>
      <c r="Y364" t="s">
        <v>6500</v>
      </c>
    </row>
    <row r="365" spans="1:25" x14ac:dyDescent="0.3">
      <c r="A365" s="2" t="s">
        <v>124</v>
      </c>
      <c r="B365" s="2" t="s">
        <v>133</v>
      </c>
      <c r="C365" s="2" t="s">
        <v>125</v>
      </c>
      <c r="D365" s="2" t="s">
        <v>134</v>
      </c>
      <c r="E365" s="28" t="s">
        <v>6464</v>
      </c>
      <c r="F365" s="28" t="str">
        <f t="shared" si="31"/>
        <v>20350609Diagnostic Review 17-18</v>
      </c>
      <c r="G365" s="28" t="s">
        <v>6240</v>
      </c>
      <c r="H365" s="28" t="str">
        <f t="shared" si="29"/>
        <v>20350609Diagnostic Review</v>
      </c>
      <c r="I365" s="29">
        <v>2</v>
      </c>
      <c r="J365" s="28" t="str">
        <f t="shared" si="30"/>
        <v>20350609Diagnostic Review2</v>
      </c>
      <c r="K365" s="30">
        <v>31233</v>
      </c>
      <c r="L365" s="30"/>
      <c r="M365" s="30">
        <v>-1233</v>
      </c>
      <c r="N365" s="30">
        <v>0</v>
      </c>
      <c r="O365" s="30">
        <v>0</v>
      </c>
      <c r="P365" s="30">
        <v>0</v>
      </c>
      <c r="Q365" s="30">
        <v>0</v>
      </c>
      <c r="R365" s="30">
        <v>0</v>
      </c>
      <c r="S365" s="30">
        <v>0</v>
      </c>
      <c r="T365" s="30">
        <v>0</v>
      </c>
      <c r="U365" s="30"/>
      <c r="V365" s="30"/>
      <c r="W365" s="30"/>
      <c r="X365" s="30"/>
      <c r="Y365" t="s">
        <v>6499</v>
      </c>
    </row>
    <row r="366" spans="1:25" x14ac:dyDescent="0.3">
      <c r="A366" s="2" t="s">
        <v>124</v>
      </c>
      <c r="B366" s="2" t="s">
        <v>133</v>
      </c>
      <c r="C366" s="2" t="s">
        <v>125</v>
      </c>
      <c r="D366" s="2" t="s">
        <v>134</v>
      </c>
      <c r="E366" s="28" t="s">
        <v>6477</v>
      </c>
      <c r="F366" s="28" t="str">
        <f t="shared" si="31"/>
        <v>20350609District Design and Led 18-21</v>
      </c>
      <c r="G366" s="28" t="s">
        <v>6233</v>
      </c>
      <c r="H366" s="28" t="str">
        <f t="shared" si="29"/>
        <v>20350609District Design and Led</v>
      </c>
      <c r="I366" s="29">
        <v>3</v>
      </c>
      <c r="J366" s="28" t="str">
        <f t="shared" si="30"/>
        <v>20350609District Design and Led3</v>
      </c>
      <c r="K366" s="30"/>
      <c r="L366" s="30">
        <v>22254</v>
      </c>
      <c r="M366" s="30">
        <v>34435</v>
      </c>
      <c r="N366" s="30">
        <v>0</v>
      </c>
      <c r="O366" s="30">
        <v>0</v>
      </c>
      <c r="P366" s="30">
        <v>24970.16</v>
      </c>
      <c r="Q366" s="30">
        <v>0</v>
      </c>
      <c r="R366" s="30">
        <v>0</v>
      </c>
      <c r="S366" s="30">
        <v>0</v>
      </c>
      <c r="T366" s="30">
        <v>0</v>
      </c>
      <c r="U366" s="30"/>
      <c r="V366" s="30"/>
      <c r="W366" s="30"/>
      <c r="X366" s="30"/>
      <c r="Y366" t="s">
        <v>6499</v>
      </c>
    </row>
    <row r="367" spans="1:25" x14ac:dyDescent="0.3">
      <c r="A367" s="2" t="s">
        <v>124</v>
      </c>
      <c r="B367" s="28" t="s">
        <v>133</v>
      </c>
      <c r="C367" s="2" t="s">
        <v>125</v>
      </c>
      <c r="D367" s="2" t="s">
        <v>134</v>
      </c>
      <c r="E367" s="28" t="s">
        <v>6481</v>
      </c>
      <c r="F367" s="28" t="str">
        <f t="shared" si="31"/>
        <v>20350609Expansion</v>
      </c>
      <c r="G367" s="28" t="s">
        <v>6233</v>
      </c>
      <c r="H367" s="28" t="str">
        <f t="shared" si="29"/>
        <v>20350609District Design and Led</v>
      </c>
      <c r="I367" s="29">
        <v>3</v>
      </c>
      <c r="J367" s="28" t="str">
        <f t="shared" si="30"/>
        <v>20350609District Design and Led3</v>
      </c>
      <c r="K367" s="30"/>
      <c r="L367" s="30"/>
      <c r="M367" s="30"/>
      <c r="N367" s="30"/>
      <c r="O367" s="30"/>
      <c r="P367" s="30"/>
      <c r="Q367" s="30">
        <v>0</v>
      </c>
      <c r="R367" s="30">
        <v>0</v>
      </c>
      <c r="S367" s="30">
        <v>25025.84</v>
      </c>
      <c r="T367" s="30">
        <v>0</v>
      </c>
      <c r="U367" s="30"/>
      <c r="V367" s="30"/>
      <c r="W367" s="30"/>
      <c r="X367" s="30"/>
      <c r="Y367" t="s">
        <v>6499</v>
      </c>
    </row>
    <row r="368" spans="1:25" x14ac:dyDescent="0.3">
      <c r="A368" s="2" t="s">
        <v>124</v>
      </c>
      <c r="B368" s="28" t="s">
        <v>1937</v>
      </c>
      <c r="C368" s="2" t="s">
        <v>125</v>
      </c>
      <c r="D368" s="2" t="s">
        <v>1938</v>
      </c>
      <c r="E368" s="28" t="s">
        <v>6475</v>
      </c>
      <c r="F368" s="28" t="s">
        <v>6481</v>
      </c>
      <c r="G368" s="28" t="s">
        <v>6233</v>
      </c>
      <c r="H368" s="28" t="str">
        <f t="shared" si="29"/>
        <v>20352036District Design and Led</v>
      </c>
      <c r="I368" s="29">
        <v>4</v>
      </c>
      <c r="J368" s="28" t="str">
        <f t="shared" si="30"/>
        <v>20352036District Design and Led4</v>
      </c>
      <c r="K368" s="30"/>
      <c r="L368" s="30"/>
      <c r="M368" s="30"/>
      <c r="N368" s="30"/>
      <c r="O368" s="30"/>
      <c r="P368" s="30"/>
      <c r="Q368" s="30">
        <v>14500</v>
      </c>
      <c r="R368" s="30">
        <v>0</v>
      </c>
      <c r="S368" s="30">
        <v>0</v>
      </c>
      <c r="T368" s="30">
        <v>31000</v>
      </c>
      <c r="U368" s="30"/>
      <c r="V368" s="30"/>
      <c r="W368" s="30"/>
      <c r="X368" s="30"/>
      <c r="Y368" t="s">
        <v>6499</v>
      </c>
    </row>
    <row r="369" spans="1:25" x14ac:dyDescent="0.3">
      <c r="A369" s="2" t="s">
        <v>124</v>
      </c>
      <c r="B369" s="2" t="s">
        <v>1941</v>
      </c>
      <c r="C369" s="2" t="s">
        <v>125</v>
      </c>
      <c r="D369" s="2" t="s">
        <v>1942</v>
      </c>
      <c r="E369" s="28" t="s">
        <v>6478</v>
      </c>
      <c r="F369" s="28" t="str">
        <f t="shared" ref="F369:F377" si="32">A369&amp;B369&amp;E369</f>
        <v>20355436District Design and Led 19-22</v>
      </c>
      <c r="G369" s="28" t="s">
        <v>6233</v>
      </c>
      <c r="H369" s="28" t="str">
        <f t="shared" si="29"/>
        <v>20355436District Design and Led</v>
      </c>
      <c r="I369" s="29">
        <v>3</v>
      </c>
      <c r="J369" s="28" t="str">
        <f t="shared" si="30"/>
        <v>20355436District Design and Led3</v>
      </c>
      <c r="K369" s="30"/>
      <c r="L369" s="30"/>
      <c r="M369" s="30"/>
      <c r="N369" s="30">
        <v>0</v>
      </c>
      <c r="O369" s="30">
        <v>0</v>
      </c>
      <c r="P369" s="30">
        <v>26908</v>
      </c>
      <c r="Q369" s="30">
        <v>0</v>
      </c>
      <c r="R369" s="30">
        <v>0</v>
      </c>
      <c r="S369" s="30">
        <v>0</v>
      </c>
      <c r="T369" s="30">
        <v>0</v>
      </c>
      <c r="U369" s="30"/>
      <c r="V369" s="30"/>
      <c r="W369" s="30"/>
      <c r="X369" s="30"/>
      <c r="Y369" t="s">
        <v>6499</v>
      </c>
    </row>
    <row r="370" spans="1:25" x14ac:dyDescent="0.3">
      <c r="A370" s="2" t="s">
        <v>124</v>
      </c>
      <c r="B370" s="28" t="s">
        <v>1941</v>
      </c>
      <c r="C370" s="2" t="s">
        <v>125</v>
      </c>
      <c r="D370" s="2" t="s">
        <v>1942</v>
      </c>
      <c r="E370" s="28" t="s">
        <v>6481</v>
      </c>
      <c r="F370" s="28" t="str">
        <f t="shared" si="32"/>
        <v>20355436Expansion</v>
      </c>
      <c r="G370" s="28" t="s">
        <v>6233</v>
      </c>
      <c r="H370" s="28" t="str">
        <f t="shared" si="29"/>
        <v>20355436District Design and Led</v>
      </c>
      <c r="I370" s="29">
        <v>3</v>
      </c>
      <c r="J370" s="28" t="str">
        <f t="shared" si="30"/>
        <v>20355436District Design and Led3</v>
      </c>
      <c r="K370" s="30"/>
      <c r="L370" s="30"/>
      <c r="M370" s="30"/>
      <c r="N370" s="30"/>
      <c r="O370" s="30"/>
      <c r="P370" s="30"/>
      <c r="Q370" s="30">
        <v>0</v>
      </c>
      <c r="R370" s="30">
        <v>0</v>
      </c>
      <c r="S370" s="30">
        <v>26967.5</v>
      </c>
      <c r="T370" s="30">
        <v>0</v>
      </c>
      <c r="U370" s="30"/>
      <c r="V370" s="30"/>
      <c r="W370" s="30"/>
      <c r="X370" s="30"/>
      <c r="Y370" t="s">
        <v>6499</v>
      </c>
    </row>
    <row r="371" spans="1:25" x14ac:dyDescent="0.3">
      <c r="A371" s="2" t="s">
        <v>124</v>
      </c>
      <c r="B371" s="2" t="s">
        <v>2588</v>
      </c>
      <c r="C371" s="2" t="s">
        <v>125</v>
      </c>
      <c r="D371" s="2" t="s">
        <v>762</v>
      </c>
      <c r="E371" s="28" t="s">
        <v>6478</v>
      </c>
      <c r="F371" s="28" t="str">
        <f t="shared" si="32"/>
        <v>20355836District Design and Led 19-22</v>
      </c>
      <c r="G371" s="28" t="s">
        <v>6233</v>
      </c>
      <c r="H371" s="28" t="str">
        <f t="shared" si="29"/>
        <v>20355836District Design and Led</v>
      </c>
      <c r="I371" s="29">
        <v>3</v>
      </c>
      <c r="J371" s="28" t="str">
        <f t="shared" si="30"/>
        <v>20355836District Design and Led3</v>
      </c>
      <c r="K371" s="30"/>
      <c r="L371" s="30"/>
      <c r="M371" s="30"/>
      <c r="N371" s="30">
        <v>0</v>
      </c>
      <c r="O371" s="30">
        <v>0</v>
      </c>
      <c r="P371" s="30">
        <v>87449.375</v>
      </c>
      <c r="Q371" s="30">
        <v>0</v>
      </c>
      <c r="R371" s="30">
        <v>0</v>
      </c>
      <c r="S371" s="30">
        <v>0</v>
      </c>
      <c r="T371" s="30">
        <v>0</v>
      </c>
      <c r="U371" s="30"/>
      <c r="V371" s="30"/>
      <c r="W371" s="30"/>
      <c r="X371" s="30"/>
      <c r="Y371" t="s">
        <v>6499</v>
      </c>
    </row>
    <row r="372" spans="1:25" x14ac:dyDescent="0.3">
      <c r="A372" s="2" t="s">
        <v>124</v>
      </c>
      <c r="B372" s="28" t="s">
        <v>2588</v>
      </c>
      <c r="C372" s="2" t="s">
        <v>125</v>
      </c>
      <c r="D372" s="2" t="s">
        <v>762</v>
      </c>
      <c r="E372" s="28" t="s">
        <v>6481</v>
      </c>
      <c r="F372" s="28" t="str">
        <f t="shared" si="32"/>
        <v>20355836Expansion</v>
      </c>
      <c r="G372" s="28" t="s">
        <v>6233</v>
      </c>
      <c r="H372" s="28" t="str">
        <f t="shared" si="29"/>
        <v>20355836District Design and Led</v>
      </c>
      <c r="I372" s="29">
        <v>3</v>
      </c>
      <c r="J372" s="28" t="str">
        <f t="shared" si="30"/>
        <v>20355836District Design and Led3</v>
      </c>
      <c r="K372" s="30"/>
      <c r="L372" s="30"/>
      <c r="M372" s="30"/>
      <c r="N372" s="30">
        <v>38740</v>
      </c>
      <c r="O372" s="30"/>
      <c r="P372" s="30"/>
      <c r="Q372" s="30">
        <v>0</v>
      </c>
      <c r="R372" s="30">
        <v>0</v>
      </c>
      <c r="S372" s="30">
        <v>89532.1</v>
      </c>
      <c r="T372" s="30">
        <v>0</v>
      </c>
      <c r="U372" s="30"/>
      <c r="V372" s="30"/>
      <c r="W372" s="30"/>
      <c r="X372" s="30"/>
      <c r="Y372" t="s">
        <v>6499</v>
      </c>
    </row>
    <row r="373" spans="1:25" x14ac:dyDescent="0.3">
      <c r="A373" s="2" t="s">
        <v>124</v>
      </c>
      <c r="B373" s="2" t="s">
        <v>3380</v>
      </c>
      <c r="C373" s="2" t="s">
        <v>125</v>
      </c>
      <c r="D373" s="2" t="s">
        <v>3381</v>
      </c>
      <c r="E373" s="28" t="s">
        <v>6473</v>
      </c>
      <c r="F373" s="28" t="str">
        <f t="shared" si="32"/>
        <v>20356026District Design and Led 17-20</v>
      </c>
      <c r="G373" s="28" t="s">
        <v>6233</v>
      </c>
      <c r="H373" s="28" t="str">
        <f t="shared" si="29"/>
        <v>20356026District Design and Led</v>
      </c>
      <c r="I373" s="29">
        <v>2</v>
      </c>
      <c r="J373" s="28" t="str">
        <f t="shared" si="30"/>
        <v>20356026District Design and Led2</v>
      </c>
      <c r="K373" s="30">
        <v>30000</v>
      </c>
      <c r="L373" s="30">
        <v>30000</v>
      </c>
      <c r="M373" s="30">
        <v>10000</v>
      </c>
      <c r="N373" s="30">
        <v>0</v>
      </c>
      <c r="O373" s="30">
        <v>0</v>
      </c>
      <c r="P373" s="30">
        <v>0</v>
      </c>
      <c r="Q373" s="30">
        <v>0</v>
      </c>
      <c r="R373" s="30">
        <v>0</v>
      </c>
      <c r="S373" s="30">
        <v>0</v>
      </c>
      <c r="T373" s="30">
        <v>0</v>
      </c>
      <c r="U373" s="30"/>
      <c r="V373" s="30"/>
      <c r="W373" s="30"/>
      <c r="X373" s="30"/>
      <c r="Y373" t="s">
        <v>6499</v>
      </c>
    </row>
    <row r="374" spans="1:25" x14ac:dyDescent="0.3">
      <c r="A374" s="2" t="s">
        <v>124</v>
      </c>
      <c r="B374" s="2" t="s">
        <v>3380</v>
      </c>
      <c r="C374" s="2" t="s">
        <v>125</v>
      </c>
      <c r="D374" s="2" t="s">
        <v>3381</v>
      </c>
      <c r="E374" s="28" t="s">
        <v>6477</v>
      </c>
      <c r="F374" s="28" t="str">
        <f t="shared" si="32"/>
        <v>20356026District Design and Led 18-21</v>
      </c>
      <c r="G374" s="28" t="s">
        <v>6233</v>
      </c>
      <c r="H374" s="28" t="str">
        <f t="shared" si="29"/>
        <v>20356026District Design and Led</v>
      </c>
      <c r="I374" s="29">
        <v>3</v>
      </c>
      <c r="J374" s="28" t="str">
        <f t="shared" si="30"/>
        <v>20356026District Design and Led3</v>
      </c>
      <c r="K374" s="30"/>
      <c r="L374" s="30">
        <v>10597</v>
      </c>
      <c r="M374" s="30">
        <v>10761</v>
      </c>
      <c r="N374" s="30">
        <v>0</v>
      </c>
      <c r="O374" s="30">
        <v>0</v>
      </c>
      <c r="P374" s="30">
        <v>0</v>
      </c>
      <c r="Q374" s="30">
        <v>0</v>
      </c>
      <c r="R374" s="30">
        <v>0</v>
      </c>
      <c r="S374" s="30">
        <v>0</v>
      </c>
      <c r="T374" s="30">
        <v>0</v>
      </c>
      <c r="U374" s="30"/>
      <c r="V374" s="30"/>
      <c r="W374" s="30"/>
      <c r="X374" s="30"/>
      <c r="Y374" t="s">
        <v>6499</v>
      </c>
    </row>
    <row r="375" spans="1:25" x14ac:dyDescent="0.3">
      <c r="A375" s="2" t="s">
        <v>124</v>
      </c>
      <c r="B375" s="2" t="s">
        <v>4178</v>
      </c>
      <c r="C375" s="2" t="s">
        <v>125</v>
      </c>
      <c r="D375" s="2" t="s">
        <v>4179</v>
      </c>
      <c r="E375" s="28" t="s">
        <v>6473</v>
      </c>
      <c r="F375" s="28" t="str">
        <f t="shared" si="32"/>
        <v>20358133District Design and Led 17-20</v>
      </c>
      <c r="G375" s="28" t="s">
        <v>6233</v>
      </c>
      <c r="H375" s="28" t="str">
        <f t="shared" si="29"/>
        <v>20358133District Design and Led</v>
      </c>
      <c r="I375" s="29">
        <v>2</v>
      </c>
      <c r="J375" s="28" t="str">
        <f t="shared" si="30"/>
        <v>20358133District Design and Led2</v>
      </c>
      <c r="K375" s="30">
        <v>18620</v>
      </c>
      <c r="L375" s="30">
        <v>19558</v>
      </c>
      <c r="M375" s="30"/>
      <c r="N375" s="30">
        <v>0</v>
      </c>
      <c r="O375" s="30">
        <v>0</v>
      </c>
      <c r="P375" s="30">
        <v>0</v>
      </c>
      <c r="Q375" s="30">
        <v>0</v>
      </c>
      <c r="R375" s="30">
        <v>0</v>
      </c>
      <c r="S375" s="30">
        <v>0</v>
      </c>
      <c r="T375" s="30">
        <v>0</v>
      </c>
      <c r="U375" s="30"/>
      <c r="V375" s="30"/>
      <c r="W375" s="30"/>
      <c r="X375" s="30"/>
      <c r="Y375" t="s">
        <v>6499</v>
      </c>
    </row>
    <row r="376" spans="1:25" x14ac:dyDescent="0.3">
      <c r="A376" s="2" t="s">
        <v>124</v>
      </c>
      <c r="B376" s="2" t="s">
        <v>4178</v>
      </c>
      <c r="C376" s="2" t="s">
        <v>125</v>
      </c>
      <c r="D376" s="2" t="s">
        <v>4179</v>
      </c>
      <c r="E376" s="28" t="s">
        <v>6477</v>
      </c>
      <c r="F376" s="28" t="str">
        <f t="shared" si="32"/>
        <v>20358133District Design and Led 18-21</v>
      </c>
      <c r="G376" s="28" t="s">
        <v>6233</v>
      </c>
      <c r="H376" s="28" t="str">
        <f t="shared" si="29"/>
        <v>20358133District Design and Led</v>
      </c>
      <c r="I376" s="29">
        <v>3</v>
      </c>
      <c r="J376" s="28" t="str">
        <f t="shared" si="30"/>
        <v>20358133District Design and Led3</v>
      </c>
      <c r="K376" s="30"/>
      <c r="L376" s="30">
        <v>31791</v>
      </c>
      <c r="M376" s="30">
        <v>32283</v>
      </c>
      <c r="N376" s="30">
        <v>0</v>
      </c>
      <c r="O376" s="30">
        <v>0</v>
      </c>
      <c r="P376" s="30">
        <v>60541.875</v>
      </c>
      <c r="Q376" s="30">
        <v>0</v>
      </c>
      <c r="R376" s="30">
        <v>0</v>
      </c>
      <c r="S376" s="30">
        <v>0</v>
      </c>
      <c r="T376" s="30">
        <v>0</v>
      </c>
      <c r="U376" s="30"/>
      <c r="V376" s="30"/>
      <c r="W376" s="30"/>
      <c r="X376" s="30"/>
      <c r="Y376" t="s">
        <v>6499</v>
      </c>
    </row>
    <row r="377" spans="1:25" x14ac:dyDescent="0.3">
      <c r="A377" s="2" t="s">
        <v>124</v>
      </c>
      <c r="B377" s="28" t="s">
        <v>4178</v>
      </c>
      <c r="C377" s="2" t="s">
        <v>125</v>
      </c>
      <c r="D377" s="2" t="s">
        <v>4179</v>
      </c>
      <c r="E377" s="28" t="s">
        <v>6481</v>
      </c>
      <c r="F377" s="28" t="str">
        <f t="shared" si="32"/>
        <v>20358133Expansion</v>
      </c>
      <c r="G377" s="28" t="s">
        <v>6233</v>
      </c>
      <c r="H377" s="28" t="str">
        <f t="shared" si="29"/>
        <v>20358133District Design and Led</v>
      </c>
      <c r="I377" s="29">
        <v>3</v>
      </c>
      <c r="J377" s="28" t="str">
        <f t="shared" si="30"/>
        <v>20358133District Design and Led3</v>
      </c>
      <c r="K377" s="30"/>
      <c r="L377" s="30"/>
      <c r="M377" s="30"/>
      <c r="N377" s="30"/>
      <c r="O377" s="30"/>
      <c r="P377" s="30"/>
      <c r="Q377" s="30">
        <v>0</v>
      </c>
      <c r="R377" s="30">
        <v>0</v>
      </c>
      <c r="S377" s="30">
        <v>61755.574999999997</v>
      </c>
      <c r="T377" s="30">
        <v>0</v>
      </c>
      <c r="U377" s="30"/>
      <c r="V377" s="30"/>
      <c r="W377" s="30"/>
      <c r="X377" s="30"/>
      <c r="Y377" t="s">
        <v>6499</v>
      </c>
    </row>
    <row r="378" spans="1:25" x14ac:dyDescent="0.3">
      <c r="A378" s="2" t="s">
        <v>124</v>
      </c>
      <c r="B378" s="2" t="s">
        <v>4178</v>
      </c>
      <c r="C378" s="2" t="s">
        <v>125</v>
      </c>
      <c r="D378" s="2" t="s">
        <v>4179</v>
      </c>
      <c r="E378" s="28" t="s">
        <v>6468</v>
      </c>
      <c r="F378" s="28" t="s">
        <v>6470</v>
      </c>
      <c r="G378" s="28" t="s">
        <v>6240</v>
      </c>
      <c r="H378" s="28" t="str">
        <f t="shared" si="29"/>
        <v>20358133Diagnostic Review</v>
      </c>
      <c r="I378" s="29">
        <v>4</v>
      </c>
      <c r="J378" s="28" t="str">
        <f t="shared" si="30"/>
        <v>20358133Diagnostic Review4</v>
      </c>
      <c r="K378" s="30"/>
      <c r="L378" s="30"/>
      <c r="M378" s="30"/>
      <c r="N378" s="30"/>
      <c r="O378" s="30"/>
      <c r="P378" s="30"/>
      <c r="Q378" s="30">
        <v>12000</v>
      </c>
      <c r="R378" s="30">
        <v>0</v>
      </c>
      <c r="S378" s="30">
        <v>0</v>
      </c>
      <c r="T378" s="30">
        <v>20000</v>
      </c>
      <c r="U378" s="30"/>
      <c r="V378" s="30"/>
      <c r="W378" s="30"/>
      <c r="X378" s="30"/>
      <c r="Y378" t="s">
        <v>6499</v>
      </c>
    </row>
    <row r="379" spans="1:25" x14ac:dyDescent="0.3">
      <c r="A379" s="28" t="s">
        <v>124</v>
      </c>
      <c r="B379" s="28" t="s">
        <v>4178</v>
      </c>
      <c r="C379" s="2" t="s">
        <v>125</v>
      </c>
      <c r="D379" s="2" t="s">
        <v>4179</v>
      </c>
      <c r="E379" s="28" t="s">
        <v>6475</v>
      </c>
      <c r="F379" s="28" t="str">
        <f>A379&amp;B379&amp;E379</f>
        <v>20358133DDL</v>
      </c>
      <c r="G379" s="28" t="s">
        <v>6233</v>
      </c>
      <c r="H379" s="28" t="str">
        <f t="shared" si="29"/>
        <v>20358133District Design and Led</v>
      </c>
      <c r="I379" s="29">
        <v>5</v>
      </c>
      <c r="J379" s="28" t="str">
        <f t="shared" si="30"/>
        <v>20358133District Design and Led5</v>
      </c>
      <c r="K379" s="30">
        <v>0</v>
      </c>
      <c r="L379" s="30">
        <v>0</v>
      </c>
      <c r="M379" s="30">
        <v>0</v>
      </c>
      <c r="N379" s="30">
        <v>0</v>
      </c>
      <c r="O379" s="30">
        <v>0</v>
      </c>
      <c r="P379" s="30">
        <v>0</v>
      </c>
      <c r="Q379" s="30">
        <v>0</v>
      </c>
      <c r="R379" s="30">
        <v>0</v>
      </c>
      <c r="S379" s="30">
        <v>0</v>
      </c>
      <c r="T379" s="30">
        <v>0</v>
      </c>
      <c r="U379" s="30">
        <v>0</v>
      </c>
      <c r="V379" s="30">
        <v>50000</v>
      </c>
      <c r="W379" s="30">
        <v>50000</v>
      </c>
      <c r="X379" s="30">
        <v>0</v>
      </c>
      <c r="Y379" t="s">
        <v>6500</v>
      </c>
    </row>
    <row r="380" spans="1:25" x14ac:dyDescent="0.3">
      <c r="A380" s="2" t="s">
        <v>124</v>
      </c>
      <c r="B380" s="28" t="s">
        <v>6248</v>
      </c>
      <c r="C380" s="2" t="s">
        <v>125</v>
      </c>
      <c r="D380" s="2" t="s">
        <v>6474</v>
      </c>
      <c r="E380" s="28" t="s">
        <v>6473</v>
      </c>
      <c r="F380" s="28" t="str">
        <f>A380&amp;B380&amp;E380</f>
        <v>2035District LevelDistrict Design and Led 17-20</v>
      </c>
      <c r="G380" s="28" t="s">
        <v>6233</v>
      </c>
      <c r="H380" s="28" t="str">
        <f t="shared" si="29"/>
        <v>2035District LevelDistrict Design and Led</v>
      </c>
      <c r="I380" s="29">
        <v>2</v>
      </c>
      <c r="J380" s="28" t="str">
        <f t="shared" si="30"/>
        <v>2035District LevelDistrict Design and Led2</v>
      </c>
      <c r="K380" s="30">
        <v>133177</v>
      </c>
      <c r="L380" s="30">
        <v>126000</v>
      </c>
      <c r="M380" s="30"/>
      <c r="N380" s="30">
        <v>0</v>
      </c>
      <c r="O380" s="30">
        <v>0</v>
      </c>
      <c r="P380" s="30">
        <v>0</v>
      </c>
      <c r="Q380" s="30">
        <v>0</v>
      </c>
      <c r="R380" s="30">
        <v>0</v>
      </c>
      <c r="S380" s="30">
        <v>0</v>
      </c>
      <c r="T380" s="30">
        <v>0</v>
      </c>
      <c r="U380" s="30"/>
      <c r="V380" s="30"/>
      <c r="W380" s="30"/>
      <c r="X380" s="30"/>
      <c r="Y380" t="s">
        <v>6499</v>
      </c>
    </row>
    <row r="381" spans="1:25" x14ac:dyDescent="0.3">
      <c r="A381" s="28" t="s">
        <v>136</v>
      </c>
      <c r="B381" s="28" t="s">
        <v>138</v>
      </c>
      <c r="C381" s="2" t="s">
        <v>137</v>
      </c>
      <c r="D381" s="2" t="s">
        <v>139</v>
      </c>
      <c r="E381" s="28" t="s">
        <v>6457</v>
      </c>
      <c r="F381" s="28" t="str">
        <f>A381&amp;B381&amp;E381</f>
        <v>20552204OfferedServices</v>
      </c>
      <c r="G381" s="28" t="s">
        <v>6458</v>
      </c>
      <c r="H381" s="28" t="str">
        <f t="shared" si="29"/>
        <v>20552204Connect for Success</v>
      </c>
      <c r="I381" s="29">
        <v>5</v>
      </c>
      <c r="J381" s="28" t="str">
        <f t="shared" si="30"/>
        <v>20552204Connect for Success5</v>
      </c>
      <c r="K381" s="30">
        <v>0</v>
      </c>
      <c r="L381" s="30">
        <v>0</v>
      </c>
      <c r="M381" s="30">
        <v>0</v>
      </c>
      <c r="N381" s="30">
        <v>0</v>
      </c>
      <c r="O381" s="30">
        <v>0</v>
      </c>
      <c r="P381" s="30">
        <v>0</v>
      </c>
      <c r="Q381" s="30">
        <v>0</v>
      </c>
      <c r="R381" s="30">
        <v>0</v>
      </c>
      <c r="S381" s="30">
        <v>0</v>
      </c>
      <c r="T381" s="30">
        <v>0</v>
      </c>
      <c r="U381" s="30">
        <v>20000</v>
      </c>
      <c r="V381" s="30">
        <v>80000</v>
      </c>
      <c r="W381" s="30">
        <v>80000</v>
      </c>
      <c r="X381" s="30">
        <v>0</v>
      </c>
      <c r="Y381" t="s">
        <v>6500</v>
      </c>
    </row>
    <row r="382" spans="1:25" x14ac:dyDescent="0.3">
      <c r="A382" s="2" t="s">
        <v>145</v>
      </c>
      <c r="B382" s="28" t="s">
        <v>3386</v>
      </c>
      <c r="C382" s="2" t="s">
        <v>146</v>
      </c>
      <c r="D382" s="2" t="s">
        <v>228</v>
      </c>
      <c r="E382" s="28" t="s">
        <v>6457</v>
      </c>
      <c r="F382" s="28" t="s">
        <v>6237</v>
      </c>
      <c r="G382" s="28" t="s">
        <v>6237</v>
      </c>
      <c r="H382" s="28" t="str">
        <f t="shared" si="29"/>
        <v>21804458Turnaround Network</v>
      </c>
      <c r="I382" s="29">
        <v>4</v>
      </c>
      <c r="J382" s="28" t="str">
        <f t="shared" si="30"/>
        <v>21804458Turnaround Network4</v>
      </c>
      <c r="K382" s="32"/>
      <c r="L382" s="32"/>
      <c r="M382" s="32"/>
      <c r="N382" s="30"/>
      <c r="O382" s="32"/>
      <c r="P382" s="32"/>
      <c r="Q382" s="30">
        <v>0</v>
      </c>
      <c r="R382" s="30">
        <v>0</v>
      </c>
      <c r="S382" s="30">
        <v>0</v>
      </c>
      <c r="T382" s="30">
        <v>30000</v>
      </c>
      <c r="U382" s="30"/>
      <c r="V382" s="30"/>
      <c r="W382" s="30"/>
      <c r="X382" s="30"/>
      <c r="Y382" t="s">
        <v>6499</v>
      </c>
    </row>
    <row r="383" spans="1:25" x14ac:dyDescent="0.3">
      <c r="A383" s="2" t="s">
        <v>145</v>
      </c>
      <c r="B383" s="2" t="s">
        <v>2591</v>
      </c>
      <c r="C383" s="2" t="s">
        <v>146</v>
      </c>
      <c r="D383" s="2" t="s">
        <v>2592</v>
      </c>
      <c r="E383" s="28" t="s">
        <v>6237</v>
      </c>
      <c r="F383" s="28" t="str">
        <f>A383&amp;B383&amp;E383</f>
        <v>21806366Turnaround Network</v>
      </c>
      <c r="G383" s="28" t="s">
        <v>6237</v>
      </c>
      <c r="H383" s="28" t="str">
        <f t="shared" si="29"/>
        <v>21806366Turnaround Network</v>
      </c>
      <c r="I383" s="29">
        <v>2</v>
      </c>
      <c r="J383" s="28" t="str">
        <f t="shared" si="30"/>
        <v>21806366Turnaround Network2</v>
      </c>
      <c r="K383" s="30"/>
      <c r="L383" s="30"/>
      <c r="M383" s="30"/>
      <c r="N383" s="30">
        <v>0</v>
      </c>
      <c r="O383" s="30">
        <v>47508.0363</v>
      </c>
      <c r="P383" s="30">
        <v>0</v>
      </c>
      <c r="Q383" s="30">
        <v>0</v>
      </c>
      <c r="R383" s="30">
        <v>0</v>
      </c>
      <c r="S383" s="30">
        <v>0</v>
      </c>
      <c r="T383" s="30">
        <v>0</v>
      </c>
      <c r="U383" s="30"/>
      <c r="V383" s="30"/>
      <c r="W383" s="30"/>
      <c r="X383" s="30"/>
      <c r="Y383" t="s">
        <v>6499</v>
      </c>
    </row>
    <row r="384" spans="1:25" x14ac:dyDescent="0.3">
      <c r="A384" s="2" t="s">
        <v>145</v>
      </c>
      <c r="B384" s="28" t="s">
        <v>2591</v>
      </c>
      <c r="C384" s="2" t="s">
        <v>146</v>
      </c>
      <c r="D384" s="2" t="s">
        <v>2592</v>
      </c>
      <c r="E384" s="28" t="s">
        <v>6237</v>
      </c>
      <c r="F384" s="28" t="str">
        <f>A384&amp;B384&amp;E384</f>
        <v>21806366Turnaround Network</v>
      </c>
      <c r="G384" s="28" t="s">
        <v>6237</v>
      </c>
      <c r="H384" s="28" t="str">
        <f t="shared" si="29"/>
        <v>21806366Turnaround Network</v>
      </c>
      <c r="I384" s="29">
        <v>2</v>
      </c>
      <c r="J384" s="28" t="str">
        <f t="shared" si="30"/>
        <v>21806366Turnaround Network2</v>
      </c>
      <c r="K384" s="30">
        <v>109068</v>
      </c>
      <c r="L384" s="30"/>
      <c r="M384" s="30">
        <v>25000</v>
      </c>
      <c r="N384" s="30">
        <v>0</v>
      </c>
      <c r="O384" s="30"/>
      <c r="P384" s="30">
        <v>0</v>
      </c>
      <c r="Q384" s="30">
        <v>0</v>
      </c>
      <c r="R384" s="30">
        <v>0</v>
      </c>
      <c r="S384" s="30">
        <v>0</v>
      </c>
      <c r="T384" s="30">
        <v>0</v>
      </c>
      <c r="U384" s="30"/>
      <c r="V384" s="30"/>
      <c r="W384" s="30"/>
      <c r="X384" s="30"/>
      <c r="Y384" t="s">
        <v>6499</v>
      </c>
    </row>
    <row r="385" spans="1:25" x14ac:dyDescent="0.3">
      <c r="A385" s="2" t="s">
        <v>145</v>
      </c>
      <c r="B385" s="2" t="s">
        <v>2591</v>
      </c>
      <c r="C385" s="2" t="s">
        <v>146</v>
      </c>
      <c r="D385" s="2" t="s">
        <v>2592</v>
      </c>
      <c r="E385" s="28" t="s">
        <v>6477</v>
      </c>
      <c r="F385" s="28" t="str">
        <f>A385&amp;B385&amp;E385</f>
        <v>21806366District Design and Led 18-21</v>
      </c>
      <c r="G385" s="28" t="s">
        <v>6233</v>
      </c>
      <c r="H385" s="28" t="str">
        <f t="shared" si="29"/>
        <v>21806366District Design and Led</v>
      </c>
      <c r="I385" s="29">
        <v>3</v>
      </c>
      <c r="J385" s="28" t="str">
        <f t="shared" si="30"/>
        <v>21806366District Design and Led3</v>
      </c>
      <c r="K385" s="30"/>
      <c r="L385" s="30">
        <v>52970</v>
      </c>
      <c r="M385" s="30">
        <v>50000</v>
      </c>
      <c r="N385" s="30">
        <v>0</v>
      </c>
      <c r="O385" s="30">
        <v>0</v>
      </c>
      <c r="P385" s="30">
        <v>0</v>
      </c>
      <c r="Q385" s="30">
        <v>0</v>
      </c>
      <c r="R385" s="30">
        <v>0</v>
      </c>
      <c r="S385" s="30">
        <v>0</v>
      </c>
      <c r="T385" s="30">
        <v>0</v>
      </c>
      <c r="U385" s="30"/>
      <c r="V385" s="30"/>
      <c r="W385" s="30"/>
      <c r="X385" s="30"/>
      <c r="Y385" t="s">
        <v>6499</v>
      </c>
    </row>
    <row r="386" spans="1:25" x14ac:dyDescent="0.3">
      <c r="A386" s="2" t="s">
        <v>145</v>
      </c>
      <c r="B386" s="2" t="s">
        <v>1102</v>
      </c>
      <c r="C386" s="2" t="s">
        <v>146</v>
      </c>
      <c r="D386" s="2" t="s">
        <v>1103</v>
      </c>
      <c r="E386" s="28" t="s">
        <v>6477</v>
      </c>
      <c r="F386" s="28" t="str">
        <f>A386&amp;B386&amp;E386</f>
        <v>21806466District Design and Led 18-21</v>
      </c>
      <c r="G386" s="28" t="s">
        <v>6233</v>
      </c>
      <c r="H386" s="28" t="str">
        <f t="shared" ref="H386:H449" si="33">A386&amp;B386&amp;G386</f>
        <v>21806466District Design and Led</v>
      </c>
      <c r="I386" s="29">
        <v>3</v>
      </c>
      <c r="J386" s="28" t="str">
        <f t="shared" ref="J386:J449" si="34">H386&amp;I386</f>
        <v>21806466District Design and Led3</v>
      </c>
      <c r="K386" s="30"/>
      <c r="L386" s="30">
        <v>52970</v>
      </c>
      <c r="M386" s="30">
        <v>50000</v>
      </c>
      <c r="N386" s="30">
        <v>0</v>
      </c>
      <c r="O386" s="30">
        <v>0</v>
      </c>
      <c r="P386" s="30">
        <v>0</v>
      </c>
      <c r="Q386" s="30">
        <v>0</v>
      </c>
      <c r="R386" s="30">
        <v>0</v>
      </c>
      <c r="S386" s="30">
        <v>0</v>
      </c>
      <c r="T386" s="30">
        <v>0</v>
      </c>
      <c r="U386" s="30"/>
      <c r="V386" s="30"/>
      <c r="W386" s="30"/>
      <c r="X386" s="30"/>
      <c r="Y386" t="s">
        <v>6499</v>
      </c>
    </row>
    <row r="387" spans="1:25" x14ac:dyDescent="0.3">
      <c r="A387" s="2" t="s">
        <v>145</v>
      </c>
      <c r="B387" s="28" t="s">
        <v>1102</v>
      </c>
      <c r="C387" s="2" t="s">
        <v>146</v>
      </c>
      <c r="D387" s="2" t="s">
        <v>1103</v>
      </c>
      <c r="E387" s="28" t="s">
        <v>6457</v>
      </c>
      <c r="F387" s="28" t="s">
        <v>6237</v>
      </c>
      <c r="G387" s="28" t="s">
        <v>6237</v>
      </c>
      <c r="H387" s="28" t="str">
        <f t="shared" si="33"/>
        <v>21806466Turnaround Network</v>
      </c>
      <c r="I387" s="29">
        <v>4</v>
      </c>
      <c r="J387" s="28" t="str">
        <f t="shared" si="34"/>
        <v>21806466Turnaround Network4</v>
      </c>
      <c r="K387" s="32"/>
      <c r="L387" s="32"/>
      <c r="M387" s="32"/>
      <c r="N387" s="30"/>
      <c r="O387" s="32"/>
      <c r="P387" s="32"/>
      <c r="Q387" s="30">
        <v>0</v>
      </c>
      <c r="R387" s="30">
        <v>0</v>
      </c>
      <c r="S387" s="30">
        <v>0</v>
      </c>
      <c r="T387" s="30">
        <v>30000</v>
      </c>
      <c r="U387" s="30"/>
      <c r="V387" s="30"/>
      <c r="W387" s="30"/>
      <c r="X387" s="30"/>
      <c r="Y387" t="s">
        <v>6499</v>
      </c>
    </row>
    <row r="388" spans="1:25" x14ac:dyDescent="0.3">
      <c r="A388" s="2" t="s">
        <v>145</v>
      </c>
      <c r="B388" s="28" t="s">
        <v>3392</v>
      </c>
      <c r="C388" s="2" t="s">
        <v>146</v>
      </c>
      <c r="D388" s="2" t="s">
        <v>3393</v>
      </c>
      <c r="E388" s="28" t="s">
        <v>6457</v>
      </c>
      <c r="F388" s="28" t="s">
        <v>6237</v>
      </c>
      <c r="G388" s="28" t="s">
        <v>6237</v>
      </c>
      <c r="H388" s="28" t="str">
        <f t="shared" si="33"/>
        <v>21806486Turnaround Network</v>
      </c>
      <c r="I388" s="29">
        <v>4</v>
      </c>
      <c r="J388" s="28" t="str">
        <f t="shared" si="34"/>
        <v>21806486Turnaround Network4</v>
      </c>
      <c r="K388" s="32"/>
      <c r="L388" s="32"/>
      <c r="M388" s="32"/>
      <c r="N388" s="30"/>
      <c r="O388" s="32"/>
      <c r="P388" s="32"/>
      <c r="Q388" s="30">
        <v>0</v>
      </c>
      <c r="R388" s="30">
        <v>0</v>
      </c>
      <c r="S388" s="30">
        <v>0</v>
      </c>
      <c r="T388" s="30">
        <v>30000</v>
      </c>
      <c r="U388" s="30"/>
      <c r="V388" s="30"/>
      <c r="W388" s="30"/>
      <c r="X388" s="30"/>
      <c r="Y388" t="s">
        <v>6499</v>
      </c>
    </row>
    <row r="389" spans="1:25" x14ac:dyDescent="0.3">
      <c r="A389" s="2" t="s">
        <v>145</v>
      </c>
      <c r="B389" s="28" t="s">
        <v>2593</v>
      </c>
      <c r="C389" s="2" t="s">
        <v>146</v>
      </c>
      <c r="D389" s="2" t="s">
        <v>2594</v>
      </c>
      <c r="E389" s="28" t="s">
        <v>6237</v>
      </c>
      <c r="F389" s="28" t="str">
        <f t="shared" ref="F389:F416" si="35">A389&amp;B389&amp;E389</f>
        <v>21806490Turnaround Network</v>
      </c>
      <c r="G389" s="28" t="s">
        <v>6237</v>
      </c>
      <c r="H389" s="28" t="str">
        <f t="shared" si="33"/>
        <v>21806490Turnaround Network</v>
      </c>
      <c r="I389" s="29">
        <v>2</v>
      </c>
      <c r="J389" s="28" t="str">
        <f t="shared" si="34"/>
        <v>21806490Turnaround Network2</v>
      </c>
      <c r="K389" s="30">
        <v>100631</v>
      </c>
      <c r="L389" s="30">
        <v>26485</v>
      </c>
      <c r="M389" s="30"/>
      <c r="N389" s="30">
        <v>0</v>
      </c>
      <c r="O389" s="30">
        <v>0</v>
      </c>
      <c r="P389" s="30">
        <v>0</v>
      </c>
      <c r="Q389" s="30">
        <v>0</v>
      </c>
      <c r="R389" s="30">
        <v>0</v>
      </c>
      <c r="S389" s="30">
        <v>0</v>
      </c>
      <c r="T389" s="30">
        <v>0</v>
      </c>
      <c r="U389" s="30"/>
      <c r="V389" s="30"/>
      <c r="W389" s="30"/>
      <c r="X389" s="30"/>
      <c r="Y389" t="s">
        <v>6499</v>
      </c>
    </row>
    <row r="390" spans="1:25" x14ac:dyDescent="0.3">
      <c r="A390" s="2" t="s">
        <v>145</v>
      </c>
      <c r="B390" s="28" t="s">
        <v>1949</v>
      </c>
      <c r="C390" s="2" t="s">
        <v>146</v>
      </c>
      <c r="D390" s="2" t="s">
        <v>1154</v>
      </c>
      <c r="E390" s="28" t="s">
        <v>6237</v>
      </c>
      <c r="F390" s="28" t="str">
        <f t="shared" si="35"/>
        <v>21807106Turnaround Network</v>
      </c>
      <c r="G390" s="28" t="s">
        <v>6237</v>
      </c>
      <c r="H390" s="28" t="str">
        <f t="shared" si="33"/>
        <v>21807106Turnaround Network</v>
      </c>
      <c r="I390" s="29">
        <v>2</v>
      </c>
      <c r="J390" s="28" t="str">
        <f t="shared" si="34"/>
        <v>21807106Turnaround Network2</v>
      </c>
      <c r="K390" s="32">
        <v>125997</v>
      </c>
      <c r="L390" s="32"/>
      <c r="M390" s="32">
        <v>25000</v>
      </c>
      <c r="N390" s="30">
        <v>0</v>
      </c>
      <c r="O390" s="32">
        <v>47290.5</v>
      </c>
      <c r="P390" s="32">
        <v>0</v>
      </c>
      <c r="Q390" s="30">
        <v>0</v>
      </c>
      <c r="R390" s="30">
        <v>0</v>
      </c>
      <c r="S390" s="30">
        <v>0</v>
      </c>
      <c r="T390" s="30">
        <v>0</v>
      </c>
      <c r="U390" s="30"/>
      <c r="V390" s="30"/>
      <c r="W390" s="30"/>
      <c r="X390" s="30"/>
      <c r="Y390" t="s">
        <v>6499</v>
      </c>
    </row>
    <row r="391" spans="1:25" x14ac:dyDescent="0.3">
      <c r="A391" s="2" t="s">
        <v>145</v>
      </c>
      <c r="B391" s="2" t="s">
        <v>1949</v>
      </c>
      <c r="C391" s="2" t="s">
        <v>146</v>
      </c>
      <c r="D391" s="2" t="s">
        <v>1154</v>
      </c>
      <c r="E391" s="28" t="s">
        <v>6477</v>
      </c>
      <c r="F391" s="28" t="str">
        <f t="shared" si="35"/>
        <v>21807106District Design and Led 18-21</v>
      </c>
      <c r="G391" s="28" t="s">
        <v>6233</v>
      </c>
      <c r="H391" s="28" t="str">
        <f t="shared" si="33"/>
        <v>21807106District Design and Led</v>
      </c>
      <c r="I391" s="29">
        <v>3</v>
      </c>
      <c r="J391" s="28" t="str">
        <f t="shared" si="34"/>
        <v>21807106District Design and Led3</v>
      </c>
      <c r="K391" s="30"/>
      <c r="L391" s="30">
        <v>52970</v>
      </c>
      <c r="M391" s="30">
        <v>50000</v>
      </c>
      <c r="N391" s="30">
        <v>0</v>
      </c>
      <c r="O391" s="30">
        <v>0</v>
      </c>
      <c r="P391" s="30">
        <v>0</v>
      </c>
      <c r="Q391" s="30">
        <v>0</v>
      </c>
      <c r="R391" s="30">
        <v>0</v>
      </c>
      <c r="S391" s="30">
        <v>0</v>
      </c>
      <c r="T391" s="30">
        <v>0</v>
      </c>
      <c r="U391" s="30"/>
      <c r="V391" s="30"/>
      <c r="W391" s="30"/>
      <c r="X391" s="30"/>
      <c r="Y391" t="s">
        <v>6499</v>
      </c>
    </row>
    <row r="392" spans="1:25" x14ac:dyDescent="0.3">
      <c r="A392" s="28" t="s">
        <v>145</v>
      </c>
      <c r="B392" s="28" t="s">
        <v>1947</v>
      </c>
      <c r="C392" s="2" t="s">
        <v>146</v>
      </c>
      <c r="D392" s="2" t="s">
        <v>1948</v>
      </c>
      <c r="E392" s="28" t="s">
        <v>6464</v>
      </c>
      <c r="F392" s="28" t="str">
        <f t="shared" si="35"/>
        <v>21809149Diagnostic Review 17-18</v>
      </c>
      <c r="G392" s="28" t="s">
        <v>6240</v>
      </c>
      <c r="H392" s="28" t="str">
        <f t="shared" si="33"/>
        <v>21809149Diagnostic Review</v>
      </c>
      <c r="I392" s="29">
        <v>2</v>
      </c>
      <c r="J392" s="28" t="str">
        <f t="shared" si="34"/>
        <v>21809149Diagnostic Review2</v>
      </c>
      <c r="K392" s="30">
        <v>52545</v>
      </c>
      <c r="L392" s="30"/>
      <c r="M392" s="30"/>
      <c r="N392" s="30">
        <v>0</v>
      </c>
      <c r="O392" s="30">
        <v>0</v>
      </c>
      <c r="P392" s="30">
        <v>0</v>
      </c>
      <c r="Q392" s="30">
        <v>0</v>
      </c>
      <c r="R392" s="30">
        <v>0</v>
      </c>
      <c r="S392" s="30">
        <v>0</v>
      </c>
      <c r="T392" s="30">
        <v>0</v>
      </c>
      <c r="U392" s="30"/>
      <c r="V392" s="30"/>
      <c r="W392" s="30"/>
      <c r="X392" s="30"/>
      <c r="Y392" t="s">
        <v>6499</v>
      </c>
    </row>
    <row r="393" spans="1:25" x14ac:dyDescent="0.3">
      <c r="A393" s="28" t="s">
        <v>145</v>
      </c>
      <c r="B393" s="28" t="s">
        <v>1947</v>
      </c>
      <c r="C393" s="2" t="s">
        <v>146</v>
      </c>
      <c r="D393" s="2" t="s">
        <v>1948</v>
      </c>
      <c r="E393" s="28" t="s">
        <v>6480</v>
      </c>
      <c r="F393" s="28" t="str">
        <f t="shared" si="35"/>
        <v>21809149Engagement Planning</v>
      </c>
      <c r="G393" s="28" t="s">
        <v>6480</v>
      </c>
      <c r="H393" s="28" t="str">
        <f t="shared" si="33"/>
        <v>21809149Engagement Planning</v>
      </c>
      <c r="I393" s="29">
        <v>2</v>
      </c>
      <c r="J393" s="28" t="str">
        <f t="shared" si="34"/>
        <v>21809149Engagement Planning2</v>
      </c>
      <c r="K393" s="30">
        <v>10478</v>
      </c>
      <c r="L393" s="30"/>
      <c r="M393" s="30"/>
      <c r="N393" s="30">
        <v>0</v>
      </c>
      <c r="O393" s="30">
        <v>0</v>
      </c>
      <c r="P393" s="30">
        <v>0</v>
      </c>
      <c r="Q393" s="30">
        <v>0</v>
      </c>
      <c r="R393" s="30">
        <v>0</v>
      </c>
      <c r="S393" s="30">
        <v>0</v>
      </c>
      <c r="T393" s="30">
        <v>0</v>
      </c>
      <c r="U393" s="30"/>
      <c r="V393" s="30"/>
      <c r="W393" s="30"/>
      <c r="X393" s="30"/>
      <c r="Y393" t="s">
        <v>6499</v>
      </c>
    </row>
    <row r="394" spans="1:25" x14ac:dyDescent="0.3">
      <c r="A394" s="28" t="s">
        <v>145</v>
      </c>
      <c r="B394" s="28" t="s">
        <v>1947</v>
      </c>
      <c r="C394" s="2" t="s">
        <v>146</v>
      </c>
      <c r="D394" s="2" t="s">
        <v>1948</v>
      </c>
      <c r="E394" s="2" t="s">
        <v>6484</v>
      </c>
      <c r="F394" s="28" t="str">
        <f t="shared" si="35"/>
        <v>21809149School Turnaround Leaders Program</v>
      </c>
      <c r="G394" s="2" t="s">
        <v>6241</v>
      </c>
      <c r="H394" s="28" t="str">
        <f t="shared" si="33"/>
        <v>21809149School Turnaround Leadership Development Program</v>
      </c>
      <c r="I394" s="29">
        <v>3</v>
      </c>
      <c r="J394" s="28" t="str">
        <f t="shared" si="34"/>
        <v>21809149School Turnaround Leadership Development Program3</v>
      </c>
      <c r="K394" s="32"/>
      <c r="L394" s="32"/>
      <c r="M394" s="32"/>
      <c r="N394" s="30">
        <v>148512</v>
      </c>
      <c r="O394" s="30"/>
      <c r="P394" s="30"/>
      <c r="Q394" s="30">
        <v>0</v>
      </c>
      <c r="R394" s="30">
        <v>0</v>
      </c>
      <c r="S394" s="30">
        <v>0</v>
      </c>
      <c r="T394" s="30">
        <v>0</v>
      </c>
      <c r="U394" s="30"/>
      <c r="V394" s="30"/>
      <c r="W394" s="30"/>
      <c r="X394" s="30"/>
      <c r="Y394" t="s">
        <v>6499</v>
      </c>
    </row>
    <row r="395" spans="1:25" x14ac:dyDescent="0.3">
      <c r="A395" s="28" t="s">
        <v>145</v>
      </c>
      <c r="B395" s="28" t="s">
        <v>6248</v>
      </c>
      <c r="C395" s="2" t="s">
        <v>146</v>
      </c>
      <c r="D395" s="2" t="s">
        <v>6474</v>
      </c>
      <c r="E395" s="28" t="s">
        <v>6473</v>
      </c>
      <c r="F395" s="28" t="str">
        <f t="shared" si="35"/>
        <v>2180District LevelDistrict Design and Led 17-20</v>
      </c>
      <c r="G395" s="28" t="s">
        <v>6233</v>
      </c>
      <c r="H395" s="28" t="str">
        <f t="shared" si="33"/>
        <v>2180District LevelDistrict Design and Led</v>
      </c>
      <c r="I395" s="29">
        <v>2</v>
      </c>
      <c r="J395" s="28" t="str">
        <f t="shared" si="34"/>
        <v>2180District LevelDistrict Design and Led2</v>
      </c>
      <c r="K395" s="30">
        <v>60894</v>
      </c>
      <c r="L395" s="30">
        <v>75000</v>
      </c>
      <c r="M395" s="30"/>
      <c r="N395" s="30">
        <v>0</v>
      </c>
      <c r="O395" s="30">
        <v>0</v>
      </c>
      <c r="P395" s="30">
        <v>0</v>
      </c>
      <c r="Q395" s="30">
        <v>0</v>
      </c>
      <c r="R395" s="30">
        <v>0</v>
      </c>
      <c r="S395" s="30">
        <v>0</v>
      </c>
      <c r="T395" s="30">
        <v>0</v>
      </c>
      <c r="U395" s="30"/>
      <c r="V395" s="30"/>
      <c r="W395" s="30"/>
      <c r="X395" s="30"/>
      <c r="Y395" t="s">
        <v>6499</v>
      </c>
    </row>
    <row r="396" spans="1:25" x14ac:dyDescent="0.3">
      <c r="A396" s="2" t="s">
        <v>145</v>
      </c>
      <c r="B396" s="28" t="s">
        <v>6248</v>
      </c>
      <c r="C396" s="2" t="s">
        <v>146</v>
      </c>
      <c r="D396" s="2" t="s">
        <v>6474</v>
      </c>
      <c r="E396" s="28" t="s">
        <v>6237</v>
      </c>
      <c r="F396" s="28" t="str">
        <f t="shared" si="35"/>
        <v>2180District LevelTurnaround Network</v>
      </c>
      <c r="G396" s="28" t="s">
        <v>6237</v>
      </c>
      <c r="H396" s="28" t="str">
        <f t="shared" si="33"/>
        <v>2180District LevelTurnaround Network</v>
      </c>
      <c r="I396" s="29">
        <v>2</v>
      </c>
      <c r="J396" s="28" t="str">
        <f t="shared" si="34"/>
        <v>2180District LevelTurnaround Network2</v>
      </c>
      <c r="K396" s="30">
        <v>52843</v>
      </c>
      <c r="L396" s="30"/>
      <c r="M396" s="30"/>
      <c r="N396" s="30">
        <v>0</v>
      </c>
      <c r="O396" s="30">
        <v>94581</v>
      </c>
      <c r="P396" s="30">
        <v>0</v>
      </c>
      <c r="Q396" s="30">
        <v>0</v>
      </c>
      <c r="R396" s="30">
        <v>0</v>
      </c>
      <c r="S396" s="30">
        <v>0</v>
      </c>
      <c r="T396" s="30">
        <v>0</v>
      </c>
      <c r="U396" s="30"/>
      <c r="V396" s="30"/>
      <c r="W396" s="30"/>
      <c r="X396" s="30"/>
      <c r="Y396" t="s">
        <v>6499</v>
      </c>
    </row>
    <row r="397" spans="1:25" x14ac:dyDescent="0.3">
      <c r="A397" s="2" t="s">
        <v>145</v>
      </c>
      <c r="B397" s="28" t="s">
        <v>6248</v>
      </c>
      <c r="C397" s="2" t="s">
        <v>146</v>
      </c>
      <c r="D397" s="2" t="s">
        <v>6474</v>
      </c>
      <c r="E397" s="28" t="s">
        <v>6477</v>
      </c>
      <c r="F397" s="28" t="str">
        <f t="shared" si="35"/>
        <v>2180District LevelDistrict Design and Led 18-21</v>
      </c>
      <c r="G397" s="28" t="s">
        <v>6233</v>
      </c>
      <c r="H397" s="28" t="str">
        <f t="shared" si="33"/>
        <v>2180District LevelDistrict Design and Led</v>
      </c>
      <c r="I397" s="29">
        <v>3</v>
      </c>
      <c r="J397" s="28" t="str">
        <f t="shared" si="34"/>
        <v>2180District LevelDistrict Design and Led3</v>
      </c>
      <c r="K397" s="30"/>
      <c r="L397" s="30">
        <v>223052</v>
      </c>
      <c r="M397" s="30">
        <v>329546</v>
      </c>
      <c r="N397" s="30">
        <v>0</v>
      </c>
      <c r="O397" s="30">
        <v>283624</v>
      </c>
      <c r="P397" s="30">
        <v>0</v>
      </c>
      <c r="Q397" s="30">
        <v>0</v>
      </c>
      <c r="R397" s="30">
        <v>0</v>
      </c>
      <c r="S397" s="30">
        <v>0</v>
      </c>
      <c r="T397" s="30">
        <v>0</v>
      </c>
      <c r="U397" s="30"/>
      <c r="V397" s="30"/>
      <c r="W397" s="30"/>
      <c r="X397" s="30"/>
      <c r="Y397" t="s">
        <v>6499</v>
      </c>
    </row>
    <row r="398" spans="1:25" x14ac:dyDescent="0.3">
      <c r="A398" s="2" t="s">
        <v>145</v>
      </c>
      <c r="B398" s="28" t="s">
        <v>6248</v>
      </c>
      <c r="C398" s="2" t="s">
        <v>146</v>
      </c>
      <c r="D398" s="2" t="s">
        <v>6474</v>
      </c>
      <c r="E398" s="28" t="s">
        <v>6477</v>
      </c>
      <c r="F398" s="28" t="str">
        <f t="shared" si="35"/>
        <v>2180District LevelDistrict Design and Led 18-21</v>
      </c>
      <c r="G398" s="28" t="s">
        <v>6233</v>
      </c>
      <c r="H398" s="28" t="str">
        <f t="shared" si="33"/>
        <v>2180District LevelDistrict Design and Led</v>
      </c>
      <c r="I398" s="29">
        <v>3</v>
      </c>
      <c r="J398" s="28" t="str">
        <f t="shared" si="34"/>
        <v>2180District LevelDistrict Design and Led3</v>
      </c>
      <c r="K398" s="30"/>
      <c r="L398" s="30">
        <v>168349</v>
      </c>
      <c r="M398" s="30"/>
      <c r="N398" s="30">
        <v>0</v>
      </c>
      <c r="O398" s="30">
        <v>0</v>
      </c>
      <c r="P398" s="30">
        <v>0</v>
      </c>
      <c r="Q398" s="30">
        <v>0</v>
      </c>
      <c r="R398" s="30">
        <v>0</v>
      </c>
      <c r="S398" s="30">
        <v>0</v>
      </c>
      <c r="T398" s="30">
        <v>0</v>
      </c>
      <c r="U398" s="30"/>
      <c r="V398" s="30"/>
      <c r="W398" s="30"/>
      <c r="X398" s="30"/>
      <c r="Y398" t="s">
        <v>6499</v>
      </c>
    </row>
    <row r="399" spans="1:25" x14ac:dyDescent="0.3">
      <c r="A399" s="2" t="s">
        <v>145</v>
      </c>
      <c r="B399" s="2" t="s">
        <v>6248</v>
      </c>
      <c r="C399" s="2" t="s">
        <v>146</v>
      </c>
      <c r="D399" s="2" t="s">
        <v>6474</v>
      </c>
      <c r="E399" s="28" t="s">
        <v>6237</v>
      </c>
      <c r="F399" s="28" t="str">
        <f t="shared" si="35"/>
        <v>2180District LevelTurnaround Network</v>
      </c>
      <c r="G399" s="28" t="s">
        <v>6237</v>
      </c>
      <c r="H399" s="28" t="str">
        <f t="shared" si="33"/>
        <v>2180District LevelTurnaround Network</v>
      </c>
      <c r="I399" s="29">
        <v>3</v>
      </c>
      <c r="J399" s="28" t="str">
        <f t="shared" si="34"/>
        <v>2180District LevelTurnaround Network3</v>
      </c>
      <c r="K399" s="30"/>
      <c r="L399" s="30">
        <v>42376</v>
      </c>
      <c r="M399" s="30"/>
      <c r="N399" s="30">
        <v>0</v>
      </c>
      <c r="O399" s="30"/>
      <c r="P399" s="30">
        <v>0</v>
      </c>
      <c r="Q399" s="30">
        <v>0</v>
      </c>
      <c r="R399" s="30">
        <v>0</v>
      </c>
      <c r="S399" s="30">
        <v>0</v>
      </c>
      <c r="T399" s="30">
        <v>0</v>
      </c>
      <c r="U399" s="30"/>
      <c r="V399" s="30"/>
      <c r="W399" s="30"/>
      <c r="X399" s="30"/>
      <c r="Y399" t="s">
        <v>6499</v>
      </c>
    </row>
    <row r="400" spans="1:25" x14ac:dyDescent="0.3">
      <c r="A400" s="2" t="s">
        <v>149</v>
      </c>
      <c r="B400" s="2" t="s">
        <v>151</v>
      </c>
      <c r="C400" s="2" t="s">
        <v>150</v>
      </c>
      <c r="D400" s="2" t="s">
        <v>152</v>
      </c>
      <c r="E400" s="28" t="s">
        <v>6477</v>
      </c>
      <c r="F400" s="28" t="str">
        <f t="shared" si="35"/>
        <v>21906196District Design and Led 18-21</v>
      </c>
      <c r="G400" s="28" t="s">
        <v>6233</v>
      </c>
      <c r="H400" s="28" t="str">
        <f t="shared" si="33"/>
        <v>21906196District Design and Led</v>
      </c>
      <c r="I400" s="29">
        <v>3</v>
      </c>
      <c r="J400" s="28" t="str">
        <f t="shared" si="34"/>
        <v>21906196District Design and Led3</v>
      </c>
      <c r="K400" s="30"/>
      <c r="L400" s="30">
        <v>69390</v>
      </c>
      <c r="M400" s="30"/>
      <c r="N400" s="30">
        <v>0</v>
      </c>
      <c r="O400" s="30">
        <v>0</v>
      </c>
      <c r="P400" s="30">
        <v>62156</v>
      </c>
      <c r="Q400" s="30">
        <v>0</v>
      </c>
      <c r="R400" s="30">
        <v>0</v>
      </c>
      <c r="S400" s="30">
        <v>0</v>
      </c>
      <c r="T400" s="30">
        <v>0</v>
      </c>
      <c r="U400" s="30"/>
      <c r="V400" s="30"/>
      <c r="W400" s="30"/>
      <c r="X400" s="30"/>
      <c r="Y400" t="s">
        <v>6499</v>
      </c>
    </row>
    <row r="401" spans="1:25" x14ac:dyDescent="0.3">
      <c r="A401" s="2" t="s">
        <v>1106</v>
      </c>
      <c r="B401" s="2" t="s">
        <v>1108</v>
      </c>
      <c r="C401" s="2" t="s">
        <v>1107</v>
      </c>
      <c r="D401" s="2" t="s">
        <v>1109</v>
      </c>
      <c r="E401" s="28" t="s">
        <v>6464</v>
      </c>
      <c r="F401" s="28" t="str">
        <f t="shared" si="35"/>
        <v>23951094Diagnostic Review 17-18</v>
      </c>
      <c r="G401" s="28" t="s">
        <v>6240</v>
      </c>
      <c r="H401" s="28" t="str">
        <f t="shared" si="33"/>
        <v>23951094Diagnostic Review</v>
      </c>
      <c r="I401" s="29">
        <v>2</v>
      </c>
      <c r="J401" s="28" t="str">
        <f t="shared" si="34"/>
        <v>23951094Diagnostic Review2</v>
      </c>
      <c r="K401" s="30">
        <v>50000</v>
      </c>
      <c r="L401" s="30"/>
      <c r="M401" s="30"/>
      <c r="N401" s="30">
        <v>0</v>
      </c>
      <c r="O401" s="30">
        <v>0</v>
      </c>
      <c r="P401" s="30">
        <v>0</v>
      </c>
      <c r="Q401" s="30">
        <v>0</v>
      </c>
      <c r="R401" s="30">
        <v>0</v>
      </c>
      <c r="S401" s="30">
        <v>0</v>
      </c>
      <c r="T401" s="30">
        <v>0</v>
      </c>
      <c r="U401" s="30"/>
      <c r="V401" s="30"/>
      <c r="W401" s="30"/>
      <c r="X401" s="30"/>
      <c r="Y401" t="s">
        <v>6499</v>
      </c>
    </row>
    <row r="402" spans="1:25" x14ac:dyDescent="0.3">
      <c r="A402" s="2" t="s">
        <v>1106</v>
      </c>
      <c r="B402" s="2" t="s">
        <v>1108</v>
      </c>
      <c r="C402" s="2" t="s">
        <v>1107</v>
      </c>
      <c r="D402" s="2" t="s">
        <v>1109</v>
      </c>
      <c r="E402" s="28" t="s">
        <v>6477</v>
      </c>
      <c r="F402" s="28" t="str">
        <f t="shared" si="35"/>
        <v>23951094District Design and Led 18-21</v>
      </c>
      <c r="G402" s="28" t="s">
        <v>6233</v>
      </c>
      <c r="H402" s="28" t="str">
        <f t="shared" si="33"/>
        <v>23951094District Design and Led</v>
      </c>
      <c r="I402" s="29">
        <v>2</v>
      </c>
      <c r="J402" s="28" t="str">
        <f t="shared" si="34"/>
        <v>23951094District Design and Led2</v>
      </c>
      <c r="K402" s="30"/>
      <c r="L402" s="30">
        <v>5000</v>
      </c>
      <c r="M402" s="30">
        <v>6195</v>
      </c>
      <c r="N402" s="30">
        <v>0</v>
      </c>
      <c r="O402" s="30">
        <v>530</v>
      </c>
      <c r="P402" s="30">
        <v>0</v>
      </c>
      <c r="Q402" s="30">
        <v>0</v>
      </c>
      <c r="R402" s="30">
        <v>0</v>
      </c>
      <c r="S402" s="30">
        <v>0</v>
      </c>
      <c r="T402" s="30">
        <v>0</v>
      </c>
      <c r="U402" s="30"/>
      <c r="V402" s="30"/>
      <c r="W402" s="30"/>
      <c r="X402" s="30"/>
      <c r="Y402" t="s">
        <v>6499</v>
      </c>
    </row>
    <row r="403" spans="1:25" x14ac:dyDescent="0.3">
      <c r="A403" s="2" t="s">
        <v>1106</v>
      </c>
      <c r="B403" s="2" t="s">
        <v>5581</v>
      </c>
      <c r="C403" s="2" t="s">
        <v>1107</v>
      </c>
      <c r="D403" s="2" t="s">
        <v>5582</v>
      </c>
      <c r="E403" s="28" t="s">
        <v>6464</v>
      </c>
      <c r="F403" s="28" t="str">
        <f t="shared" si="35"/>
        <v>23951096Diagnostic Review 17-18</v>
      </c>
      <c r="G403" s="28" t="s">
        <v>6240</v>
      </c>
      <c r="H403" s="28" t="str">
        <f t="shared" si="33"/>
        <v>23951096Diagnostic Review</v>
      </c>
      <c r="I403" s="29">
        <v>2</v>
      </c>
      <c r="J403" s="28" t="str">
        <f t="shared" si="34"/>
        <v>23951096Diagnostic Review2</v>
      </c>
      <c r="K403" s="30">
        <v>50000</v>
      </c>
      <c r="L403" s="30"/>
      <c r="M403" s="30"/>
      <c r="N403" s="30">
        <v>0</v>
      </c>
      <c r="O403" s="30">
        <v>0</v>
      </c>
      <c r="P403" s="30">
        <v>0</v>
      </c>
      <c r="Q403" s="30">
        <v>0</v>
      </c>
      <c r="R403" s="30">
        <v>0</v>
      </c>
      <c r="S403" s="30">
        <v>0</v>
      </c>
      <c r="T403" s="30">
        <v>0</v>
      </c>
      <c r="U403" s="30"/>
      <c r="V403" s="30"/>
      <c r="W403" s="30"/>
      <c r="X403" s="30"/>
      <c r="Y403" t="s">
        <v>6499</v>
      </c>
    </row>
    <row r="404" spans="1:25" x14ac:dyDescent="0.3">
      <c r="A404" s="2" t="s">
        <v>1106</v>
      </c>
      <c r="B404" s="2" t="s">
        <v>5581</v>
      </c>
      <c r="C404" s="2" t="s">
        <v>1107</v>
      </c>
      <c r="D404" s="2" t="s">
        <v>5582</v>
      </c>
      <c r="E404" s="28" t="s">
        <v>6477</v>
      </c>
      <c r="F404" s="28" t="str">
        <f t="shared" si="35"/>
        <v>23951096District Design and Led 18-21</v>
      </c>
      <c r="G404" s="28" t="s">
        <v>6233</v>
      </c>
      <c r="H404" s="28" t="str">
        <f t="shared" si="33"/>
        <v>23951096District Design and Led</v>
      </c>
      <c r="I404" s="29">
        <v>2</v>
      </c>
      <c r="J404" s="28" t="str">
        <f t="shared" si="34"/>
        <v>23951096District Design and Led2</v>
      </c>
      <c r="K404" s="30"/>
      <c r="L404" s="30">
        <v>10235</v>
      </c>
      <c r="M404" s="30">
        <v>15230</v>
      </c>
      <c r="N404" s="30">
        <v>0</v>
      </c>
      <c r="O404" s="30">
        <v>11310</v>
      </c>
      <c r="P404" s="30">
        <v>0</v>
      </c>
      <c r="Q404" s="30">
        <v>0</v>
      </c>
      <c r="R404" s="30">
        <v>0</v>
      </c>
      <c r="S404" s="30">
        <v>0</v>
      </c>
      <c r="T404" s="30">
        <v>0</v>
      </c>
      <c r="U404" s="30"/>
      <c r="V404" s="30"/>
      <c r="W404" s="30"/>
      <c r="X404" s="30"/>
      <c r="Y404" t="s">
        <v>6499</v>
      </c>
    </row>
    <row r="405" spans="1:25" x14ac:dyDescent="0.3">
      <c r="A405" s="2" t="s">
        <v>1106</v>
      </c>
      <c r="B405" s="2" t="s">
        <v>4188</v>
      </c>
      <c r="C405" s="2" t="s">
        <v>1107</v>
      </c>
      <c r="D405" s="2" t="s">
        <v>4189</v>
      </c>
      <c r="E405" s="28" t="s">
        <v>6464</v>
      </c>
      <c r="F405" s="28" t="str">
        <f t="shared" si="35"/>
        <v>23951438Diagnostic Review 17-18</v>
      </c>
      <c r="G405" s="28" t="s">
        <v>6240</v>
      </c>
      <c r="H405" s="28" t="str">
        <f t="shared" si="33"/>
        <v>23951438Diagnostic Review</v>
      </c>
      <c r="I405" s="29">
        <v>2</v>
      </c>
      <c r="J405" s="28" t="str">
        <f t="shared" si="34"/>
        <v>23951438Diagnostic Review2</v>
      </c>
      <c r="K405" s="30">
        <v>50000</v>
      </c>
      <c r="L405" s="30"/>
      <c r="M405" s="30"/>
      <c r="N405" s="30">
        <v>0</v>
      </c>
      <c r="O405" s="30">
        <v>0</v>
      </c>
      <c r="P405" s="30">
        <v>0</v>
      </c>
      <c r="Q405" s="30">
        <v>0</v>
      </c>
      <c r="R405" s="30">
        <v>0</v>
      </c>
      <c r="S405" s="30">
        <v>0</v>
      </c>
      <c r="T405" s="30">
        <v>0</v>
      </c>
      <c r="U405" s="30"/>
      <c r="V405" s="30"/>
      <c r="W405" s="30"/>
      <c r="X405" s="30"/>
      <c r="Y405" t="s">
        <v>6499</v>
      </c>
    </row>
    <row r="406" spans="1:25" x14ac:dyDescent="0.3">
      <c r="A406" s="2" t="s">
        <v>1106</v>
      </c>
      <c r="B406" s="28" t="s">
        <v>4188</v>
      </c>
      <c r="C406" s="2" t="s">
        <v>1107</v>
      </c>
      <c r="D406" s="2" t="s">
        <v>4189</v>
      </c>
      <c r="E406" s="28" t="s">
        <v>6477</v>
      </c>
      <c r="F406" s="28" t="str">
        <f t="shared" si="35"/>
        <v>23951438District Design and Led 18-21</v>
      </c>
      <c r="G406" s="28" t="s">
        <v>6233</v>
      </c>
      <c r="H406" s="28" t="str">
        <f t="shared" si="33"/>
        <v>23951438District Design and Led</v>
      </c>
      <c r="I406" s="29">
        <v>2</v>
      </c>
      <c r="J406" s="28" t="str">
        <f t="shared" si="34"/>
        <v>23951438District Design and Led2</v>
      </c>
      <c r="K406" s="30"/>
      <c r="L406" s="30"/>
      <c r="M406" s="30">
        <v>22600</v>
      </c>
      <c r="N406" s="30">
        <v>0</v>
      </c>
      <c r="O406" s="30">
        <v>14365</v>
      </c>
      <c r="P406" s="30">
        <v>0</v>
      </c>
      <c r="Q406" s="30">
        <v>0</v>
      </c>
      <c r="R406" s="30">
        <v>0</v>
      </c>
      <c r="S406" s="30">
        <v>0</v>
      </c>
      <c r="T406" s="30">
        <v>0</v>
      </c>
      <c r="U406" s="30"/>
      <c r="V406" s="30"/>
      <c r="W406" s="30"/>
      <c r="X406" s="30"/>
      <c r="Y406" t="s">
        <v>6499</v>
      </c>
    </row>
    <row r="407" spans="1:25" x14ac:dyDescent="0.3">
      <c r="A407" s="2" t="s">
        <v>1106</v>
      </c>
      <c r="B407" s="2" t="s">
        <v>3396</v>
      </c>
      <c r="C407" s="2" t="s">
        <v>1107</v>
      </c>
      <c r="D407" s="2" t="s">
        <v>3397</v>
      </c>
      <c r="E407" s="28" t="s">
        <v>6477</v>
      </c>
      <c r="F407" s="28" t="str">
        <f t="shared" si="35"/>
        <v>23958832District Design and Led 18-21</v>
      </c>
      <c r="G407" s="28" t="s">
        <v>6233</v>
      </c>
      <c r="H407" s="28" t="str">
        <f t="shared" si="33"/>
        <v>23958832District Design and Led</v>
      </c>
      <c r="I407" s="29">
        <v>2</v>
      </c>
      <c r="J407" s="28" t="str">
        <f t="shared" si="34"/>
        <v>23958832District Design and Led2</v>
      </c>
      <c r="K407" s="30"/>
      <c r="L407" s="30">
        <v>10000</v>
      </c>
      <c r="M407" s="30">
        <v>26600</v>
      </c>
      <c r="N407" s="30">
        <v>0</v>
      </c>
      <c r="O407" s="30">
        <v>17791</v>
      </c>
      <c r="P407" s="30">
        <v>0</v>
      </c>
      <c r="Q407" s="30">
        <v>0</v>
      </c>
      <c r="R407" s="30">
        <v>0</v>
      </c>
      <c r="S407" s="30">
        <v>0</v>
      </c>
      <c r="T407" s="30">
        <v>0</v>
      </c>
      <c r="U407" s="30"/>
      <c r="V407" s="30"/>
      <c r="W407" s="30"/>
      <c r="X407" s="30"/>
      <c r="Y407" t="s">
        <v>6499</v>
      </c>
    </row>
    <row r="408" spans="1:25" x14ac:dyDescent="0.3">
      <c r="A408" s="2" t="s">
        <v>1106</v>
      </c>
      <c r="B408" s="28" t="s">
        <v>6248</v>
      </c>
      <c r="C408" s="2" t="s">
        <v>1107</v>
      </c>
      <c r="D408" s="2" t="s">
        <v>6474</v>
      </c>
      <c r="E408" s="28" t="s">
        <v>6461</v>
      </c>
      <c r="F408" s="28" t="str">
        <f t="shared" si="35"/>
        <v>2395District LevelConsultation 17-18</v>
      </c>
      <c r="G408" s="28" t="s">
        <v>6239</v>
      </c>
      <c r="H408" s="28" t="str">
        <f t="shared" si="33"/>
        <v>2395District LevelConsultation</v>
      </c>
      <c r="I408" s="29">
        <v>1</v>
      </c>
      <c r="J408" s="28" t="str">
        <f t="shared" si="34"/>
        <v>2395District LevelConsultation1</v>
      </c>
      <c r="K408" s="30">
        <v>15000</v>
      </c>
      <c r="L408" s="30"/>
      <c r="M408" s="30"/>
      <c r="N408" s="30">
        <v>0</v>
      </c>
      <c r="O408" s="30" t="s">
        <v>6462</v>
      </c>
      <c r="P408" s="30" t="s">
        <v>6462</v>
      </c>
      <c r="Q408" s="30">
        <v>0</v>
      </c>
      <c r="R408" s="30">
        <v>0</v>
      </c>
      <c r="S408" s="30">
        <v>0</v>
      </c>
      <c r="T408" s="30">
        <v>0</v>
      </c>
      <c r="U408" s="30"/>
      <c r="V408" s="30"/>
      <c r="W408" s="30"/>
      <c r="X408" s="30"/>
      <c r="Y408" t="s">
        <v>6499</v>
      </c>
    </row>
    <row r="409" spans="1:25" x14ac:dyDescent="0.3">
      <c r="A409" s="2" t="s">
        <v>1106</v>
      </c>
      <c r="B409" s="28" t="s">
        <v>6248</v>
      </c>
      <c r="C409" s="2" t="s">
        <v>1107</v>
      </c>
      <c r="D409" s="2" t="s">
        <v>6474</v>
      </c>
      <c r="E409" s="28" t="s">
        <v>6477</v>
      </c>
      <c r="F409" s="28" t="str">
        <f t="shared" si="35"/>
        <v>2395District LevelDistrict Design and Led 18-21</v>
      </c>
      <c r="G409" s="28" t="s">
        <v>6233</v>
      </c>
      <c r="H409" s="28" t="str">
        <f t="shared" si="33"/>
        <v>2395District LevelDistrict Design and Led</v>
      </c>
      <c r="I409" s="29">
        <v>2</v>
      </c>
      <c r="J409" s="28" t="str">
        <f t="shared" si="34"/>
        <v>2395District LevelDistrict Design and Led2</v>
      </c>
      <c r="K409" s="30"/>
      <c r="L409" s="30">
        <v>24200</v>
      </c>
      <c r="M409" s="30">
        <v>79800</v>
      </c>
      <c r="N409" s="30">
        <v>0</v>
      </c>
      <c r="O409" s="30">
        <v>88179</v>
      </c>
      <c r="P409" s="30">
        <v>0</v>
      </c>
      <c r="Q409" s="30">
        <v>0</v>
      </c>
      <c r="R409" s="30">
        <v>0</v>
      </c>
      <c r="S409" s="30">
        <v>0</v>
      </c>
      <c r="T409" s="30">
        <v>0</v>
      </c>
      <c r="U409" s="30"/>
      <c r="V409" s="30"/>
      <c r="W409" s="30"/>
      <c r="X409" s="30"/>
      <c r="Y409" t="s">
        <v>6499</v>
      </c>
    </row>
    <row r="410" spans="1:25" x14ac:dyDescent="0.3">
      <c r="A410" s="28" t="s">
        <v>154</v>
      </c>
      <c r="B410" s="28" t="s">
        <v>4868</v>
      </c>
      <c r="C410" s="2" t="s">
        <v>155</v>
      </c>
      <c r="D410" s="2" t="s">
        <v>4869</v>
      </c>
      <c r="E410" s="28" t="s">
        <v>6238</v>
      </c>
      <c r="F410" s="28" t="str">
        <f t="shared" si="35"/>
        <v>24055180AEC Pilot</v>
      </c>
      <c r="G410" s="28" t="s">
        <v>6238</v>
      </c>
      <c r="H410" s="28" t="str">
        <f t="shared" si="33"/>
        <v>24055180AEC Pilot</v>
      </c>
      <c r="I410" s="29">
        <v>2</v>
      </c>
      <c r="J410" s="28" t="str">
        <f t="shared" si="34"/>
        <v>24055180AEC Pilot2</v>
      </c>
      <c r="K410" s="30"/>
      <c r="L410" s="30">
        <v>9006</v>
      </c>
      <c r="M410" s="30">
        <v>38607</v>
      </c>
      <c r="N410" s="30">
        <v>0</v>
      </c>
      <c r="O410" s="30">
        <v>11775</v>
      </c>
      <c r="P410" s="30">
        <v>0</v>
      </c>
      <c r="Q410" s="30">
        <v>0</v>
      </c>
      <c r="R410" s="30">
        <v>0</v>
      </c>
      <c r="S410" s="30">
        <v>0</v>
      </c>
      <c r="T410" s="30">
        <v>0</v>
      </c>
      <c r="U410" s="30"/>
      <c r="V410" s="30"/>
      <c r="W410" s="30"/>
      <c r="X410" s="30"/>
      <c r="Y410" t="s">
        <v>6499</v>
      </c>
    </row>
    <row r="411" spans="1:25" x14ac:dyDescent="0.3">
      <c r="A411" s="28" t="s">
        <v>154</v>
      </c>
      <c r="B411" s="28" t="s">
        <v>4868</v>
      </c>
      <c r="C411" s="2" t="s">
        <v>155</v>
      </c>
      <c r="D411" s="2" t="s">
        <v>4869</v>
      </c>
      <c r="E411" s="28" t="s">
        <v>6457</v>
      </c>
      <c r="F411" s="28" t="str">
        <f t="shared" si="35"/>
        <v>24055180OfferedServices</v>
      </c>
      <c r="G411" s="2" t="s">
        <v>6241</v>
      </c>
      <c r="H411" s="28" t="str">
        <f t="shared" si="33"/>
        <v>24055180School Turnaround Leadership Development Program</v>
      </c>
      <c r="I411" s="29">
        <v>5</v>
      </c>
      <c r="J411" s="28" t="str">
        <f t="shared" si="34"/>
        <v>24055180School Turnaround Leadership Development Program5</v>
      </c>
      <c r="K411" s="30">
        <v>0</v>
      </c>
      <c r="L411" s="30">
        <v>0</v>
      </c>
      <c r="M411" s="30">
        <v>0</v>
      </c>
      <c r="N411" s="30">
        <v>0</v>
      </c>
      <c r="O411" s="30">
        <v>0</v>
      </c>
      <c r="P411" s="30">
        <v>0</v>
      </c>
      <c r="Q411" s="30">
        <v>0</v>
      </c>
      <c r="R411" s="30">
        <v>0</v>
      </c>
      <c r="S411" s="30">
        <v>0</v>
      </c>
      <c r="T411" s="30">
        <v>0</v>
      </c>
      <c r="U411" s="30">
        <v>47350</v>
      </c>
      <c r="V411" s="30">
        <v>79500</v>
      </c>
      <c r="W411" s="30">
        <v>23150</v>
      </c>
      <c r="X411" s="30">
        <v>0</v>
      </c>
      <c r="Y411" t="s">
        <v>6500</v>
      </c>
    </row>
    <row r="412" spans="1:25" x14ac:dyDescent="0.3">
      <c r="A412" s="28" t="s">
        <v>159</v>
      </c>
      <c r="B412" s="28" t="s">
        <v>3402</v>
      </c>
      <c r="C412" s="2" t="s">
        <v>160</v>
      </c>
      <c r="D412" s="2" t="s">
        <v>3403</v>
      </c>
      <c r="E412" s="28" t="s">
        <v>6459</v>
      </c>
      <c r="F412" s="28" t="str">
        <f t="shared" si="35"/>
        <v>25204841Connect For Success 19-22</v>
      </c>
      <c r="G412" s="28" t="s">
        <v>6234</v>
      </c>
      <c r="H412" s="28" t="str">
        <f t="shared" si="33"/>
        <v>25204841Connect For Success</v>
      </c>
      <c r="I412" s="29">
        <v>3</v>
      </c>
      <c r="J412" s="28" t="str">
        <f t="shared" si="34"/>
        <v>25204841Connect For Success3</v>
      </c>
      <c r="K412" s="30"/>
      <c r="L412" s="30"/>
      <c r="M412" s="30"/>
      <c r="N412" s="30">
        <v>21418</v>
      </c>
      <c r="O412" s="30">
        <v>0</v>
      </c>
      <c r="P412" s="30">
        <v>80000</v>
      </c>
      <c r="Q412" s="30">
        <v>0</v>
      </c>
      <c r="R412" s="30">
        <v>0</v>
      </c>
      <c r="S412" s="30">
        <v>87624</v>
      </c>
      <c r="T412" s="30">
        <v>0</v>
      </c>
      <c r="U412" s="30"/>
      <c r="V412" s="30"/>
      <c r="W412" s="30"/>
      <c r="X412" s="30"/>
      <c r="Y412" t="s">
        <v>6499</v>
      </c>
    </row>
    <row r="413" spans="1:25" x14ac:dyDescent="0.3">
      <c r="A413" s="28" t="s">
        <v>159</v>
      </c>
      <c r="B413" s="2" t="s">
        <v>161</v>
      </c>
      <c r="C413" s="2" t="s">
        <v>160</v>
      </c>
      <c r="D413" s="2" t="s">
        <v>162</v>
      </c>
      <c r="E413" s="28" t="s">
        <v>6459</v>
      </c>
      <c r="F413" s="28" t="str">
        <f t="shared" si="35"/>
        <v>25204843Connect For Success 19-22</v>
      </c>
      <c r="G413" s="28" t="s">
        <v>6234</v>
      </c>
      <c r="H413" s="28" t="str">
        <f t="shared" si="33"/>
        <v>25204843Connect For Success</v>
      </c>
      <c r="I413" s="29">
        <v>3</v>
      </c>
      <c r="J413" s="28" t="str">
        <f t="shared" si="34"/>
        <v>25204843Connect For Success3</v>
      </c>
      <c r="K413" s="30"/>
      <c r="L413" s="30"/>
      <c r="M413" s="30"/>
      <c r="N413" s="30">
        <v>21418</v>
      </c>
      <c r="O413" s="30">
        <v>0</v>
      </c>
      <c r="P413" s="30">
        <v>80000</v>
      </c>
      <c r="Q413" s="30">
        <v>0</v>
      </c>
      <c r="R413" s="30">
        <v>0</v>
      </c>
      <c r="S413" s="30">
        <v>87624</v>
      </c>
      <c r="T413" s="30">
        <v>0</v>
      </c>
      <c r="U413" s="30"/>
      <c r="V413" s="30"/>
      <c r="W413" s="30"/>
      <c r="X413" s="30"/>
      <c r="Y413" t="s">
        <v>6499</v>
      </c>
    </row>
    <row r="414" spans="1:25" x14ac:dyDescent="0.3">
      <c r="A414" s="28" t="s">
        <v>159</v>
      </c>
      <c r="B414" s="28" t="s">
        <v>6248</v>
      </c>
      <c r="C414" s="2" t="s">
        <v>160</v>
      </c>
      <c r="D414" s="2" t="s">
        <v>6474</v>
      </c>
      <c r="E414" s="28" t="s">
        <v>6475</v>
      </c>
      <c r="F414" s="28" t="str">
        <f t="shared" si="35"/>
        <v>2520District LevelDDL</v>
      </c>
      <c r="G414" s="28" t="s">
        <v>6233</v>
      </c>
      <c r="H414" s="28" t="str">
        <f t="shared" si="33"/>
        <v>2520District LevelDistrict Design and Led</v>
      </c>
      <c r="I414" s="29">
        <v>5</v>
      </c>
      <c r="J414" s="28" t="str">
        <f t="shared" si="34"/>
        <v>2520District LevelDistrict Design and Led5</v>
      </c>
      <c r="K414" s="30">
        <v>0</v>
      </c>
      <c r="L414" s="30">
        <v>0</v>
      </c>
      <c r="M414" s="30">
        <v>0</v>
      </c>
      <c r="N414" s="30">
        <v>0</v>
      </c>
      <c r="O414" s="30">
        <v>0</v>
      </c>
      <c r="P414" s="30">
        <v>0</v>
      </c>
      <c r="Q414" s="30">
        <v>0</v>
      </c>
      <c r="R414" s="30">
        <v>0</v>
      </c>
      <c r="S414" s="30">
        <v>0</v>
      </c>
      <c r="T414" s="30">
        <v>0</v>
      </c>
      <c r="U414" s="30">
        <v>12500</v>
      </c>
      <c r="V414" s="30">
        <v>80000</v>
      </c>
      <c r="W414" s="30">
        <v>59000</v>
      </c>
      <c r="X414" s="30">
        <v>0</v>
      </c>
      <c r="Y414" t="s">
        <v>6499</v>
      </c>
    </row>
    <row r="415" spans="1:25" x14ac:dyDescent="0.3">
      <c r="A415" s="2" t="s">
        <v>2412</v>
      </c>
      <c r="B415" s="2" t="s">
        <v>2414</v>
      </c>
      <c r="C415" s="2" t="s">
        <v>2413</v>
      </c>
      <c r="D415" s="2" t="s">
        <v>2415</v>
      </c>
      <c r="E415" s="28" t="s">
        <v>6464</v>
      </c>
      <c r="F415" s="28" t="str">
        <f t="shared" si="35"/>
        <v>26007046Diagnostic Review 17-18</v>
      </c>
      <c r="G415" s="28" t="s">
        <v>6240</v>
      </c>
      <c r="H415" s="28" t="str">
        <f t="shared" si="33"/>
        <v>26007046Diagnostic Review</v>
      </c>
      <c r="I415" s="29">
        <v>2</v>
      </c>
      <c r="J415" s="28" t="str">
        <f t="shared" si="34"/>
        <v>26007046Diagnostic Review2</v>
      </c>
      <c r="K415" s="30">
        <v>19500</v>
      </c>
      <c r="L415" s="30"/>
      <c r="M415" s="30"/>
      <c r="N415" s="30">
        <v>0</v>
      </c>
      <c r="O415" s="30">
        <v>0</v>
      </c>
      <c r="P415" s="30">
        <v>0</v>
      </c>
      <c r="Q415" s="30">
        <v>0</v>
      </c>
      <c r="R415" s="30">
        <v>0</v>
      </c>
      <c r="S415" s="30">
        <v>0</v>
      </c>
      <c r="T415" s="30">
        <v>0</v>
      </c>
      <c r="U415" s="30"/>
      <c r="V415" s="30"/>
      <c r="W415" s="30"/>
      <c r="X415" s="30"/>
      <c r="Y415" t="s">
        <v>6499</v>
      </c>
    </row>
    <row r="416" spans="1:25" x14ac:dyDescent="0.3">
      <c r="A416" s="2" t="s">
        <v>832</v>
      </c>
      <c r="B416" s="2" t="s">
        <v>5381</v>
      </c>
      <c r="C416" s="2" t="s">
        <v>833</v>
      </c>
      <c r="D416" s="2" t="s">
        <v>5382</v>
      </c>
      <c r="E416" s="28" t="s">
        <v>6463</v>
      </c>
      <c r="F416" s="28" t="str">
        <f t="shared" si="35"/>
        <v>26400430Diagnostic Review 18-19</v>
      </c>
      <c r="G416" s="28" t="s">
        <v>6240</v>
      </c>
      <c r="H416" s="28" t="str">
        <f t="shared" si="33"/>
        <v>26400430Diagnostic Review</v>
      </c>
      <c r="I416" s="29">
        <v>3</v>
      </c>
      <c r="J416" s="28" t="str">
        <f t="shared" si="34"/>
        <v>26400430Diagnostic Review3</v>
      </c>
      <c r="K416" s="30"/>
      <c r="L416" s="30">
        <v>63562</v>
      </c>
      <c r="M416" s="30"/>
      <c r="N416" s="30">
        <v>0</v>
      </c>
      <c r="O416" s="30">
        <v>0</v>
      </c>
      <c r="P416" s="30">
        <v>0</v>
      </c>
      <c r="Q416" s="30">
        <v>0</v>
      </c>
      <c r="R416" s="30">
        <v>0</v>
      </c>
      <c r="S416" s="30">
        <v>0</v>
      </c>
      <c r="T416" s="30">
        <v>0</v>
      </c>
      <c r="U416" s="30"/>
      <c r="V416" s="30"/>
      <c r="W416" s="30"/>
      <c r="X416" s="30"/>
      <c r="Y416" t="s">
        <v>6499</v>
      </c>
    </row>
    <row r="417" spans="1:25" x14ac:dyDescent="0.3">
      <c r="A417" s="2" t="s">
        <v>832</v>
      </c>
      <c r="B417" s="28" t="s">
        <v>6248</v>
      </c>
      <c r="C417" s="2" t="s">
        <v>833</v>
      </c>
      <c r="D417" s="2" t="s">
        <v>6474</v>
      </c>
      <c r="E417" s="2" t="s">
        <v>6457</v>
      </c>
      <c r="F417" s="28" t="s">
        <v>6235</v>
      </c>
      <c r="G417" s="2" t="s">
        <v>6235</v>
      </c>
      <c r="H417" s="28" t="str">
        <f t="shared" si="33"/>
        <v>2640District LevelMTSS</v>
      </c>
      <c r="I417" s="29">
        <v>4</v>
      </c>
      <c r="J417" s="28" t="str">
        <f t="shared" si="34"/>
        <v>2640District LevelMTSS4</v>
      </c>
      <c r="K417" s="32"/>
      <c r="L417" s="32"/>
      <c r="M417" s="32"/>
      <c r="N417" s="30"/>
      <c r="O417" s="30"/>
      <c r="P417" s="30"/>
      <c r="Q417" s="30">
        <v>5000</v>
      </c>
      <c r="R417" s="30">
        <v>0</v>
      </c>
      <c r="S417" s="30">
        <v>0</v>
      </c>
      <c r="T417" s="30">
        <v>65000</v>
      </c>
      <c r="U417" s="30"/>
      <c r="V417" s="30"/>
      <c r="W417" s="30"/>
      <c r="X417" s="30"/>
      <c r="Y417" t="s">
        <v>6499</v>
      </c>
    </row>
    <row r="418" spans="1:25" x14ac:dyDescent="0.3">
      <c r="A418" s="2" t="s">
        <v>85</v>
      </c>
      <c r="B418" s="28" t="s">
        <v>5559</v>
      </c>
      <c r="C418" s="2" t="s">
        <v>86</v>
      </c>
      <c r="D418" s="2" t="s">
        <v>5560</v>
      </c>
      <c r="E418" s="28" t="s">
        <v>6478</v>
      </c>
      <c r="F418" s="28" t="str">
        <f>A418&amp;B418&amp;E418</f>
        <v>26900756District Design and Led 19-22</v>
      </c>
      <c r="G418" s="28" t="s">
        <v>6233</v>
      </c>
      <c r="H418" s="28" t="str">
        <f t="shared" si="33"/>
        <v>26900756District Design and Led</v>
      </c>
      <c r="I418" s="29">
        <v>3</v>
      </c>
      <c r="J418" s="28" t="str">
        <f t="shared" si="34"/>
        <v>26900756District Design and Led3</v>
      </c>
      <c r="K418" s="30"/>
      <c r="L418" s="30"/>
      <c r="M418" s="30"/>
      <c r="N418" s="30">
        <v>4791</v>
      </c>
      <c r="O418" s="30">
        <v>0</v>
      </c>
      <c r="P418" s="30">
        <v>38500</v>
      </c>
      <c r="Q418" s="30">
        <v>0</v>
      </c>
      <c r="R418" s="30">
        <v>0</v>
      </c>
      <c r="S418" s="30">
        <v>11394.6</v>
      </c>
      <c r="T418" s="30">
        <v>0</v>
      </c>
      <c r="U418" s="30"/>
      <c r="V418" s="30"/>
      <c r="W418" s="30"/>
      <c r="X418" s="30"/>
      <c r="Y418" t="s">
        <v>6499</v>
      </c>
    </row>
    <row r="419" spans="1:25" x14ac:dyDescent="0.3">
      <c r="A419" s="28" t="s">
        <v>85</v>
      </c>
      <c r="B419" s="28" t="s">
        <v>5559</v>
      </c>
      <c r="C419" s="2" t="s">
        <v>86</v>
      </c>
      <c r="D419" s="2" t="s">
        <v>5560</v>
      </c>
      <c r="E419" s="28" t="s">
        <v>6457</v>
      </c>
      <c r="F419" s="28" t="str">
        <f>A419&amp;B419&amp;E419</f>
        <v>26900756OfferedServices</v>
      </c>
      <c r="G419" s="2" t="s">
        <v>6241</v>
      </c>
      <c r="H419" s="28" t="str">
        <f t="shared" si="33"/>
        <v>26900756School Turnaround Leadership Development Program</v>
      </c>
      <c r="I419" s="29">
        <v>5</v>
      </c>
      <c r="J419" s="28" t="str">
        <f t="shared" si="34"/>
        <v>26900756School Turnaround Leadership Development Program5</v>
      </c>
      <c r="K419" s="30">
        <v>0</v>
      </c>
      <c r="L419" s="30">
        <v>0</v>
      </c>
      <c r="M419" s="30">
        <v>0</v>
      </c>
      <c r="N419" s="30">
        <v>0</v>
      </c>
      <c r="O419" s="30">
        <v>0</v>
      </c>
      <c r="P419" s="30">
        <v>0</v>
      </c>
      <c r="Q419" s="30">
        <v>0</v>
      </c>
      <c r="R419" s="30">
        <v>0</v>
      </c>
      <c r="S419" s="30">
        <v>0</v>
      </c>
      <c r="T419" s="30">
        <v>0</v>
      </c>
      <c r="U419" s="30">
        <v>23900</v>
      </c>
      <c r="V419" s="30">
        <v>0</v>
      </c>
      <c r="W419" s="30">
        <v>0</v>
      </c>
      <c r="X419" s="30">
        <v>0</v>
      </c>
      <c r="Y419" t="s">
        <v>6500</v>
      </c>
    </row>
    <row r="420" spans="1:25" x14ac:dyDescent="0.3">
      <c r="A420" s="2" t="s">
        <v>85</v>
      </c>
      <c r="B420" s="2" t="s">
        <v>1063</v>
      </c>
      <c r="C420" s="2" t="s">
        <v>86</v>
      </c>
      <c r="D420" s="2" t="s">
        <v>1064</v>
      </c>
      <c r="E420" s="28" t="s">
        <v>6478</v>
      </c>
      <c r="F420" s="28" t="str">
        <f>A420&amp;B420&amp;E420</f>
        <v>26900822District Design and Led 19-22</v>
      </c>
      <c r="G420" s="28" t="s">
        <v>6233</v>
      </c>
      <c r="H420" s="28" t="str">
        <f t="shared" si="33"/>
        <v>26900822District Design and Led</v>
      </c>
      <c r="I420" s="29">
        <v>3</v>
      </c>
      <c r="J420" s="28" t="str">
        <f t="shared" si="34"/>
        <v>26900822District Design and Led3</v>
      </c>
      <c r="K420" s="30"/>
      <c r="L420" s="30"/>
      <c r="M420" s="30"/>
      <c r="N420" s="30">
        <v>4791</v>
      </c>
      <c r="O420" s="30">
        <v>0</v>
      </c>
      <c r="P420" s="30">
        <v>38500</v>
      </c>
      <c r="Q420" s="30">
        <v>0</v>
      </c>
      <c r="R420" s="30">
        <v>0</v>
      </c>
      <c r="S420" s="30">
        <v>11394.6</v>
      </c>
      <c r="T420" s="30">
        <v>0</v>
      </c>
      <c r="U420" s="30"/>
      <c r="V420" s="30"/>
      <c r="W420" s="30"/>
      <c r="X420" s="30"/>
      <c r="Y420" t="s">
        <v>6499</v>
      </c>
    </row>
    <row r="421" spans="1:25" x14ac:dyDescent="0.3">
      <c r="A421" s="2" t="s">
        <v>85</v>
      </c>
      <c r="B421" s="2" t="s">
        <v>1063</v>
      </c>
      <c r="C421" s="2" t="s">
        <v>86</v>
      </c>
      <c r="D421" s="2" t="s">
        <v>1064</v>
      </c>
      <c r="E421" s="28" t="s">
        <v>6475</v>
      </c>
      <c r="F421" s="28" t="s">
        <v>6476</v>
      </c>
      <c r="G421" s="28" t="s">
        <v>6233</v>
      </c>
      <c r="H421" s="28" t="str">
        <f t="shared" si="33"/>
        <v>26900822District Design and Led</v>
      </c>
      <c r="I421" s="29">
        <v>4</v>
      </c>
      <c r="J421" s="28" t="str">
        <f t="shared" si="34"/>
        <v>26900822District Design and Led4</v>
      </c>
      <c r="K421" s="30"/>
      <c r="L421" s="30"/>
      <c r="M421" s="30"/>
      <c r="N421" s="30"/>
      <c r="O421" s="30"/>
      <c r="P421" s="30"/>
      <c r="Q421" s="30"/>
      <c r="R421" s="30">
        <v>0</v>
      </c>
      <c r="S421" s="30">
        <v>0</v>
      </c>
      <c r="T421" s="30">
        <v>10400</v>
      </c>
      <c r="U421" s="30"/>
      <c r="V421" s="30"/>
      <c r="W421" s="30"/>
      <c r="X421" s="30"/>
      <c r="Y421" t="s">
        <v>6499</v>
      </c>
    </row>
    <row r="422" spans="1:25" x14ac:dyDescent="0.3">
      <c r="A422" s="28" t="s">
        <v>85</v>
      </c>
      <c r="B422" s="28" t="s">
        <v>4846</v>
      </c>
      <c r="C422" s="2" t="s">
        <v>86</v>
      </c>
      <c r="D422" s="2" t="s">
        <v>4847</v>
      </c>
      <c r="E422" s="28" t="s">
        <v>6457</v>
      </c>
      <c r="F422" s="28" t="str">
        <f t="shared" ref="F422:F436" si="36">A422&amp;B422&amp;E422</f>
        <v>26900954OfferedServices</v>
      </c>
      <c r="G422" s="2" t="s">
        <v>6241</v>
      </c>
      <c r="H422" s="28" t="str">
        <f t="shared" si="33"/>
        <v>26900954School Turnaround Leadership Development Program</v>
      </c>
      <c r="I422" s="29">
        <v>5</v>
      </c>
      <c r="J422" s="28" t="str">
        <f t="shared" si="34"/>
        <v>26900954School Turnaround Leadership Development Program5</v>
      </c>
      <c r="K422" s="30">
        <v>0</v>
      </c>
      <c r="L422" s="30">
        <v>0</v>
      </c>
      <c r="M422" s="30">
        <v>0</v>
      </c>
      <c r="N422" s="30">
        <v>0</v>
      </c>
      <c r="O422" s="30">
        <v>0</v>
      </c>
      <c r="P422" s="30">
        <v>0</v>
      </c>
      <c r="Q422" s="30">
        <v>0</v>
      </c>
      <c r="R422" s="30">
        <v>0</v>
      </c>
      <c r="S422" s="30">
        <v>0</v>
      </c>
      <c r="T422" s="30">
        <v>0</v>
      </c>
      <c r="U422" s="30">
        <v>28760</v>
      </c>
      <c r="V422" s="30">
        <v>73240</v>
      </c>
      <c r="W422" s="30">
        <v>36350</v>
      </c>
      <c r="X422" s="30">
        <v>0</v>
      </c>
      <c r="Y422" t="s">
        <v>6500</v>
      </c>
    </row>
    <row r="423" spans="1:25" x14ac:dyDescent="0.3">
      <c r="A423" s="2" t="s">
        <v>85</v>
      </c>
      <c r="B423" s="28" t="s">
        <v>4158</v>
      </c>
      <c r="C423" s="2" t="s">
        <v>86</v>
      </c>
      <c r="D423" s="2" t="s">
        <v>4159</v>
      </c>
      <c r="E423" s="28" t="s">
        <v>6237</v>
      </c>
      <c r="F423" s="28" t="str">
        <f t="shared" si="36"/>
        <v>26901454Turnaround Network</v>
      </c>
      <c r="G423" s="28" t="s">
        <v>6237</v>
      </c>
      <c r="H423" s="28" t="str">
        <f t="shared" si="33"/>
        <v>26901454Turnaround Network</v>
      </c>
      <c r="I423" s="29">
        <v>2</v>
      </c>
      <c r="J423" s="28" t="str">
        <f t="shared" si="34"/>
        <v>26901454Turnaround Network2</v>
      </c>
      <c r="K423" s="30"/>
      <c r="L423" s="30"/>
      <c r="M423" s="30"/>
      <c r="N423" s="30">
        <v>0</v>
      </c>
      <c r="O423" s="30">
        <v>30000</v>
      </c>
      <c r="P423" s="30">
        <v>0</v>
      </c>
      <c r="Q423" s="30">
        <v>0</v>
      </c>
      <c r="R423" s="30">
        <v>0</v>
      </c>
      <c r="S423" s="30">
        <v>0</v>
      </c>
      <c r="T423" s="30">
        <v>0</v>
      </c>
      <c r="U423" s="30"/>
      <c r="V423" s="30"/>
      <c r="W423" s="30"/>
      <c r="X423" s="30"/>
      <c r="Y423" t="s">
        <v>6499</v>
      </c>
    </row>
    <row r="424" spans="1:25" x14ac:dyDescent="0.3">
      <c r="A424" s="2" t="s">
        <v>85</v>
      </c>
      <c r="B424" s="2" t="s">
        <v>4158</v>
      </c>
      <c r="C424" s="2" t="s">
        <v>86</v>
      </c>
      <c r="D424" s="2" t="s">
        <v>4159</v>
      </c>
      <c r="E424" s="28" t="s">
        <v>6237</v>
      </c>
      <c r="F424" s="28" t="str">
        <f t="shared" si="36"/>
        <v>26901454Turnaround Network</v>
      </c>
      <c r="G424" s="28" t="s">
        <v>6237</v>
      </c>
      <c r="H424" s="28" t="str">
        <f t="shared" si="33"/>
        <v>26901454Turnaround Network</v>
      </c>
      <c r="I424" s="29">
        <v>3</v>
      </c>
      <c r="J424" s="28" t="str">
        <f t="shared" si="34"/>
        <v>26901454Turnaround Network3</v>
      </c>
      <c r="K424" s="30"/>
      <c r="L424" s="30">
        <v>80000</v>
      </c>
      <c r="M424" s="30"/>
      <c r="N424" s="30">
        <v>0</v>
      </c>
      <c r="O424" s="30"/>
      <c r="P424" s="30">
        <v>0</v>
      </c>
      <c r="Q424" s="30">
        <v>0</v>
      </c>
      <c r="R424" s="30">
        <v>0</v>
      </c>
      <c r="S424" s="30">
        <v>0</v>
      </c>
      <c r="T424" s="30">
        <v>0</v>
      </c>
      <c r="U424" s="30"/>
      <c r="V424" s="30"/>
      <c r="W424" s="30"/>
      <c r="X424" s="30"/>
      <c r="Y424" t="s">
        <v>6499</v>
      </c>
    </row>
    <row r="425" spans="1:25" x14ac:dyDescent="0.3">
      <c r="A425" s="2" t="s">
        <v>85</v>
      </c>
      <c r="B425" s="2" t="s">
        <v>2570</v>
      </c>
      <c r="C425" s="2" t="s">
        <v>86</v>
      </c>
      <c r="D425" s="2" t="s">
        <v>2571</v>
      </c>
      <c r="E425" s="28" t="s">
        <v>6463</v>
      </c>
      <c r="F425" s="28" t="str">
        <f t="shared" si="36"/>
        <v>26901488Diagnostic Review 18-19</v>
      </c>
      <c r="G425" s="28" t="s">
        <v>6240</v>
      </c>
      <c r="H425" s="28" t="str">
        <f t="shared" si="33"/>
        <v>26901488Diagnostic Review</v>
      </c>
      <c r="I425" s="29">
        <v>3</v>
      </c>
      <c r="J425" s="28" t="str">
        <f t="shared" si="34"/>
        <v>26901488Diagnostic Review3</v>
      </c>
      <c r="K425" s="30"/>
      <c r="L425" s="30">
        <v>49939</v>
      </c>
      <c r="M425" s="30"/>
      <c r="N425" s="30">
        <v>0</v>
      </c>
      <c r="O425" s="30">
        <v>0</v>
      </c>
      <c r="P425" s="30">
        <v>0</v>
      </c>
      <c r="Q425" s="30">
        <v>0</v>
      </c>
      <c r="R425" s="30">
        <v>0</v>
      </c>
      <c r="S425" s="30">
        <v>0</v>
      </c>
      <c r="T425" s="30">
        <v>0</v>
      </c>
      <c r="U425" s="30"/>
      <c r="V425" s="30"/>
      <c r="W425" s="30"/>
      <c r="X425" s="30"/>
      <c r="Y425" t="s">
        <v>6499</v>
      </c>
    </row>
    <row r="426" spans="1:25" x14ac:dyDescent="0.3">
      <c r="A426" s="28" t="s">
        <v>85</v>
      </c>
      <c r="B426" s="28" t="s">
        <v>2570</v>
      </c>
      <c r="C426" s="2" t="s">
        <v>86</v>
      </c>
      <c r="D426" s="2" t="s">
        <v>2571</v>
      </c>
      <c r="E426" s="28" t="s">
        <v>6457</v>
      </c>
      <c r="F426" s="28" t="str">
        <f t="shared" si="36"/>
        <v>26901488OfferedServices</v>
      </c>
      <c r="G426" s="2" t="s">
        <v>6241</v>
      </c>
      <c r="H426" s="28" t="str">
        <f t="shared" si="33"/>
        <v>26901488School Turnaround Leadership Development Program</v>
      </c>
      <c r="I426" s="29">
        <v>5</v>
      </c>
      <c r="J426" s="28" t="str">
        <f t="shared" si="34"/>
        <v>26901488School Turnaround Leadership Development Program5</v>
      </c>
      <c r="K426" s="30">
        <v>0</v>
      </c>
      <c r="L426" s="30">
        <v>0</v>
      </c>
      <c r="M426" s="30">
        <v>0</v>
      </c>
      <c r="N426" s="30">
        <v>0</v>
      </c>
      <c r="O426" s="30">
        <v>0</v>
      </c>
      <c r="P426" s="30">
        <v>0</v>
      </c>
      <c r="Q426" s="30">
        <v>0</v>
      </c>
      <c r="R426" s="30">
        <v>0</v>
      </c>
      <c r="S426" s="30">
        <v>0</v>
      </c>
      <c r="T426" s="30">
        <v>0</v>
      </c>
      <c r="U426" s="30">
        <v>53200</v>
      </c>
      <c r="V426" s="30">
        <v>83600</v>
      </c>
      <c r="W426" s="30">
        <v>16200</v>
      </c>
      <c r="X426" s="30">
        <v>0</v>
      </c>
      <c r="Y426" t="s">
        <v>6499</v>
      </c>
    </row>
    <row r="427" spans="1:25" x14ac:dyDescent="0.3">
      <c r="A427" s="28" t="s">
        <v>85</v>
      </c>
      <c r="B427" s="28" t="s">
        <v>2570</v>
      </c>
      <c r="C427" s="2" t="s">
        <v>86</v>
      </c>
      <c r="D427" s="2" t="s">
        <v>2571</v>
      </c>
      <c r="E427" s="28" t="s">
        <v>6457</v>
      </c>
      <c r="F427" s="28" t="str">
        <f t="shared" si="36"/>
        <v>26901488OfferedServices</v>
      </c>
      <c r="G427" s="28" t="s">
        <v>6458</v>
      </c>
      <c r="H427" s="28" t="str">
        <f t="shared" si="33"/>
        <v>26901488Connect for Success</v>
      </c>
      <c r="I427" s="29">
        <v>5</v>
      </c>
      <c r="J427" s="28" t="str">
        <f t="shared" si="34"/>
        <v>26901488Connect for Success5</v>
      </c>
      <c r="K427" s="30">
        <v>0</v>
      </c>
      <c r="L427" s="30">
        <v>0</v>
      </c>
      <c r="M427" s="30">
        <v>0</v>
      </c>
      <c r="N427" s="30">
        <v>0</v>
      </c>
      <c r="O427" s="30">
        <v>0</v>
      </c>
      <c r="P427" s="30">
        <v>0</v>
      </c>
      <c r="Q427" s="30">
        <v>0</v>
      </c>
      <c r="R427" s="30">
        <v>0</v>
      </c>
      <c r="S427" s="30">
        <v>0</v>
      </c>
      <c r="T427" s="30">
        <v>0</v>
      </c>
      <c r="U427" s="30">
        <v>20000</v>
      </c>
      <c r="V427" s="30">
        <v>80000</v>
      </c>
      <c r="W427" s="30">
        <v>80000</v>
      </c>
      <c r="X427" s="30">
        <v>0</v>
      </c>
      <c r="Y427" t="s">
        <v>6499</v>
      </c>
    </row>
    <row r="428" spans="1:25" x14ac:dyDescent="0.3">
      <c r="A428" s="2" t="s">
        <v>85</v>
      </c>
      <c r="B428" s="2" t="s">
        <v>1074</v>
      </c>
      <c r="C428" s="2" t="s">
        <v>86</v>
      </c>
      <c r="D428" s="2" t="s">
        <v>1075</v>
      </c>
      <c r="E428" s="28" t="s">
        <v>6461</v>
      </c>
      <c r="F428" s="28" t="str">
        <f t="shared" si="36"/>
        <v>26901504Consultation 17-18</v>
      </c>
      <c r="G428" s="28" t="s">
        <v>6239</v>
      </c>
      <c r="H428" s="28" t="str">
        <f t="shared" si="33"/>
        <v>26901504Consultation</v>
      </c>
      <c r="I428" s="29">
        <v>1</v>
      </c>
      <c r="J428" s="28" t="str">
        <f t="shared" si="34"/>
        <v>26901504Consultation1</v>
      </c>
      <c r="K428" s="30">
        <v>4020</v>
      </c>
      <c r="L428" s="30"/>
      <c r="M428" s="30"/>
      <c r="N428" s="30">
        <v>0</v>
      </c>
      <c r="O428" s="30" t="s">
        <v>6462</v>
      </c>
      <c r="P428" s="30" t="s">
        <v>6462</v>
      </c>
      <c r="Q428" s="30">
        <v>0</v>
      </c>
      <c r="R428" s="30">
        <v>0</v>
      </c>
      <c r="S428" s="30">
        <v>0</v>
      </c>
      <c r="T428" s="30">
        <v>0</v>
      </c>
      <c r="U428" s="30"/>
      <c r="V428" s="30"/>
      <c r="W428" s="30"/>
      <c r="X428" s="30"/>
      <c r="Y428" t="s">
        <v>6499</v>
      </c>
    </row>
    <row r="429" spans="1:25" x14ac:dyDescent="0.3">
      <c r="A429" s="2" t="s">
        <v>85</v>
      </c>
      <c r="B429" s="28" t="s">
        <v>3358</v>
      </c>
      <c r="C429" s="2" t="s">
        <v>86</v>
      </c>
      <c r="D429" s="2" t="s">
        <v>3359</v>
      </c>
      <c r="E429" s="28" t="s">
        <v>6237</v>
      </c>
      <c r="F429" s="28" t="str">
        <f t="shared" si="36"/>
        <v>26902394Turnaround Network</v>
      </c>
      <c r="G429" s="28" t="s">
        <v>6237</v>
      </c>
      <c r="H429" s="28" t="str">
        <f t="shared" si="33"/>
        <v>26902394Turnaround Network</v>
      </c>
      <c r="I429" s="29">
        <v>2</v>
      </c>
      <c r="J429" s="28" t="str">
        <f t="shared" si="34"/>
        <v>26902394Turnaround Network2</v>
      </c>
      <c r="K429" s="30"/>
      <c r="L429" s="30"/>
      <c r="M429" s="30"/>
      <c r="N429" s="30">
        <v>0</v>
      </c>
      <c r="O429" s="30">
        <v>30000</v>
      </c>
      <c r="P429" s="30">
        <v>0</v>
      </c>
      <c r="Q429" s="30">
        <v>0</v>
      </c>
      <c r="R429" s="30">
        <v>0</v>
      </c>
      <c r="S429" s="30">
        <v>0</v>
      </c>
      <c r="T429" s="30">
        <v>0</v>
      </c>
      <c r="U429" s="30"/>
      <c r="V429" s="30"/>
      <c r="W429" s="30"/>
      <c r="X429" s="30"/>
      <c r="Y429" t="s">
        <v>6499</v>
      </c>
    </row>
    <row r="430" spans="1:25" x14ac:dyDescent="0.3">
      <c r="A430" s="2" t="s">
        <v>85</v>
      </c>
      <c r="B430" s="28" t="s">
        <v>3358</v>
      </c>
      <c r="C430" s="2" t="s">
        <v>86</v>
      </c>
      <c r="D430" s="2" t="s">
        <v>3359</v>
      </c>
      <c r="E430" s="28" t="s">
        <v>6237</v>
      </c>
      <c r="F430" s="28" t="str">
        <f t="shared" si="36"/>
        <v>26902394Turnaround Network</v>
      </c>
      <c r="G430" s="28" t="s">
        <v>6237</v>
      </c>
      <c r="H430" s="28" t="str">
        <f t="shared" si="33"/>
        <v>26902394Turnaround Network</v>
      </c>
      <c r="I430" s="29">
        <v>2</v>
      </c>
      <c r="J430" s="28" t="str">
        <f t="shared" si="34"/>
        <v>26902394Turnaround Network2</v>
      </c>
      <c r="K430" s="30">
        <v>50296</v>
      </c>
      <c r="L430" s="30"/>
      <c r="M430" s="30"/>
      <c r="N430" s="30">
        <v>0</v>
      </c>
      <c r="O430" s="30"/>
      <c r="P430" s="30">
        <v>0</v>
      </c>
      <c r="Q430" s="30">
        <v>0</v>
      </c>
      <c r="R430" s="30">
        <v>0</v>
      </c>
      <c r="S430" s="30">
        <v>0</v>
      </c>
      <c r="T430" s="30">
        <v>0</v>
      </c>
      <c r="U430" s="30"/>
      <c r="V430" s="30"/>
      <c r="W430" s="30"/>
      <c r="X430" s="30"/>
      <c r="Y430" t="s">
        <v>6499</v>
      </c>
    </row>
    <row r="431" spans="1:25" x14ac:dyDescent="0.3">
      <c r="A431" s="2" t="s">
        <v>85</v>
      </c>
      <c r="B431" s="2" t="s">
        <v>3358</v>
      </c>
      <c r="C431" s="2" t="s">
        <v>86</v>
      </c>
      <c r="D431" s="2" t="s">
        <v>3359</v>
      </c>
      <c r="E431" s="28" t="s">
        <v>6237</v>
      </c>
      <c r="F431" s="28" t="str">
        <f t="shared" si="36"/>
        <v>26902394Turnaround Network</v>
      </c>
      <c r="G431" s="28" t="s">
        <v>6237</v>
      </c>
      <c r="H431" s="28" t="str">
        <f t="shared" si="33"/>
        <v>26902394Turnaround Network</v>
      </c>
      <c r="I431" s="29">
        <v>3</v>
      </c>
      <c r="J431" s="28" t="str">
        <f t="shared" si="34"/>
        <v>26902394Turnaround Network3</v>
      </c>
      <c r="K431" s="30"/>
      <c r="L431" s="30">
        <v>80000</v>
      </c>
      <c r="M431" s="30"/>
      <c r="N431" s="30">
        <v>0</v>
      </c>
      <c r="O431" s="30"/>
      <c r="P431" s="30">
        <v>0</v>
      </c>
      <c r="Q431" s="30">
        <v>0</v>
      </c>
      <c r="R431" s="30">
        <v>0</v>
      </c>
      <c r="S431" s="30">
        <v>0</v>
      </c>
      <c r="T431" s="30">
        <v>0</v>
      </c>
      <c r="U431" s="30"/>
      <c r="V431" s="30"/>
      <c r="W431" s="30"/>
      <c r="X431" s="30"/>
      <c r="Y431" t="s">
        <v>6499</v>
      </c>
    </row>
    <row r="432" spans="1:25" x14ac:dyDescent="0.3">
      <c r="A432" s="28" t="s">
        <v>85</v>
      </c>
      <c r="B432" s="28" t="s">
        <v>4154</v>
      </c>
      <c r="C432" s="2" t="s">
        <v>86</v>
      </c>
      <c r="D432" s="2" t="s">
        <v>4155</v>
      </c>
      <c r="E432" s="28" t="s">
        <v>6457</v>
      </c>
      <c r="F432" s="28" t="str">
        <f t="shared" si="36"/>
        <v>26903924OfferedServices</v>
      </c>
      <c r="G432" s="2" t="s">
        <v>6241</v>
      </c>
      <c r="H432" s="28" t="str">
        <f t="shared" si="33"/>
        <v>26903924School Turnaround Leadership Development Program</v>
      </c>
      <c r="I432" s="29">
        <v>5</v>
      </c>
      <c r="J432" s="28" t="str">
        <f t="shared" si="34"/>
        <v>26903924School Turnaround Leadership Development Program5</v>
      </c>
      <c r="K432" s="30">
        <v>0</v>
      </c>
      <c r="L432" s="30">
        <v>0</v>
      </c>
      <c r="M432" s="30">
        <v>0</v>
      </c>
      <c r="N432" s="30">
        <v>0</v>
      </c>
      <c r="O432" s="30">
        <v>0</v>
      </c>
      <c r="P432" s="30">
        <v>0</v>
      </c>
      <c r="Q432" s="30">
        <v>0</v>
      </c>
      <c r="R432" s="30">
        <v>0</v>
      </c>
      <c r="S432" s="30">
        <v>0</v>
      </c>
      <c r="T432" s="30">
        <v>0</v>
      </c>
      <c r="U432" s="30">
        <v>18010</v>
      </c>
      <c r="V432" s="30">
        <v>26040</v>
      </c>
      <c r="W432" s="30">
        <v>0</v>
      </c>
      <c r="X432" s="30">
        <v>0</v>
      </c>
      <c r="Y432" t="s">
        <v>6500</v>
      </c>
    </row>
    <row r="433" spans="1:25" x14ac:dyDescent="0.3">
      <c r="A433" s="2" t="s">
        <v>85</v>
      </c>
      <c r="B433" s="28" t="s">
        <v>99</v>
      </c>
      <c r="C433" s="2" t="s">
        <v>86</v>
      </c>
      <c r="D433" s="2" t="s">
        <v>100</v>
      </c>
      <c r="E433" s="28" t="s">
        <v>6237</v>
      </c>
      <c r="F433" s="28" t="str">
        <f t="shared" si="36"/>
        <v>26903976Turnaround Network</v>
      </c>
      <c r="G433" s="28" t="s">
        <v>6237</v>
      </c>
      <c r="H433" s="28" t="str">
        <f t="shared" si="33"/>
        <v>26903976Turnaround Network</v>
      </c>
      <c r="I433" s="29">
        <v>2</v>
      </c>
      <c r="J433" s="28" t="str">
        <f t="shared" si="34"/>
        <v>26903976Turnaround Network2</v>
      </c>
      <c r="K433" s="30"/>
      <c r="L433" s="30"/>
      <c r="M433" s="30"/>
      <c r="N433" s="30">
        <v>0</v>
      </c>
      <c r="O433" s="30">
        <v>30000</v>
      </c>
      <c r="P433" s="30">
        <v>0</v>
      </c>
      <c r="Q433" s="30">
        <v>0</v>
      </c>
      <c r="R433" s="30">
        <v>0</v>
      </c>
      <c r="S433" s="30">
        <v>0</v>
      </c>
      <c r="T433" s="30">
        <v>0</v>
      </c>
      <c r="U433" s="30"/>
      <c r="V433" s="30"/>
      <c r="W433" s="30"/>
      <c r="X433" s="30"/>
      <c r="Y433" t="s">
        <v>6499</v>
      </c>
    </row>
    <row r="434" spans="1:25" x14ac:dyDescent="0.3">
      <c r="A434" s="2" t="s">
        <v>85</v>
      </c>
      <c r="B434" s="28" t="s">
        <v>99</v>
      </c>
      <c r="C434" s="2" t="s">
        <v>86</v>
      </c>
      <c r="D434" s="2" t="s">
        <v>100</v>
      </c>
      <c r="E434" s="28" t="s">
        <v>6237</v>
      </c>
      <c r="F434" s="28" t="str">
        <f t="shared" si="36"/>
        <v>26903976Turnaround Network</v>
      </c>
      <c r="G434" s="28" t="s">
        <v>6237</v>
      </c>
      <c r="H434" s="28" t="str">
        <f t="shared" si="33"/>
        <v>26903976Turnaround Network</v>
      </c>
      <c r="I434" s="29">
        <v>2</v>
      </c>
      <c r="J434" s="28" t="str">
        <f t="shared" si="34"/>
        <v>26903976Turnaround Network2</v>
      </c>
      <c r="K434" s="30">
        <v>50196</v>
      </c>
      <c r="L434" s="30"/>
      <c r="M434" s="30"/>
      <c r="N434" s="30">
        <v>0</v>
      </c>
      <c r="O434" s="30"/>
      <c r="P434" s="30">
        <v>0</v>
      </c>
      <c r="Q434" s="30">
        <v>0</v>
      </c>
      <c r="R434" s="30">
        <v>0</v>
      </c>
      <c r="S434" s="30">
        <v>0</v>
      </c>
      <c r="T434" s="30">
        <v>0</v>
      </c>
      <c r="U434" s="30"/>
      <c r="V434" s="30"/>
      <c r="W434" s="30"/>
      <c r="X434" s="30"/>
      <c r="Y434" t="s">
        <v>6499</v>
      </c>
    </row>
    <row r="435" spans="1:25" x14ac:dyDescent="0.3">
      <c r="A435" s="2" t="s">
        <v>85</v>
      </c>
      <c r="B435" s="2" t="s">
        <v>99</v>
      </c>
      <c r="C435" s="2" t="s">
        <v>86</v>
      </c>
      <c r="D435" s="2" t="s">
        <v>100</v>
      </c>
      <c r="E435" s="28" t="s">
        <v>6237</v>
      </c>
      <c r="F435" s="28" t="str">
        <f t="shared" si="36"/>
        <v>26903976Turnaround Network</v>
      </c>
      <c r="G435" s="28" t="s">
        <v>6237</v>
      </c>
      <c r="H435" s="28" t="str">
        <f t="shared" si="33"/>
        <v>26903976Turnaround Network</v>
      </c>
      <c r="I435" s="29">
        <v>3</v>
      </c>
      <c r="J435" s="28" t="str">
        <f t="shared" si="34"/>
        <v>26903976Turnaround Network3</v>
      </c>
      <c r="K435" s="30"/>
      <c r="L435" s="30">
        <v>80000</v>
      </c>
      <c r="M435" s="30"/>
      <c r="N435" s="30">
        <v>0</v>
      </c>
      <c r="O435" s="30"/>
      <c r="P435" s="30">
        <v>0</v>
      </c>
      <c r="Q435" s="30">
        <v>0</v>
      </c>
      <c r="R435" s="30">
        <v>0</v>
      </c>
      <c r="S435" s="30">
        <v>0</v>
      </c>
      <c r="T435" s="30">
        <v>0</v>
      </c>
      <c r="U435" s="30"/>
      <c r="V435" s="30"/>
      <c r="W435" s="30"/>
      <c r="X435" s="30"/>
      <c r="Y435" t="s">
        <v>6499</v>
      </c>
    </row>
    <row r="436" spans="1:25" x14ac:dyDescent="0.3">
      <c r="A436" s="28" t="s">
        <v>85</v>
      </c>
      <c r="B436" s="28" t="s">
        <v>1072</v>
      </c>
      <c r="C436" s="2" t="s">
        <v>86</v>
      </c>
      <c r="D436" s="2" t="s">
        <v>1073</v>
      </c>
      <c r="E436" s="28" t="s">
        <v>6457</v>
      </c>
      <c r="F436" s="28" t="str">
        <f t="shared" si="36"/>
        <v>26904302OfferedServices</v>
      </c>
      <c r="G436" s="2" t="s">
        <v>6241</v>
      </c>
      <c r="H436" s="28" t="str">
        <f t="shared" si="33"/>
        <v>26904302School Turnaround Leadership Development Program</v>
      </c>
      <c r="I436" s="29">
        <v>5</v>
      </c>
      <c r="J436" s="28" t="str">
        <f t="shared" si="34"/>
        <v>26904302School Turnaround Leadership Development Program5</v>
      </c>
      <c r="K436" s="30">
        <v>0</v>
      </c>
      <c r="L436" s="30">
        <v>0</v>
      </c>
      <c r="M436" s="30">
        <v>0</v>
      </c>
      <c r="N436" s="30">
        <v>0</v>
      </c>
      <c r="O436" s="30">
        <v>0</v>
      </c>
      <c r="P436" s="30">
        <v>0</v>
      </c>
      <c r="Q436" s="30">
        <v>0</v>
      </c>
      <c r="R436" s="30">
        <v>0</v>
      </c>
      <c r="S436" s="30">
        <v>0</v>
      </c>
      <c r="T436" s="30">
        <v>0</v>
      </c>
      <c r="U436" s="30">
        <v>28760</v>
      </c>
      <c r="V436" s="30">
        <v>73240</v>
      </c>
      <c r="W436" s="30">
        <v>36350</v>
      </c>
      <c r="X436" s="30">
        <v>0</v>
      </c>
      <c r="Y436" t="s">
        <v>6500</v>
      </c>
    </row>
    <row r="437" spans="1:25" x14ac:dyDescent="0.3">
      <c r="A437" s="2" t="s">
        <v>85</v>
      </c>
      <c r="B437" s="2" t="s">
        <v>4842</v>
      </c>
      <c r="C437" s="2" t="s">
        <v>86</v>
      </c>
      <c r="D437" s="2" t="s">
        <v>4843</v>
      </c>
      <c r="E437" s="28" t="s">
        <v>6475</v>
      </c>
      <c r="F437" s="28" t="s">
        <v>6476</v>
      </c>
      <c r="G437" s="28" t="s">
        <v>6233</v>
      </c>
      <c r="H437" s="28" t="str">
        <f t="shared" si="33"/>
        <v>26904376District Design and Led</v>
      </c>
      <c r="I437" s="29">
        <v>4</v>
      </c>
      <c r="J437" s="28" t="str">
        <f t="shared" si="34"/>
        <v>26904376District Design and Led4</v>
      </c>
      <c r="K437" s="30"/>
      <c r="L437" s="30"/>
      <c r="M437" s="30"/>
      <c r="N437" s="30"/>
      <c r="O437" s="30"/>
      <c r="P437" s="30"/>
      <c r="Q437" s="30"/>
      <c r="R437" s="30">
        <v>0</v>
      </c>
      <c r="S437" s="30">
        <v>0</v>
      </c>
      <c r="T437" s="30">
        <v>10400</v>
      </c>
      <c r="U437" s="30"/>
      <c r="V437" s="30"/>
      <c r="W437" s="30"/>
      <c r="X437" s="30"/>
      <c r="Y437" t="s">
        <v>6499</v>
      </c>
    </row>
    <row r="438" spans="1:25" x14ac:dyDescent="0.3">
      <c r="A438" s="2" t="s">
        <v>85</v>
      </c>
      <c r="B438" s="2" t="s">
        <v>3356</v>
      </c>
      <c r="C438" s="2" t="s">
        <v>86</v>
      </c>
      <c r="D438" s="2" t="s">
        <v>3357</v>
      </c>
      <c r="E438" s="28" t="s">
        <v>6478</v>
      </c>
      <c r="F438" s="28" t="str">
        <f>A438&amp;B438&amp;E438</f>
        <v>26905916District Design and Led 19-22</v>
      </c>
      <c r="G438" s="28" t="s">
        <v>6233</v>
      </c>
      <c r="H438" s="28" t="str">
        <f t="shared" si="33"/>
        <v>26905916District Design and Led</v>
      </c>
      <c r="I438" s="29">
        <v>3</v>
      </c>
      <c r="J438" s="28" t="str">
        <f t="shared" si="34"/>
        <v>26905916District Design and Led3</v>
      </c>
      <c r="K438" s="30"/>
      <c r="L438" s="30"/>
      <c r="M438" s="30"/>
      <c r="N438" s="30">
        <v>4791</v>
      </c>
      <c r="O438" s="30">
        <v>0</v>
      </c>
      <c r="P438" s="30">
        <v>38500</v>
      </c>
      <c r="Q438" s="30">
        <v>0</v>
      </c>
      <c r="R438" s="30">
        <v>0</v>
      </c>
      <c r="S438" s="30">
        <v>11394.6</v>
      </c>
      <c r="T438" s="30">
        <v>0</v>
      </c>
      <c r="U438" s="30"/>
      <c r="V438" s="30"/>
      <c r="W438" s="30"/>
      <c r="X438" s="30"/>
      <c r="Y438" t="s">
        <v>6499</v>
      </c>
    </row>
    <row r="439" spans="1:25" x14ac:dyDescent="0.3">
      <c r="A439" s="2" t="s">
        <v>85</v>
      </c>
      <c r="B439" s="2" t="s">
        <v>3356</v>
      </c>
      <c r="C439" s="2" t="s">
        <v>86</v>
      </c>
      <c r="D439" s="2" t="s">
        <v>3357</v>
      </c>
      <c r="E439" s="28" t="s">
        <v>6475</v>
      </c>
      <c r="F439" s="28" t="s">
        <v>6476</v>
      </c>
      <c r="G439" s="28" t="s">
        <v>6233</v>
      </c>
      <c r="H439" s="28" t="str">
        <f t="shared" si="33"/>
        <v>26905916District Design and Led</v>
      </c>
      <c r="I439" s="29">
        <v>4</v>
      </c>
      <c r="J439" s="28" t="str">
        <f t="shared" si="34"/>
        <v>26905916District Design and Led4</v>
      </c>
      <c r="K439" s="30"/>
      <c r="L439" s="30"/>
      <c r="M439" s="30"/>
      <c r="N439" s="30"/>
      <c r="O439" s="30"/>
      <c r="P439" s="30"/>
      <c r="Q439" s="30"/>
      <c r="R439" s="30">
        <v>0</v>
      </c>
      <c r="S439" s="30">
        <v>0</v>
      </c>
      <c r="T439" s="30">
        <v>10400</v>
      </c>
      <c r="U439" s="30"/>
      <c r="V439" s="30"/>
      <c r="W439" s="30"/>
      <c r="X439" s="30"/>
      <c r="Y439" t="s">
        <v>6499</v>
      </c>
    </row>
    <row r="440" spans="1:25" x14ac:dyDescent="0.3">
      <c r="A440" s="28" t="s">
        <v>85</v>
      </c>
      <c r="B440" s="28" t="s">
        <v>3356</v>
      </c>
      <c r="C440" s="2" t="s">
        <v>86</v>
      </c>
      <c r="D440" s="2" t="s">
        <v>3357</v>
      </c>
      <c r="E440" s="28" t="s">
        <v>6457</v>
      </c>
      <c r="F440" s="28" t="str">
        <f>A440&amp;B440&amp;E440</f>
        <v>26905916OfferedServices</v>
      </c>
      <c r="G440" s="2" t="s">
        <v>6241</v>
      </c>
      <c r="H440" s="28" t="str">
        <f t="shared" si="33"/>
        <v>26905916School Turnaround Leadership Development Program</v>
      </c>
      <c r="I440" s="29">
        <v>5</v>
      </c>
      <c r="J440" s="28" t="str">
        <f t="shared" si="34"/>
        <v>26905916School Turnaround Leadership Development Program5</v>
      </c>
      <c r="K440" s="30">
        <v>0</v>
      </c>
      <c r="L440" s="30">
        <v>0</v>
      </c>
      <c r="M440" s="30">
        <v>0</v>
      </c>
      <c r="N440" s="30">
        <v>0</v>
      </c>
      <c r="O440" s="30">
        <v>0</v>
      </c>
      <c r="P440" s="30">
        <v>0</v>
      </c>
      <c r="Q440" s="30">
        <v>0</v>
      </c>
      <c r="R440" s="30">
        <v>0</v>
      </c>
      <c r="S440" s="30">
        <v>0</v>
      </c>
      <c r="T440" s="30">
        <v>0</v>
      </c>
      <c r="U440" s="30">
        <v>23900</v>
      </c>
      <c r="V440" s="30">
        <v>0</v>
      </c>
      <c r="W440" s="30">
        <v>0</v>
      </c>
      <c r="X440" s="30">
        <v>0</v>
      </c>
      <c r="Y440" t="s">
        <v>6500</v>
      </c>
    </row>
    <row r="441" spans="1:25" x14ac:dyDescent="0.3">
      <c r="A441" s="2" t="s">
        <v>85</v>
      </c>
      <c r="B441" s="28" t="s">
        <v>1068</v>
      </c>
      <c r="C441" s="2" t="s">
        <v>86</v>
      </c>
      <c r="D441" s="2" t="s">
        <v>1069</v>
      </c>
      <c r="E441" s="28" t="s">
        <v>6237</v>
      </c>
      <c r="F441" s="28" t="str">
        <f>A441&amp;B441&amp;E441</f>
        <v>26906770Turnaround Network</v>
      </c>
      <c r="G441" s="28" t="s">
        <v>6237</v>
      </c>
      <c r="H441" s="28" t="str">
        <f t="shared" si="33"/>
        <v>26906770Turnaround Network</v>
      </c>
      <c r="I441" s="29">
        <v>2</v>
      </c>
      <c r="J441" s="28" t="str">
        <f t="shared" si="34"/>
        <v>26906770Turnaround Network2</v>
      </c>
      <c r="K441" s="30"/>
      <c r="L441" s="30"/>
      <c r="M441" s="30"/>
      <c r="N441" s="30">
        <v>0</v>
      </c>
      <c r="O441" s="30">
        <v>30000</v>
      </c>
      <c r="P441" s="30">
        <v>0</v>
      </c>
      <c r="Q441" s="30">
        <v>0</v>
      </c>
      <c r="R441" s="30">
        <v>0</v>
      </c>
      <c r="S441" s="30">
        <v>0</v>
      </c>
      <c r="T441" s="30">
        <v>0</v>
      </c>
      <c r="U441" s="30"/>
      <c r="V441" s="30"/>
      <c r="W441" s="30"/>
      <c r="X441" s="30"/>
      <c r="Y441" t="s">
        <v>6499</v>
      </c>
    </row>
    <row r="442" spans="1:25" x14ac:dyDescent="0.3">
      <c r="A442" s="2" t="s">
        <v>85</v>
      </c>
      <c r="B442" s="28" t="s">
        <v>1068</v>
      </c>
      <c r="C442" s="2" t="s">
        <v>86</v>
      </c>
      <c r="D442" s="2" t="s">
        <v>1069</v>
      </c>
      <c r="E442" s="28" t="s">
        <v>6237</v>
      </c>
      <c r="F442" s="28" t="str">
        <f>A442&amp;B442&amp;E442</f>
        <v>26906770Turnaround Network</v>
      </c>
      <c r="G442" s="28" t="s">
        <v>6237</v>
      </c>
      <c r="H442" s="28" t="str">
        <f t="shared" si="33"/>
        <v>26906770Turnaround Network</v>
      </c>
      <c r="I442" s="29">
        <v>2</v>
      </c>
      <c r="J442" s="28" t="str">
        <f t="shared" si="34"/>
        <v>26906770Turnaround Network2</v>
      </c>
      <c r="K442" s="30">
        <v>53525</v>
      </c>
      <c r="L442" s="30"/>
      <c r="M442" s="30"/>
      <c r="N442" s="30">
        <v>0</v>
      </c>
      <c r="O442" s="30"/>
      <c r="P442" s="30">
        <v>0</v>
      </c>
      <c r="Q442" s="30">
        <v>0</v>
      </c>
      <c r="R442" s="30">
        <v>0</v>
      </c>
      <c r="S442" s="30">
        <v>0</v>
      </c>
      <c r="T442" s="30">
        <v>0</v>
      </c>
      <c r="U442" s="30"/>
      <c r="V442" s="30"/>
      <c r="W442" s="30"/>
      <c r="X442" s="30"/>
      <c r="Y442" t="s">
        <v>6499</v>
      </c>
    </row>
    <row r="443" spans="1:25" x14ac:dyDescent="0.3">
      <c r="A443" s="2" t="s">
        <v>85</v>
      </c>
      <c r="B443" s="2" t="s">
        <v>1068</v>
      </c>
      <c r="C443" s="2" t="s">
        <v>86</v>
      </c>
      <c r="D443" s="2" t="s">
        <v>1069</v>
      </c>
      <c r="E443" s="28" t="s">
        <v>6237</v>
      </c>
      <c r="F443" s="28" t="str">
        <f>A443&amp;B443&amp;E443</f>
        <v>26906770Turnaround Network</v>
      </c>
      <c r="G443" s="28" t="s">
        <v>6237</v>
      </c>
      <c r="H443" s="28" t="str">
        <f t="shared" si="33"/>
        <v>26906770Turnaround Network</v>
      </c>
      <c r="I443" s="29">
        <v>3</v>
      </c>
      <c r="J443" s="28" t="str">
        <f t="shared" si="34"/>
        <v>26906770Turnaround Network3</v>
      </c>
      <c r="K443" s="30"/>
      <c r="L443" s="30">
        <v>80000</v>
      </c>
      <c r="M443" s="30"/>
      <c r="N443" s="30">
        <v>0</v>
      </c>
      <c r="O443" s="30"/>
      <c r="P443" s="30">
        <v>0</v>
      </c>
      <c r="Q443" s="30">
        <v>0</v>
      </c>
      <c r="R443" s="30">
        <v>0</v>
      </c>
      <c r="S443" s="30">
        <v>0</v>
      </c>
      <c r="T443" s="30">
        <v>0</v>
      </c>
      <c r="U443" s="30"/>
      <c r="V443" s="30"/>
      <c r="W443" s="30"/>
      <c r="X443" s="30"/>
      <c r="Y443" t="s">
        <v>6499</v>
      </c>
    </row>
    <row r="444" spans="1:25" x14ac:dyDescent="0.3">
      <c r="A444" s="2" t="s">
        <v>85</v>
      </c>
      <c r="B444" s="28" t="s">
        <v>4838</v>
      </c>
      <c r="C444" s="2" t="s">
        <v>86</v>
      </c>
      <c r="D444" s="2" t="s">
        <v>4839</v>
      </c>
      <c r="E444" s="28" t="s">
        <v>6478</v>
      </c>
      <c r="F444" s="28" t="str">
        <f>A444&amp;B444&amp;E444</f>
        <v>26907481District Design and Led 19-22</v>
      </c>
      <c r="G444" s="28" t="s">
        <v>6233</v>
      </c>
      <c r="H444" s="28" t="str">
        <f t="shared" si="33"/>
        <v>26907481District Design and Led</v>
      </c>
      <c r="I444" s="29">
        <v>3</v>
      </c>
      <c r="J444" s="28" t="str">
        <f t="shared" si="34"/>
        <v>26907481District Design and Led3</v>
      </c>
      <c r="K444" s="30"/>
      <c r="L444" s="30"/>
      <c r="M444" s="30"/>
      <c r="N444" s="30">
        <v>4791</v>
      </c>
      <c r="O444" s="30">
        <v>0</v>
      </c>
      <c r="P444" s="30">
        <v>38500</v>
      </c>
      <c r="Q444" s="30">
        <v>0</v>
      </c>
      <c r="R444" s="30">
        <v>0</v>
      </c>
      <c r="S444" s="30">
        <v>11394.6</v>
      </c>
      <c r="T444" s="30">
        <v>0</v>
      </c>
      <c r="U444" s="30"/>
      <c r="V444" s="30"/>
      <c r="W444" s="30"/>
      <c r="X444" s="30"/>
      <c r="Y444" t="s">
        <v>6499</v>
      </c>
    </row>
    <row r="445" spans="1:25" x14ac:dyDescent="0.3">
      <c r="A445" s="2" t="s">
        <v>85</v>
      </c>
      <c r="B445" s="2" t="s">
        <v>4838</v>
      </c>
      <c r="C445" s="2" t="s">
        <v>86</v>
      </c>
      <c r="D445" s="2" t="s">
        <v>4839</v>
      </c>
      <c r="E445" s="28" t="s">
        <v>6475</v>
      </c>
      <c r="F445" s="28" t="s">
        <v>6476</v>
      </c>
      <c r="G445" s="28" t="s">
        <v>6233</v>
      </c>
      <c r="H445" s="28" t="str">
        <f t="shared" si="33"/>
        <v>26907481District Design and Led</v>
      </c>
      <c r="I445" s="29">
        <v>4</v>
      </c>
      <c r="J445" s="28" t="str">
        <f t="shared" si="34"/>
        <v>26907481District Design and Led4</v>
      </c>
      <c r="K445" s="32"/>
      <c r="L445" s="32"/>
      <c r="M445" s="32"/>
      <c r="N445" s="32"/>
      <c r="O445" s="32"/>
      <c r="P445" s="32"/>
      <c r="Q445" s="32"/>
      <c r="R445" s="32">
        <v>0</v>
      </c>
      <c r="S445" s="32">
        <v>0</v>
      </c>
      <c r="T445" s="32">
        <v>10400</v>
      </c>
      <c r="U445" s="32"/>
      <c r="V445" s="32"/>
      <c r="W445" s="32"/>
      <c r="X445" s="32"/>
      <c r="Y445" t="s">
        <v>6499</v>
      </c>
    </row>
    <row r="446" spans="1:25" x14ac:dyDescent="0.3">
      <c r="A446" s="2" t="s">
        <v>85</v>
      </c>
      <c r="B446" s="2" t="s">
        <v>4838</v>
      </c>
      <c r="C446" s="2" t="s">
        <v>86</v>
      </c>
      <c r="D446" s="2" t="s">
        <v>4839</v>
      </c>
      <c r="E446" s="2" t="s">
        <v>6457</v>
      </c>
      <c r="F446" s="28" t="s">
        <v>6483</v>
      </c>
      <c r="G446" s="2" t="s">
        <v>6241</v>
      </c>
      <c r="H446" s="28" t="str">
        <f t="shared" si="33"/>
        <v>26907481School Turnaround Leadership Development Program</v>
      </c>
      <c r="I446" s="29">
        <v>4</v>
      </c>
      <c r="J446" s="28" t="str">
        <f t="shared" si="34"/>
        <v>26907481School Turnaround Leadership Development Program4</v>
      </c>
      <c r="K446" s="32"/>
      <c r="L446" s="32"/>
      <c r="M446" s="32"/>
      <c r="N446" s="30"/>
      <c r="O446" s="30"/>
      <c r="P446" s="30"/>
      <c r="Q446" s="30">
        <v>29400</v>
      </c>
      <c r="R446" s="30">
        <v>0</v>
      </c>
      <c r="S446" s="30">
        <v>0</v>
      </c>
      <c r="T446" s="30">
        <v>0</v>
      </c>
      <c r="U446" s="30"/>
      <c r="V446" s="30"/>
      <c r="W446" s="30"/>
      <c r="X446" s="30"/>
      <c r="Y446" t="s">
        <v>6499</v>
      </c>
    </row>
    <row r="447" spans="1:25" x14ac:dyDescent="0.3">
      <c r="A447" s="28" t="s">
        <v>85</v>
      </c>
      <c r="B447" s="28" t="s">
        <v>4838</v>
      </c>
      <c r="C447" s="2" t="s">
        <v>86</v>
      </c>
      <c r="D447" s="2" t="s">
        <v>4839</v>
      </c>
      <c r="E447" s="28" t="s">
        <v>6457</v>
      </c>
      <c r="F447" s="28" t="str">
        <f t="shared" ref="F447:F452" si="37">A447&amp;B447&amp;E447</f>
        <v>26907481OfferedServices</v>
      </c>
      <c r="G447" s="2" t="s">
        <v>6241</v>
      </c>
      <c r="H447" s="28" t="str">
        <f t="shared" si="33"/>
        <v>26907481School Turnaround Leadership Development Program</v>
      </c>
      <c r="I447" s="29">
        <v>5</v>
      </c>
      <c r="J447" s="28" t="str">
        <f t="shared" si="34"/>
        <v>26907481School Turnaround Leadership Development Program5</v>
      </c>
      <c r="K447" s="30">
        <v>0</v>
      </c>
      <c r="L447" s="30">
        <v>0</v>
      </c>
      <c r="M447" s="30">
        <v>0</v>
      </c>
      <c r="N447" s="30">
        <v>0</v>
      </c>
      <c r="O447" s="30">
        <v>0</v>
      </c>
      <c r="P447" s="30">
        <v>0</v>
      </c>
      <c r="Q447" s="30">
        <v>0</v>
      </c>
      <c r="R447" s="30">
        <v>0</v>
      </c>
      <c r="S447" s="30">
        <v>0</v>
      </c>
      <c r="T447" s="30">
        <v>0</v>
      </c>
      <c r="U447" s="30">
        <v>28760</v>
      </c>
      <c r="V447" s="30">
        <v>73240</v>
      </c>
      <c r="W447" s="30">
        <v>33350</v>
      </c>
      <c r="X447" s="30">
        <v>0</v>
      </c>
      <c r="Y447" t="s">
        <v>6500</v>
      </c>
    </row>
    <row r="448" spans="1:25" x14ac:dyDescent="0.3">
      <c r="A448" s="2" t="s">
        <v>85</v>
      </c>
      <c r="B448" s="28" t="s">
        <v>6248</v>
      </c>
      <c r="C448" s="2" t="s">
        <v>86</v>
      </c>
      <c r="D448" s="2" t="s">
        <v>6474</v>
      </c>
      <c r="E448" s="28" t="s">
        <v>6473</v>
      </c>
      <c r="F448" s="28" t="str">
        <f t="shared" si="37"/>
        <v>2690District LevelDistrict Design and Led 17-20</v>
      </c>
      <c r="G448" s="28" t="s">
        <v>6233</v>
      </c>
      <c r="H448" s="28" t="str">
        <f t="shared" si="33"/>
        <v>2690District LevelDistrict Design and Led</v>
      </c>
      <c r="I448" s="29">
        <v>2</v>
      </c>
      <c r="J448" s="28" t="str">
        <f t="shared" si="34"/>
        <v>2690District LevelDistrict Design and Led2</v>
      </c>
      <c r="K448" s="30">
        <v>281696</v>
      </c>
      <c r="L448" s="30"/>
      <c r="M448" s="30"/>
      <c r="N448" s="30">
        <v>0</v>
      </c>
      <c r="O448" s="30">
        <v>0</v>
      </c>
      <c r="P448" s="30">
        <v>0</v>
      </c>
      <c r="Q448" s="30">
        <v>0</v>
      </c>
      <c r="R448" s="30">
        <v>0</v>
      </c>
      <c r="S448" s="30">
        <v>0</v>
      </c>
      <c r="T448" s="30">
        <v>0</v>
      </c>
      <c r="U448" s="30"/>
      <c r="V448" s="30"/>
      <c r="W448" s="30"/>
      <c r="X448" s="30"/>
      <c r="Y448" t="s">
        <v>6499</v>
      </c>
    </row>
    <row r="449" spans="1:25" x14ac:dyDescent="0.3">
      <c r="A449" s="2" t="s">
        <v>85</v>
      </c>
      <c r="B449" s="28" t="s">
        <v>6248</v>
      </c>
      <c r="C449" s="2" t="s">
        <v>86</v>
      </c>
      <c r="D449" s="2" t="s">
        <v>6474</v>
      </c>
      <c r="E449" s="2" t="s">
        <v>6484</v>
      </c>
      <c r="F449" s="28" t="str">
        <f t="shared" si="37"/>
        <v>2690District LevelSchool Turnaround Leaders Program</v>
      </c>
      <c r="G449" s="2" t="s">
        <v>6241</v>
      </c>
      <c r="H449" s="28" t="str">
        <f t="shared" si="33"/>
        <v>2690District LevelSchool Turnaround Leadership Development Program</v>
      </c>
      <c r="I449" s="29">
        <v>2</v>
      </c>
      <c r="J449" s="28" t="str">
        <f t="shared" si="34"/>
        <v>2690District LevelSchool Turnaround Leadership Development Program2</v>
      </c>
      <c r="K449" s="32"/>
      <c r="L449" s="32">
        <v>161110</v>
      </c>
      <c r="M449" s="32">
        <v>60000</v>
      </c>
      <c r="N449" s="30">
        <v>0</v>
      </c>
      <c r="O449" s="30" t="s">
        <v>6462</v>
      </c>
      <c r="P449" s="30" t="s">
        <v>6462</v>
      </c>
      <c r="Q449" s="30">
        <v>0</v>
      </c>
      <c r="R449" s="30">
        <v>0</v>
      </c>
      <c r="S449" s="30">
        <v>0</v>
      </c>
      <c r="T449" s="30">
        <v>0</v>
      </c>
      <c r="U449" s="30"/>
      <c r="V449" s="30"/>
      <c r="W449" s="30"/>
      <c r="X449" s="30"/>
      <c r="Y449" t="s">
        <v>6499</v>
      </c>
    </row>
    <row r="450" spans="1:25" x14ac:dyDescent="0.3">
      <c r="A450" s="2" t="s">
        <v>85</v>
      </c>
      <c r="B450" s="28" t="s">
        <v>6248</v>
      </c>
      <c r="C450" s="2" t="s">
        <v>86</v>
      </c>
      <c r="D450" s="2" t="s">
        <v>6474</v>
      </c>
      <c r="E450" s="28" t="s">
        <v>6237</v>
      </c>
      <c r="F450" s="28" t="str">
        <f t="shared" si="37"/>
        <v>2690District LevelTurnaround Network</v>
      </c>
      <c r="G450" s="28" t="s">
        <v>6237</v>
      </c>
      <c r="H450" s="28" t="str">
        <f t="shared" ref="H450:H513" si="38">A450&amp;B450&amp;G450</f>
        <v>2690District LevelTurnaround Network</v>
      </c>
      <c r="I450" s="29">
        <v>2</v>
      </c>
      <c r="J450" s="28" t="str">
        <f t="shared" ref="J450:J513" si="39">H450&amp;I450</f>
        <v>2690District LevelTurnaround Network2</v>
      </c>
      <c r="K450" s="30">
        <v>56202</v>
      </c>
      <c r="L450" s="30"/>
      <c r="M450" s="30"/>
      <c r="N450" s="30">
        <v>0</v>
      </c>
      <c r="O450" s="30">
        <v>40000</v>
      </c>
      <c r="P450" s="30">
        <v>0</v>
      </c>
      <c r="Q450" s="30">
        <v>0</v>
      </c>
      <c r="R450" s="30">
        <v>0</v>
      </c>
      <c r="S450" s="30">
        <v>0</v>
      </c>
      <c r="T450" s="30">
        <v>0</v>
      </c>
      <c r="U450" s="30"/>
      <c r="V450" s="30"/>
      <c r="W450" s="30"/>
      <c r="X450" s="30"/>
      <c r="Y450" t="s">
        <v>6499</v>
      </c>
    </row>
    <row r="451" spans="1:25" x14ac:dyDescent="0.3">
      <c r="A451" s="2" t="s">
        <v>85</v>
      </c>
      <c r="B451" s="28" t="s">
        <v>6248</v>
      </c>
      <c r="C451" s="2" t="s">
        <v>86</v>
      </c>
      <c r="D451" s="2" t="s">
        <v>6474</v>
      </c>
      <c r="E451" s="28" t="s">
        <v>6481</v>
      </c>
      <c r="F451" s="28" t="str">
        <f t="shared" si="37"/>
        <v>2690District LevelExpansion</v>
      </c>
      <c r="G451" s="28" t="s">
        <v>6233</v>
      </c>
      <c r="H451" s="28" t="str">
        <f t="shared" si="38"/>
        <v>2690District LevelDistrict Design and Led</v>
      </c>
      <c r="I451" s="29">
        <v>3</v>
      </c>
      <c r="J451" s="28" t="str">
        <f t="shared" si="39"/>
        <v>2690District LevelDistrict Design and Led3</v>
      </c>
      <c r="K451" s="30"/>
      <c r="L451" s="30">
        <v>12846</v>
      </c>
      <c r="M451" s="30">
        <v>328200</v>
      </c>
      <c r="N451" s="30">
        <v>0</v>
      </c>
      <c r="O451" s="30" t="s">
        <v>6462</v>
      </c>
      <c r="P451" s="30" t="s">
        <v>6462</v>
      </c>
      <c r="Q451" s="30">
        <v>0</v>
      </c>
      <c r="R451" s="30">
        <v>0</v>
      </c>
      <c r="S451" s="30">
        <v>0</v>
      </c>
      <c r="T451" s="30">
        <v>0</v>
      </c>
      <c r="U451" s="30"/>
      <c r="V451" s="30"/>
      <c r="W451" s="30"/>
      <c r="X451" s="30"/>
      <c r="Y451" t="s">
        <v>6499</v>
      </c>
    </row>
    <row r="452" spans="1:25" x14ac:dyDescent="0.3">
      <c r="A452" s="2" t="s">
        <v>85</v>
      </c>
      <c r="B452" s="2" t="s">
        <v>6248</v>
      </c>
      <c r="C452" s="2" t="s">
        <v>86</v>
      </c>
      <c r="D452" s="2" t="s">
        <v>6474</v>
      </c>
      <c r="E452" s="28" t="s">
        <v>6237</v>
      </c>
      <c r="F452" s="28" t="str">
        <f t="shared" si="37"/>
        <v>2690District LevelTurnaround Network</v>
      </c>
      <c r="G452" s="28" t="s">
        <v>6237</v>
      </c>
      <c r="H452" s="28" t="str">
        <f t="shared" si="38"/>
        <v>2690District LevelTurnaround Network</v>
      </c>
      <c r="I452" s="29">
        <v>3</v>
      </c>
      <c r="J452" s="28" t="str">
        <f t="shared" si="39"/>
        <v>2690District LevelTurnaround Network3</v>
      </c>
      <c r="K452" s="30"/>
      <c r="L452" s="30">
        <v>40000</v>
      </c>
      <c r="M452" s="30"/>
      <c r="N452" s="30">
        <v>0</v>
      </c>
      <c r="O452" s="30"/>
      <c r="P452" s="30">
        <v>0</v>
      </c>
      <c r="Q452" s="30">
        <v>0</v>
      </c>
      <c r="R452" s="30">
        <v>0</v>
      </c>
      <c r="S452" s="30">
        <v>0</v>
      </c>
      <c r="T452" s="30">
        <v>0</v>
      </c>
      <c r="U452" s="30"/>
      <c r="V452" s="30"/>
      <c r="W452" s="30"/>
      <c r="X452" s="30"/>
      <c r="Y452" t="s">
        <v>6499</v>
      </c>
    </row>
    <row r="453" spans="1:25" x14ac:dyDescent="0.3">
      <c r="A453" s="2" t="s">
        <v>85</v>
      </c>
      <c r="B453" s="2" t="s">
        <v>6248</v>
      </c>
      <c r="C453" s="2" t="s">
        <v>86</v>
      </c>
      <c r="D453" s="2" t="s">
        <v>6474</v>
      </c>
      <c r="E453" s="28" t="s">
        <v>6475</v>
      </c>
      <c r="F453" s="28" t="s">
        <v>6476</v>
      </c>
      <c r="G453" s="28" t="s">
        <v>6233</v>
      </c>
      <c r="H453" s="28" t="str">
        <f t="shared" si="38"/>
        <v>2690District LevelDistrict Design and Led</v>
      </c>
      <c r="I453" s="29">
        <v>4</v>
      </c>
      <c r="J453" s="28" t="str">
        <f t="shared" si="39"/>
        <v>2690District LevelDistrict Design and Led4</v>
      </c>
      <c r="K453" s="30"/>
      <c r="L453" s="30"/>
      <c r="M453" s="30"/>
      <c r="N453" s="30"/>
      <c r="O453" s="30"/>
      <c r="P453" s="30"/>
      <c r="Q453" s="30"/>
      <c r="R453" s="30">
        <v>0</v>
      </c>
      <c r="S453" s="30">
        <v>0</v>
      </c>
      <c r="T453" s="30">
        <v>10400</v>
      </c>
      <c r="U453" s="30"/>
      <c r="V453" s="30"/>
      <c r="W453" s="30"/>
      <c r="X453" s="30"/>
      <c r="Y453" t="s">
        <v>6499</v>
      </c>
    </row>
    <row r="454" spans="1:25" x14ac:dyDescent="0.3">
      <c r="A454" s="2" t="s">
        <v>85</v>
      </c>
      <c r="B454" s="2" t="s">
        <v>6248</v>
      </c>
      <c r="C454" s="2" t="s">
        <v>86</v>
      </c>
      <c r="D454" s="2" t="s">
        <v>6474</v>
      </c>
      <c r="E454" s="2" t="s">
        <v>6457</v>
      </c>
      <c r="F454" s="28" t="s">
        <v>6483</v>
      </c>
      <c r="G454" s="2" t="s">
        <v>6241</v>
      </c>
      <c r="H454" s="28" t="str">
        <f t="shared" si="38"/>
        <v>2690District LevelSchool Turnaround Leadership Development Program</v>
      </c>
      <c r="I454" s="29">
        <v>4</v>
      </c>
      <c r="J454" s="28" t="str">
        <f t="shared" si="39"/>
        <v>2690District LevelSchool Turnaround Leadership Development Program4</v>
      </c>
      <c r="K454" s="32"/>
      <c r="L454" s="32"/>
      <c r="M454" s="32"/>
      <c r="N454" s="30"/>
      <c r="O454" s="30"/>
      <c r="P454" s="30"/>
      <c r="Q454" s="30">
        <v>33400</v>
      </c>
      <c r="R454" s="30">
        <v>0</v>
      </c>
      <c r="S454" s="30">
        <v>0</v>
      </c>
      <c r="T454" s="30">
        <v>0</v>
      </c>
      <c r="U454" s="30"/>
      <c r="V454" s="30"/>
      <c r="W454" s="30"/>
      <c r="X454" s="30"/>
      <c r="Y454" t="s">
        <v>6499</v>
      </c>
    </row>
    <row r="455" spans="1:25" x14ac:dyDescent="0.3">
      <c r="A455" s="28" t="s">
        <v>85</v>
      </c>
      <c r="B455" s="28" t="s">
        <v>6248</v>
      </c>
      <c r="C455" s="2" t="s">
        <v>86</v>
      </c>
      <c r="D455" s="2" t="s">
        <v>6474</v>
      </c>
      <c r="E455" s="28" t="s">
        <v>6457</v>
      </c>
      <c r="F455" s="28" t="str">
        <f>A455&amp;B455&amp;E455</f>
        <v>2690District LevelOfferedServices</v>
      </c>
      <c r="G455" s="2" t="s">
        <v>6241</v>
      </c>
      <c r="H455" s="28" t="str">
        <f t="shared" si="38"/>
        <v>2690District LevelSchool Turnaround Leadership Development Program</v>
      </c>
      <c r="I455" s="29">
        <v>5</v>
      </c>
      <c r="J455" s="28" t="str">
        <f t="shared" si="39"/>
        <v>2690District LevelSchool Turnaround Leadership Development Program5</v>
      </c>
      <c r="K455" s="30">
        <v>0</v>
      </c>
      <c r="L455" s="30">
        <v>0</v>
      </c>
      <c r="M455" s="30">
        <v>0</v>
      </c>
      <c r="N455" s="30">
        <v>0</v>
      </c>
      <c r="O455" s="30">
        <v>0</v>
      </c>
      <c r="P455" s="30">
        <v>0</v>
      </c>
      <c r="Q455" s="30">
        <v>0</v>
      </c>
      <c r="R455" s="30">
        <v>0</v>
      </c>
      <c r="S455" s="30">
        <v>0</v>
      </c>
      <c r="T455" s="30">
        <v>0</v>
      </c>
      <c r="U455" s="30">
        <v>112840</v>
      </c>
      <c r="V455" s="30">
        <v>27125</v>
      </c>
      <c r="W455" s="30">
        <v>0</v>
      </c>
      <c r="X455" s="30">
        <v>0</v>
      </c>
      <c r="Y455" t="s">
        <v>6500</v>
      </c>
    </row>
    <row r="456" spans="1:25" x14ac:dyDescent="0.3">
      <c r="A456" s="2" t="s">
        <v>85</v>
      </c>
      <c r="B456" s="2" t="s">
        <v>6488</v>
      </c>
      <c r="C456" s="2" t="s">
        <v>86</v>
      </c>
      <c r="D456" s="2" t="s">
        <v>6474</v>
      </c>
      <c r="E456" s="28" t="s">
        <v>6475</v>
      </c>
      <c r="F456" s="28" t="s">
        <v>6476</v>
      </c>
      <c r="G456" s="28" t="s">
        <v>6233</v>
      </c>
      <c r="H456" s="28" t="str">
        <f t="shared" si="38"/>
        <v>2690District Level, 0822, 5916, 4376, 7481District Design and Led</v>
      </c>
      <c r="I456" s="29">
        <v>4</v>
      </c>
      <c r="J456" s="28" t="str">
        <f t="shared" si="39"/>
        <v>2690District Level, 0822, 5916, 4376, 7481District Design and Led4</v>
      </c>
      <c r="K456" s="30"/>
      <c r="L456" s="30"/>
      <c r="M456" s="30"/>
      <c r="N456" s="30"/>
      <c r="O456" s="30"/>
      <c r="P456" s="30"/>
      <c r="Q456" s="30">
        <v>74600</v>
      </c>
      <c r="R456" s="30">
        <v>0</v>
      </c>
      <c r="S456" s="30">
        <v>0</v>
      </c>
      <c r="T456" s="30">
        <v>0</v>
      </c>
      <c r="U456" s="30"/>
      <c r="V456" s="30"/>
      <c r="W456" s="30"/>
      <c r="X456" s="30"/>
      <c r="Y456" t="s">
        <v>6499</v>
      </c>
    </row>
    <row r="457" spans="1:25" x14ac:dyDescent="0.3">
      <c r="A457" s="2" t="s">
        <v>188</v>
      </c>
      <c r="B457" s="2" t="s">
        <v>3368</v>
      </c>
      <c r="C457" s="2" t="s">
        <v>1916</v>
      </c>
      <c r="D457" s="2" t="s">
        <v>3369</v>
      </c>
      <c r="E457" s="28" t="s">
        <v>6468</v>
      </c>
      <c r="F457" s="28" t="s">
        <v>6470</v>
      </c>
      <c r="G457" s="28" t="s">
        <v>6240</v>
      </c>
      <c r="H457" s="28" t="str">
        <f t="shared" si="38"/>
        <v>27406030Diagnostic Review</v>
      </c>
      <c r="I457" s="29">
        <v>4</v>
      </c>
      <c r="J457" s="28" t="str">
        <f t="shared" si="39"/>
        <v>27406030Diagnostic Review4</v>
      </c>
      <c r="K457" s="30"/>
      <c r="L457" s="30"/>
      <c r="M457" s="30"/>
      <c r="N457" s="30"/>
      <c r="O457" s="30"/>
      <c r="P457" s="30"/>
      <c r="Q457" s="30">
        <v>6084</v>
      </c>
      <c r="R457" s="30">
        <v>0</v>
      </c>
      <c r="S457" s="30">
        <v>0</v>
      </c>
      <c r="T457" s="30">
        <v>13916</v>
      </c>
      <c r="U457" s="30"/>
      <c r="V457" s="30"/>
      <c r="W457" s="30"/>
      <c r="X457" s="30"/>
      <c r="Y457" t="s">
        <v>6499</v>
      </c>
    </row>
    <row r="458" spans="1:25" x14ac:dyDescent="0.3">
      <c r="A458" s="28" t="s">
        <v>188</v>
      </c>
      <c r="B458" s="28" t="s">
        <v>4160</v>
      </c>
      <c r="C458" s="2" t="s">
        <v>1916</v>
      </c>
      <c r="D458" s="2" t="s">
        <v>4161</v>
      </c>
      <c r="E458" s="28" t="s">
        <v>6460</v>
      </c>
      <c r="F458" s="28" t="str">
        <f>A458&amp;B458&amp;E458</f>
        <v>27406036Connect For Success 16-19</v>
      </c>
      <c r="G458" s="28" t="s">
        <v>6234</v>
      </c>
      <c r="H458" s="28" t="str">
        <f t="shared" si="38"/>
        <v>27406036Connect For Success</v>
      </c>
      <c r="I458" s="29">
        <v>1</v>
      </c>
      <c r="J458" s="28" t="str">
        <f t="shared" si="39"/>
        <v>27406036Connect For Success1</v>
      </c>
      <c r="K458" s="30">
        <v>0</v>
      </c>
      <c r="L458" s="30">
        <v>93559</v>
      </c>
      <c r="M458" s="30"/>
      <c r="N458" s="30">
        <v>0</v>
      </c>
      <c r="O458" s="30">
        <v>0</v>
      </c>
      <c r="P458" s="30">
        <v>0</v>
      </c>
      <c r="Q458" s="30">
        <v>0</v>
      </c>
      <c r="R458" s="30">
        <v>0</v>
      </c>
      <c r="S458" s="30">
        <v>0</v>
      </c>
      <c r="T458" s="30">
        <v>0</v>
      </c>
      <c r="U458" s="30"/>
      <c r="V458" s="30"/>
      <c r="W458" s="30"/>
      <c r="X458" s="30"/>
      <c r="Y458" t="s">
        <v>6499</v>
      </c>
    </row>
    <row r="459" spans="1:25" x14ac:dyDescent="0.3">
      <c r="A459" s="28" t="s">
        <v>188</v>
      </c>
      <c r="B459" s="28" t="s">
        <v>6248</v>
      </c>
      <c r="C459" s="2" t="s">
        <v>1916</v>
      </c>
      <c r="D459" s="2" t="s">
        <v>6474</v>
      </c>
      <c r="E459" s="28" t="s">
        <v>6475</v>
      </c>
      <c r="F459" s="28" t="str">
        <f>A459&amp;B459&amp;E459</f>
        <v>2740District LevelDDL</v>
      </c>
      <c r="G459" s="28" t="s">
        <v>6233</v>
      </c>
      <c r="H459" s="28" t="str">
        <f t="shared" si="38"/>
        <v>2740District LevelDistrict Design and Led</v>
      </c>
      <c r="I459" s="29">
        <v>5</v>
      </c>
      <c r="J459" s="28" t="str">
        <f t="shared" si="39"/>
        <v>2740District LevelDistrict Design and Led5</v>
      </c>
      <c r="K459" s="30">
        <v>0</v>
      </c>
      <c r="L459" s="30">
        <v>0</v>
      </c>
      <c r="M459" s="30">
        <v>0</v>
      </c>
      <c r="N459" s="30">
        <v>0</v>
      </c>
      <c r="O459" s="30">
        <v>0</v>
      </c>
      <c r="P459" s="30">
        <v>0</v>
      </c>
      <c r="Q459" s="30">
        <v>0</v>
      </c>
      <c r="R459" s="30">
        <v>0</v>
      </c>
      <c r="S459" s="30">
        <v>0</v>
      </c>
      <c r="T459" s="30">
        <v>0</v>
      </c>
      <c r="U459" s="30">
        <v>17242</v>
      </c>
      <c r="V459" s="30">
        <v>18472</v>
      </c>
      <c r="W459" s="30">
        <v>17312</v>
      </c>
      <c r="X459" s="30">
        <v>0</v>
      </c>
      <c r="Y459" t="s">
        <v>6500</v>
      </c>
    </row>
    <row r="460" spans="1:25" x14ac:dyDescent="0.3">
      <c r="A460" s="2" t="s">
        <v>1040</v>
      </c>
      <c r="B460" s="2" t="s">
        <v>3325</v>
      </c>
      <c r="C460" s="2" t="s">
        <v>1041</v>
      </c>
      <c r="D460" s="2" t="s">
        <v>3326</v>
      </c>
      <c r="E460" s="28" t="s">
        <v>6464</v>
      </c>
      <c r="F460" s="28" t="str">
        <f>A460&amp;B460&amp;E460</f>
        <v>27602522Diagnostic Review 17-18</v>
      </c>
      <c r="G460" s="28" t="s">
        <v>6240</v>
      </c>
      <c r="H460" s="28" t="str">
        <f t="shared" si="38"/>
        <v>27602522Diagnostic Review</v>
      </c>
      <c r="I460" s="29">
        <v>2</v>
      </c>
      <c r="J460" s="28" t="str">
        <f t="shared" si="39"/>
        <v>27602522Diagnostic Review2</v>
      </c>
      <c r="K460" s="30">
        <v>50000</v>
      </c>
      <c r="L460" s="30"/>
      <c r="M460" s="30"/>
      <c r="N460" s="30">
        <v>0</v>
      </c>
      <c r="O460" s="30">
        <v>0</v>
      </c>
      <c r="P460" s="30">
        <v>0</v>
      </c>
      <c r="Q460" s="30">
        <v>0</v>
      </c>
      <c r="R460" s="30">
        <v>0</v>
      </c>
      <c r="S460" s="30">
        <v>0</v>
      </c>
      <c r="T460" s="30">
        <v>0</v>
      </c>
      <c r="U460" s="30"/>
      <c r="V460" s="30"/>
      <c r="W460" s="30"/>
      <c r="X460" s="30"/>
      <c r="Y460" t="s">
        <v>6499</v>
      </c>
    </row>
    <row r="461" spans="1:25" x14ac:dyDescent="0.3">
      <c r="A461" s="2" t="s">
        <v>1040</v>
      </c>
      <c r="B461" s="2" t="s">
        <v>3325</v>
      </c>
      <c r="C461" s="2" t="s">
        <v>1041</v>
      </c>
      <c r="D461" s="2" t="s">
        <v>3326</v>
      </c>
      <c r="E461" s="2" t="s">
        <v>6484</v>
      </c>
      <c r="F461" s="28" t="str">
        <f>A461&amp;B461&amp;E461</f>
        <v>27602522School Turnaround Leaders Program</v>
      </c>
      <c r="G461" s="2" t="s">
        <v>6241</v>
      </c>
      <c r="H461" s="28" t="str">
        <f t="shared" si="38"/>
        <v>27602522School Turnaround Leadership Development Program</v>
      </c>
      <c r="I461" s="29">
        <v>2</v>
      </c>
      <c r="J461" s="28" t="str">
        <f t="shared" si="39"/>
        <v>27602522School Turnaround Leadership Development Program2</v>
      </c>
      <c r="K461" s="32"/>
      <c r="L461" s="32">
        <v>47520</v>
      </c>
      <c r="M461" s="32">
        <v>82000</v>
      </c>
      <c r="N461" s="30">
        <v>0</v>
      </c>
      <c r="O461" s="30" t="s">
        <v>6462</v>
      </c>
      <c r="P461" s="30" t="s">
        <v>6462</v>
      </c>
      <c r="Q461" s="30">
        <v>0</v>
      </c>
      <c r="R461" s="30">
        <v>0</v>
      </c>
      <c r="S461" s="30">
        <v>0</v>
      </c>
      <c r="T461" s="30">
        <v>0</v>
      </c>
      <c r="U461" s="30"/>
      <c r="V461" s="30"/>
      <c r="W461" s="30"/>
      <c r="X461" s="30"/>
      <c r="Y461" t="s">
        <v>6499</v>
      </c>
    </row>
    <row r="462" spans="1:25" x14ac:dyDescent="0.3">
      <c r="A462" s="2" t="s">
        <v>1040</v>
      </c>
      <c r="B462" s="2" t="s">
        <v>3325</v>
      </c>
      <c r="C462" s="2" t="s">
        <v>1041</v>
      </c>
      <c r="D462" s="2" t="s">
        <v>3326</v>
      </c>
      <c r="E462" s="28" t="s">
        <v>6475</v>
      </c>
      <c r="F462" s="28" t="s">
        <v>6476</v>
      </c>
      <c r="G462" s="28" t="s">
        <v>6233</v>
      </c>
      <c r="H462" s="28" t="str">
        <f t="shared" si="38"/>
        <v>27602522District Design and Led</v>
      </c>
      <c r="I462" s="29">
        <v>4</v>
      </c>
      <c r="J462" s="28" t="str">
        <f t="shared" si="39"/>
        <v>27602522District Design and Led4</v>
      </c>
      <c r="K462" s="30"/>
      <c r="L462" s="30"/>
      <c r="M462" s="30"/>
      <c r="N462" s="30"/>
      <c r="O462" s="30"/>
      <c r="P462" s="30"/>
      <c r="Q462" s="30">
        <v>22068</v>
      </c>
      <c r="R462" s="30">
        <v>0</v>
      </c>
      <c r="S462" s="30">
        <v>0</v>
      </c>
      <c r="T462" s="30">
        <v>49941</v>
      </c>
      <c r="U462" s="30"/>
      <c r="V462" s="30"/>
      <c r="W462" s="30"/>
      <c r="X462" s="30"/>
      <c r="Y462" t="s">
        <v>6499</v>
      </c>
    </row>
    <row r="463" spans="1:25" x14ac:dyDescent="0.3">
      <c r="A463" s="2" t="s">
        <v>1040</v>
      </c>
      <c r="B463" s="28" t="s">
        <v>6248</v>
      </c>
      <c r="C463" s="2" t="s">
        <v>1041</v>
      </c>
      <c r="D463" s="2" t="s">
        <v>6474</v>
      </c>
      <c r="E463" s="28" t="s">
        <v>6461</v>
      </c>
      <c r="F463" s="28" t="str">
        <f>A463&amp;B463&amp;E463</f>
        <v>2760District LevelConsultation 17-18</v>
      </c>
      <c r="G463" s="28" t="s">
        <v>6239</v>
      </c>
      <c r="H463" s="28" t="str">
        <f t="shared" si="38"/>
        <v>2760District LevelConsultation</v>
      </c>
      <c r="I463" s="29">
        <v>1</v>
      </c>
      <c r="J463" s="28" t="str">
        <f t="shared" si="39"/>
        <v>2760District LevelConsultation1</v>
      </c>
      <c r="K463" s="30">
        <v>1044</v>
      </c>
      <c r="L463" s="30"/>
      <c r="M463" s="30"/>
      <c r="N463" s="30">
        <v>0</v>
      </c>
      <c r="O463" s="30" t="s">
        <v>6462</v>
      </c>
      <c r="P463" s="30" t="s">
        <v>6462</v>
      </c>
      <c r="Q463" s="30">
        <v>0</v>
      </c>
      <c r="R463" s="30">
        <v>0</v>
      </c>
      <c r="S463" s="30">
        <v>0</v>
      </c>
      <c r="T463" s="30">
        <v>0</v>
      </c>
      <c r="U463" s="30"/>
      <c r="V463" s="30"/>
      <c r="W463" s="30"/>
      <c r="X463" s="30"/>
      <c r="Y463" t="s">
        <v>6499</v>
      </c>
    </row>
    <row r="464" spans="1:25" x14ac:dyDescent="0.3">
      <c r="A464" s="28" t="s">
        <v>40</v>
      </c>
      <c r="B464" s="28" t="s">
        <v>3329</v>
      </c>
      <c r="C464" s="2" t="s">
        <v>41</v>
      </c>
      <c r="D464" s="2" t="s">
        <v>3330</v>
      </c>
      <c r="E464" s="28" t="s">
        <v>6238</v>
      </c>
      <c r="F464" s="28" t="str">
        <f>A464&amp;B464&amp;E464</f>
        <v>27709757AEC Pilot</v>
      </c>
      <c r="G464" s="28" t="s">
        <v>6238</v>
      </c>
      <c r="H464" s="28" t="str">
        <f t="shared" si="38"/>
        <v>27709757AEC Pilot</v>
      </c>
      <c r="I464" s="29">
        <v>2</v>
      </c>
      <c r="J464" s="28" t="str">
        <f t="shared" si="39"/>
        <v>27709757AEC Pilot2</v>
      </c>
      <c r="K464" s="30"/>
      <c r="L464" s="30"/>
      <c r="M464" s="30"/>
      <c r="N464" s="30">
        <v>0</v>
      </c>
      <c r="O464" s="30">
        <v>20000</v>
      </c>
      <c r="P464" s="30">
        <v>0</v>
      </c>
      <c r="Q464" s="30">
        <v>0</v>
      </c>
      <c r="R464" s="30">
        <v>0</v>
      </c>
      <c r="S464" s="30">
        <v>0</v>
      </c>
      <c r="T464" s="30">
        <v>0</v>
      </c>
      <c r="U464" s="30"/>
      <c r="V464" s="30"/>
      <c r="W464" s="30"/>
      <c r="X464" s="30"/>
      <c r="Y464" t="s">
        <v>6499</v>
      </c>
    </row>
    <row r="465" spans="1:25" x14ac:dyDescent="0.3">
      <c r="A465" s="2" t="s">
        <v>40</v>
      </c>
      <c r="B465" s="2" t="s">
        <v>3329</v>
      </c>
      <c r="C465" s="2" t="s">
        <v>41</v>
      </c>
      <c r="D465" s="2" t="s">
        <v>3330</v>
      </c>
      <c r="E465" s="28" t="s">
        <v>6468</v>
      </c>
      <c r="F465" s="28" t="s">
        <v>6469</v>
      </c>
      <c r="G465" s="28" t="s">
        <v>6240</v>
      </c>
      <c r="H465" s="28" t="str">
        <f t="shared" si="38"/>
        <v>27709757Diagnostic Review</v>
      </c>
      <c r="I465" s="29">
        <v>4</v>
      </c>
      <c r="J465" s="28" t="str">
        <f t="shared" si="39"/>
        <v>27709757Diagnostic Review4</v>
      </c>
      <c r="K465" s="30"/>
      <c r="L465" s="30"/>
      <c r="M465" s="30"/>
      <c r="N465" s="30"/>
      <c r="O465" s="30"/>
      <c r="P465" s="30"/>
      <c r="Q465" s="30">
        <v>30000</v>
      </c>
      <c r="R465" s="30">
        <v>0</v>
      </c>
      <c r="S465" s="30">
        <v>0</v>
      </c>
      <c r="T465" s="30">
        <v>10000</v>
      </c>
      <c r="U465" s="30"/>
      <c r="V465" s="30"/>
      <c r="W465" s="30"/>
      <c r="X465" s="30"/>
      <c r="Y465" t="s">
        <v>6499</v>
      </c>
    </row>
    <row r="466" spans="1:25" x14ac:dyDescent="0.3">
      <c r="A466" s="28" t="s">
        <v>40</v>
      </c>
      <c r="B466" s="28" t="s">
        <v>6248</v>
      </c>
      <c r="C466" s="2" t="s">
        <v>41</v>
      </c>
      <c r="D466" s="2" t="s">
        <v>6474</v>
      </c>
      <c r="E466" s="28" t="s">
        <v>6475</v>
      </c>
      <c r="F466" s="28" t="str">
        <f t="shared" ref="F466:F497" si="40">A466&amp;B466&amp;E466</f>
        <v>2770District LevelDDL</v>
      </c>
      <c r="G466" s="28" t="s">
        <v>6233</v>
      </c>
      <c r="H466" s="28" t="str">
        <f t="shared" si="38"/>
        <v>2770District LevelDistrict Design and Led</v>
      </c>
      <c r="I466" s="29">
        <v>5</v>
      </c>
      <c r="J466" s="28" t="str">
        <f t="shared" si="39"/>
        <v>2770District LevelDistrict Design and Led5</v>
      </c>
      <c r="K466" s="30">
        <v>0</v>
      </c>
      <c r="L466" s="30">
        <v>0</v>
      </c>
      <c r="M466" s="30">
        <v>0</v>
      </c>
      <c r="N466" s="30">
        <v>0</v>
      </c>
      <c r="O466" s="30">
        <v>0</v>
      </c>
      <c r="P466" s="30">
        <v>0</v>
      </c>
      <c r="Q466" s="30">
        <v>0</v>
      </c>
      <c r="R466" s="30">
        <v>0</v>
      </c>
      <c r="S466" s="30">
        <v>0</v>
      </c>
      <c r="T466" s="30">
        <v>0</v>
      </c>
      <c r="U466" s="30">
        <v>25000</v>
      </c>
      <c r="V466" s="30">
        <v>25000</v>
      </c>
      <c r="W466" s="30">
        <v>25000</v>
      </c>
      <c r="X466" s="30">
        <v>0</v>
      </c>
      <c r="Y466" t="s">
        <v>6499</v>
      </c>
    </row>
    <row r="467" spans="1:25" x14ac:dyDescent="0.3">
      <c r="A467" s="28" t="s">
        <v>1732</v>
      </c>
      <c r="B467" s="28" t="s">
        <v>4688</v>
      </c>
      <c r="C467" s="2" t="s">
        <v>1733</v>
      </c>
      <c r="D467" s="2" t="s">
        <v>4689</v>
      </c>
      <c r="E467" s="28" t="s">
        <v>6468</v>
      </c>
      <c r="F467" s="28" t="str">
        <f t="shared" si="40"/>
        <v>28101368Exploration</v>
      </c>
      <c r="G467" s="28" t="s">
        <v>6240</v>
      </c>
      <c r="H467" s="28" t="str">
        <f t="shared" si="38"/>
        <v>28101368Diagnostic Review</v>
      </c>
      <c r="I467" s="29">
        <v>5</v>
      </c>
      <c r="J467" s="28" t="str">
        <f t="shared" si="39"/>
        <v>28101368Diagnostic Review5</v>
      </c>
      <c r="K467" s="30">
        <v>0</v>
      </c>
      <c r="L467" s="30">
        <v>0</v>
      </c>
      <c r="M467" s="30">
        <v>0</v>
      </c>
      <c r="N467" s="30">
        <v>0</v>
      </c>
      <c r="O467" s="30">
        <v>0</v>
      </c>
      <c r="P467" s="30">
        <v>0</v>
      </c>
      <c r="Q467" s="30">
        <v>0</v>
      </c>
      <c r="R467" s="30">
        <v>0</v>
      </c>
      <c r="S467" s="30">
        <v>0</v>
      </c>
      <c r="T467" s="30">
        <v>0</v>
      </c>
      <c r="U467" s="30">
        <v>60000</v>
      </c>
      <c r="V467" s="30">
        <v>20000</v>
      </c>
      <c r="W467" s="30">
        <v>0</v>
      </c>
      <c r="X467" s="30">
        <v>0</v>
      </c>
      <c r="Y467" t="s">
        <v>6499</v>
      </c>
    </row>
    <row r="468" spans="1:25" x14ac:dyDescent="0.3">
      <c r="A468" s="28" t="s">
        <v>1732</v>
      </c>
      <c r="B468" s="28" t="s">
        <v>3994</v>
      </c>
      <c r="C468" s="2" t="s">
        <v>1733</v>
      </c>
      <c r="D468" s="2" t="s">
        <v>3995</v>
      </c>
      <c r="E468" s="28" t="s">
        <v>6468</v>
      </c>
      <c r="F468" s="28" t="str">
        <f t="shared" si="40"/>
        <v>28101412Exploration</v>
      </c>
      <c r="G468" s="28" t="s">
        <v>6240</v>
      </c>
      <c r="H468" s="28" t="str">
        <f t="shared" si="38"/>
        <v>28101412Diagnostic Review</v>
      </c>
      <c r="I468" s="29">
        <v>5</v>
      </c>
      <c r="J468" s="28" t="str">
        <f t="shared" si="39"/>
        <v>28101412Diagnostic Review5</v>
      </c>
      <c r="K468" s="30">
        <v>0</v>
      </c>
      <c r="L468" s="30">
        <v>0</v>
      </c>
      <c r="M468" s="30">
        <v>0</v>
      </c>
      <c r="N468" s="30">
        <v>0</v>
      </c>
      <c r="O468" s="30">
        <v>0</v>
      </c>
      <c r="P468" s="30">
        <v>0</v>
      </c>
      <c r="Q468" s="30">
        <v>0</v>
      </c>
      <c r="R468" s="30">
        <v>0</v>
      </c>
      <c r="S468" s="30">
        <v>0</v>
      </c>
      <c r="T468" s="30">
        <v>0</v>
      </c>
      <c r="U468" s="30">
        <v>60000</v>
      </c>
      <c r="V468" s="30">
        <v>20000</v>
      </c>
      <c r="W468" s="30">
        <v>0</v>
      </c>
      <c r="X468" s="30">
        <v>0</v>
      </c>
      <c r="Y468" t="s">
        <v>6499</v>
      </c>
    </row>
    <row r="469" spans="1:25" x14ac:dyDescent="0.3">
      <c r="A469" s="28" t="s">
        <v>1732</v>
      </c>
      <c r="B469" s="28" t="s">
        <v>6248</v>
      </c>
      <c r="C469" s="2" t="s">
        <v>1733</v>
      </c>
      <c r="D469" s="2" t="s">
        <v>6474</v>
      </c>
      <c r="E469" s="28" t="s">
        <v>6468</v>
      </c>
      <c r="F469" s="28" t="str">
        <f t="shared" si="40"/>
        <v>2810District LevelExploration</v>
      </c>
      <c r="G469" s="28" t="s">
        <v>6240</v>
      </c>
      <c r="H469" s="28" t="str">
        <f t="shared" si="38"/>
        <v>2810District LevelDiagnostic Review</v>
      </c>
      <c r="I469" s="29">
        <v>5</v>
      </c>
      <c r="J469" s="28" t="str">
        <f t="shared" si="39"/>
        <v>2810District LevelDiagnostic Review5</v>
      </c>
      <c r="K469" s="30">
        <v>0</v>
      </c>
      <c r="L469" s="30">
        <v>0</v>
      </c>
      <c r="M469" s="30">
        <v>0</v>
      </c>
      <c r="N469" s="30">
        <v>0</v>
      </c>
      <c r="O469" s="30">
        <v>0</v>
      </c>
      <c r="P469" s="30">
        <v>0</v>
      </c>
      <c r="Q469" s="30">
        <v>0</v>
      </c>
      <c r="R469" s="30">
        <v>0</v>
      </c>
      <c r="S469" s="30">
        <v>0</v>
      </c>
      <c r="T469" s="30">
        <v>0</v>
      </c>
      <c r="U469" s="30">
        <v>12000</v>
      </c>
      <c r="V469" s="30">
        <v>0</v>
      </c>
      <c r="W469" s="30">
        <v>0</v>
      </c>
      <c r="X469" s="30">
        <v>0</v>
      </c>
      <c r="Y469" t="s">
        <v>6500</v>
      </c>
    </row>
    <row r="470" spans="1:25" x14ac:dyDescent="0.3">
      <c r="A470" s="2" t="s">
        <v>1020</v>
      </c>
      <c r="B470" s="2" t="s">
        <v>6221</v>
      </c>
      <c r="C470" s="2" t="s">
        <v>1021</v>
      </c>
      <c r="D470" s="2" t="s">
        <v>6222</v>
      </c>
      <c r="E470" s="28" t="s">
        <v>6463</v>
      </c>
      <c r="F470" s="28" t="str">
        <f t="shared" si="40"/>
        <v>30008372Diagnostic Review 18-19</v>
      </c>
      <c r="G470" s="28" t="s">
        <v>6240</v>
      </c>
      <c r="H470" s="28" t="str">
        <f t="shared" si="38"/>
        <v>30008372Diagnostic Review</v>
      </c>
      <c r="I470" s="29">
        <v>3</v>
      </c>
      <c r="J470" s="28" t="str">
        <f t="shared" si="39"/>
        <v>30008372Diagnostic Review3</v>
      </c>
      <c r="K470" s="30"/>
      <c r="L470" s="30">
        <v>55050</v>
      </c>
      <c r="M470" s="30"/>
      <c r="N470" s="30">
        <v>0</v>
      </c>
      <c r="O470" s="30">
        <v>0</v>
      </c>
      <c r="P470" s="30">
        <v>0</v>
      </c>
      <c r="Q470" s="30">
        <v>0</v>
      </c>
      <c r="R470" s="30">
        <v>0</v>
      </c>
      <c r="S470" s="30">
        <v>0</v>
      </c>
      <c r="T470" s="30">
        <v>0</v>
      </c>
      <c r="U470" s="30"/>
      <c r="V470" s="30"/>
      <c r="W470" s="30"/>
      <c r="X470" s="30"/>
      <c r="Y470" t="s">
        <v>6499</v>
      </c>
    </row>
    <row r="471" spans="1:25" x14ac:dyDescent="0.3">
      <c r="A471" s="2" t="s">
        <v>1020</v>
      </c>
      <c r="B471" s="2" t="s">
        <v>1024</v>
      </c>
      <c r="C471" s="2" t="s">
        <v>1021</v>
      </c>
      <c r="D471" s="2" t="s">
        <v>1025</v>
      </c>
      <c r="E471" s="28" t="s">
        <v>6463</v>
      </c>
      <c r="F471" s="28" t="str">
        <f t="shared" si="40"/>
        <v>30008376Diagnostic Review 18-19</v>
      </c>
      <c r="G471" s="28" t="s">
        <v>6240</v>
      </c>
      <c r="H471" s="28" t="str">
        <f t="shared" si="38"/>
        <v>30008376Diagnostic Review</v>
      </c>
      <c r="I471" s="29">
        <v>3</v>
      </c>
      <c r="J471" s="28" t="str">
        <f t="shared" si="39"/>
        <v>30008376Diagnostic Review3</v>
      </c>
      <c r="K471" s="32"/>
      <c r="L471" s="32">
        <v>56750</v>
      </c>
      <c r="M471" s="32"/>
      <c r="N471" s="30">
        <v>0</v>
      </c>
      <c r="O471" s="32">
        <v>0</v>
      </c>
      <c r="P471" s="32">
        <v>0</v>
      </c>
      <c r="Q471" s="30">
        <v>0</v>
      </c>
      <c r="R471" s="30">
        <v>0</v>
      </c>
      <c r="S471" s="30">
        <v>0</v>
      </c>
      <c r="T471" s="30">
        <v>0</v>
      </c>
      <c r="U471" s="30"/>
      <c r="V471" s="30"/>
      <c r="W471" s="30"/>
      <c r="X471" s="30"/>
      <c r="Y471" t="s">
        <v>6499</v>
      </c>
    </row>
    <row r="472" spans="1:25" x14ac:dyDescent="0.3">
      <c r="A472" s="2" t="s">
        <v>1020</v>
      </c>
      <c r="B472" s="2" t="s">
        <v>1024</v>
      </c>
      <c r="C472" s="2" t="s">
        <v>1021</v>
      </c>
      <c r="D472" s="2" t="s">
        <v>1025</v>
      </c>
      <c r="E472" s="28" t="s">
        <v>6478</v>
      </c>
      <c r="F472" s="28" t="str">
        <f t="shared" si="40"/>
        <v>30008376District Design and Led 19-22</v>
      </c>
      <c r="G472" s="28" t="s">
        <v>6233</v>
      </c>
      <c r="H472" s="28" t="str">
        <f t="shared" si="38"/>
        <v>30008376District Design and Led</v>
      </c>
      <c r="I472" s="29">
        <v>3</v>
      </c>
      <c r="J472" s="28" t="str">
        <f t="shared" si="39"/>
        <v>30008376District Design and Led3</v>
      </c>
      <c r="K472" s="30"/>
      <c r="L472" s="30"/>
      <c r="M472" s="30"/>
      <c r="N472" s="30">
        <v>74250</v>
      </c>
      <c r="O472" s="30">
        <v>0</v>
      </c>
      <c r="P472" s="30">
        <v>74250</v>
      </c>
      <c r="Q472" s="30">
        <v>0</v>
      </c>
      <c r="R472" s="30">
        <v>0</v>
      </c>
      <c r="S472" s="30">
        <v>77643.225000000006</v>
      </c>
      <c r="T472" s="30">
        <v>0</v>
      </c>
      <c r="U472" s="30"/>
      <c r="V472" s="30"/>
      <c r="W472" s="30"/>
      <c r="X472" s="30"/>
      <c r="Y472" t="s">
        <v>6499</v>
      </c>
    </row>
    <row r="473" spans="1:25" x14ac:dyDescent="0.3">
      <c r="A473" s="28" t="s">
        <v>1020</v>
      </c>
      <c r="B473" s="28" t="s">
        <v>1024</v>
      </c>
      <c r="C473" s="2" t="s">
        <v>1021</v>
      </c>
      <c r="D473" s="2" t="s">
        <v>1025</v>
      </c>
      <c r="E473" s="28" t="s">
        <v>6457</v>
      </c>
      <c r="F473" s="28" t="str">
        <f t="shared" si="40"/>
        <v>30008376OfferedServices</v>
      </c>
      <c r="G473" s="28" t="s">
        <v>6237</v>
      </c>
      <c r="H473" s="28" t="str">
        <f t="shared" si="38"/>
        <v>30008376Turnaround Network</v>
      </c>
      <c r="I473" s="29">
        <v>5</v>
      </c>
      <c r="J473" s="28" t="str">
        <f t="shared" si="39"/>
        <v>30008376Turnaround Network5</v>
      </c>
      <c r="K473" s="30">
        <v>0</v>
      </c>
      <c r="L473" s="30">
        <v>0</v>
      </c>
      <c r="M473" s="30">
        <v>0</v>
      </c>
      <c r="N473" s="30">
        <v>0</v>
      </c>
      <c r="O473" s="30">
        <v>0</v>
      </c>
      <c r="P473" s="30">
        <v>0</v>
      </c>
      <c r="Q473" s="30">
        <v>0</v>
      </c>
      <c r="R473" s="30">
        <v>0</v>
      </c>
      <c r="S473" s="30">
        <v>0</v>
      </c>
      <c r="T473" s="30">
        <v>0</v>
      </c>
      <c r="U473" s="30">
        <v>10000</v>
      </c>
      <c r="V473" s="30">
        <v>20000</v>
      </c>
      <c r="W473" s="30">
        <v>75000</v>
      </c>
      <c r="X473" s="30">
        <v>30000</v>
      </c>
      <c r="Y473" t="s">
        <v>6499</v>
      </c>
    </row>
    <row r="474" spans="1:25" x14ac:dyDescent="0.3">
      <c r="A474" s="2" t="s">
        <v>1028</v>
      </c>
      <c r="B474" s="2" t="s">
        <v>5527</v>
      </c>
      <c r="C474" s="2" t="s">
        <v>1029</v>
      </c>
      <c r="D474" s="2" t="s">
        <v>5528</v>
      </c>
      <c r="E474" s="28" t="s">
        <v>6473</v>
      </c>
      <c r="F474" s="28" t="str">
        <f t="shared" si="40"/>
        <v>30506582District Design and Led 17-20</v>
      </c>
      <c r="G474" s="28" t="s">
        <v>6233</v>
      </c>
      <c r="H474" s="28" t="str">
        <f t="shared" si="38"/>
        <v>30506582District Design and Led</v>
      </c>
      <c r="I474" s="29">
        <v>2</v>
      </c>
      <c r="J474" s="28" t="str">
        <f t="shared" si="39"/>
        <v>30506582District Design and Led2</v>
      </c>
      <c r="K474" s="30">
        <v>50000</v>
      </c>
      <c r="L474" s="30"/>
      <c r="M474" s="30"/>
      <c r="N474" s="30">
        <v>0</v>
      </c>
      <c r="O474" s="30">
        <v>0</v>
      </c>
      <c r="P474" s="30">
        <v>0</v>
      </c>
      <c r="Q474" s="30">
        <v>0</v>
      </c>
      <c r="R474" s="30">
        <v>0</v>
      </c>
      <c r="S474" s="30">
        <v>0</v>
      </c>
      <c r="T474" s="30">
        <v>0</v>
      </c>
      <c r="U474" s="30"/>
      <c r="V474" s="30"/>
      <c r="W474" s="30"/>
      <c r="X474" s="30"/>
      <c r="Y474" t="s">
        <v>6499</v>
      </c>
    </row>
    <row r="475" spans="1:25" x14ac:dyDescent="0.3">
      <c r="A475" s="2" t="s">
        <v>1028</v>
      </c>
      <c r="B475" s="2" t="s">
        <v>5527</v>
      </c>
      <c r="C475" s="2" t="s">
        <v>1029</v>
      </c>
      <c r="D475" s="2" t="s">
        <v>5528</v>
      </c>
      <c r="E475" s="28" t="s">
        <v>6473</v>
      </c>
      <c r="F475" s="28" t="str">
        <f t="shared" si="40"/>
        <v>30506582District Design and Led 17-20</v>
      </c>
      <c r="G475" s="28" t="s">
        <v>6233</v>
      </c>
      <c r="H475" s="28" t="str">
        <f t="shared" si="38"/>
        <v>30506582District Design and Led</v>
      </c>
      <c r="I475" s="29">
        <v>2</v>
      </c>
      <c r="J475" s="28" t="str">
        <f t="shared" si="39"/>
        <v>30506582District Design and Led2</v>
      </c>
      <c r="K475" s="30"/>
      <c r="L475" s="30">
        <v>52626</v>
      </c>
      <c r="M475" s="30"/>
      <c r="N475" s="30">
        <v>0</v>
      </c>
      <c r="O475" s="30">
        <v>0</v>
      </c>
      <c r="P475" s="30">
        <v>0</v>
      </c>
      <c r="Q475" s="30">
        <v>0</v>
      </c>
      <c r="R475" s="30">
        <v>0</v>
      </c>
      <c r="S475" s="30">
        <v>0</v>
      </c>
      <c r="T475" s="30">
        <v>0</v>
      </c>
      <c r="U475" s="30"/>
      <c r="V475" s="30"/>
      <c r="W475" s="30"/>
      <c r="X475" s="30"/>
      <c r="Y475" t="s">
        <v>6499</v>
      </c>
    </row>
    <row r="476" spans="1:25" x14ac:dyDescent="0.3">
      <c r="A476" s="2" t="s">
        <v>1028</v>
      </c>
      <c r="B476" s="28" t="s">
        <v>6248</v>
      </c>
      <c r="C476" s="2" t="s">
        <v>1029</v>
      </c>
      <c r="D476" s="2" t="s">
        <v>6474</v>
      </c>
      <c r="E476" s="28" t="s">
        <v>6477</v>
      </c>
      <c r="F476" s="28" t="str">
        <f t="shared" si="40"/>
        <v>3050District LevelDistrict Design and Led 18-21</v>
      </c>
      <c r="G476" s="28" t="s">
        <v>6233</v>
      </c>
      <c r="H476" s="28" t="str">
        <f t="shared" si="38"/>
        <v>3050District LevelDistrict Design and Led</v>
      </c>
      <c r="I476" s="29">
        <v>3</v>
      </c>
      <c r="J476" s="28" t="str">
        <f t="shared" si="39"/>
        <v>3050District LevelDistrict Design and Led3</v>
      </c>
      <c r="K476" s="30"/>
      <c r="L476" s="30"/>
      <c r="M476" s="30">
        <v>57750</v>
      </c>
      <c r="N476" s="30">
        <v>0</v>
      </c>
      <c r="O476" s="30">
        <v>0</v>
      </c>
      <c r="P476" s="30">
        <v>0</v>
      </c>
      <c r="Q476" s="30">
        <v>0</v>
      </c>
      <c r="R476" s="30">
        <v>0</v>
      </c>
      <c r="S476" s="30">
        <v>0</v>
      </c>
      <c r="T476" s="30">
        <v>0</v>
      </c>
      <c r="U476" s="30"/>
      <c r="V476" s="30"/>
      <c r="W476" s="30"/>
      <c r="X476" s="30"/>
      <c r="Y476" t="s">
        <v>6499</v>
      </c>
    </row>
    <row r="477" spans="1:25" x14ac:dyDescent="0.3">
      <c r="A477" s="2" t="s">
        <v>1423</v>
      </c>
      <c r="B477" s="2" t="s">
        <v>1425</v>
      </c>
      <c r="C477" s="2" t="s">
        <v>1424</v>
      </c>
      <c r="D477" s="2" t="s">
        <v>1426</v>
      </c>
      <c r="E477" s="28" t="s">
        <v>6463</v>
      </c>
      <c r="F477" s="28" t="str">
        <f t="shared" si="40"/>
        <v>31106963Diagnostic Review 18-19</v>
      </c>
      <c r="G477" s="28" t="s">
        <v>6240</v>
      </c>
      <c r="H477" s="28" t="str">
        <f t="shared" si="38"/>
        <v>31106963Diagnostic Review</v>
      </c>
      <c r="I477" s="29">
        <v>3</v>
      </c>
      <c r="J477" s="28" t="str">
        <f t="shared" si="39"/>
        <v>31106963Diagnostic Review3</v>
      </c>
      <c r="K477" s="30"/>
      <c r="L477" s="30">
        <v>49968</v>
      </c>
      <c r="M477" s="30"/>
      <c r="N477" s="30">
        <v>0</v>
      </c>
      <c r="O477" s="30">
        <v>0</v>
      </c>
      <c r="P477" s="30">
        <v>0</v>
      </c>
      <c r="Q477" s="30">
        <v>0</v>
      </c>
      <c r="R477" s="30">
        <v>0</v>
      </c>
      <c r="S477" s="30">
        <v>0</v>
      </c>
      <c r="T477" s="30">
        <v>0</v>
      </c>
      <c r="U477" s="30"/>
      <c r="V477" s="30"/>
      <c r="W477" s="30"/>
      <c r="X477" s="30"/>
      <c r="Y477" t="s">
        <v>6499</v>
      </c>
    </row>
    <row r="478" spans="1:25" x14ac:dyDescent="0.3">
      <c r="A478" s="28" t="s">
        <v>1423</v>
      </c>
      <c r="B478" s="28" t="s">
        <v>6248</v>
      </c>
      <c r="C478" s="2" t="s">
        <v>1424</v>
      </c>
      <c r="D478" s="2" t="s">
        <v>6474</v>
      </c>
      <c r="E478" s="28" t="s">
        <v>6475</v>
      </c>
      <c r="F478" s="28" t="str">
        <f t="shared" si="40"/>
        <v>3110District LevelDDL</v>
      </c>
      <c r="G478" s="28" t="s">
        <v>6233</v>
      </c>
      <c r="H478" s="28" t="str">
        <f t="shared" si="38"/>
        <v>3110District LevelDistrict Design and Led</v>
      </c>
      <c r="I478" s="29">
        <v>5</v>
      </c>
      <c r="J478" s="28" t="str">
        <f t="shared" si="39"/>
        <v>3110District LevelDistrict Design and Led5</v>
      </c>
      <c r="K478" s="30">
        <v>0</v>
      </c>
      <c r="L478" s="30">
        <v>0</v>
      </c>
      <c r="M478" s="30">
        <v>0</v>
      </c>
      <c r="N478" s="30">
        <v>0</v>
      </c>
      <c r="O478" s="30">
        <v>0</v>
      </c>
      <c r="P478" s="30">
        <v>0</v>
      </c>
      <c r="Q478" s="30">
        <v>0</v>
      </c>
      <c r="R478" s="30">
        <v>0</v>
      </c>
      <c r="S478" s="30">
        <v>0</v>
      </c>
      <c r="T478" s="30">
        <v>0</v>
      </c>
      <c r="U478" s="30">
        <v>1628</v>
      </c>
      <c r="V478" s="30">
        <v>14494</v>
      </c>
      <c r="W478" s="30">
        <v>18658</v>
      </c>
      <c r="X478" s="30">
        <v>0</v>
      </c>
      <c r="Y478" t="s">
        <v>6500</v>
      </c>
    </row>
    <row r="479" spans="1:25" x14ac:dyDescent="0.3">
      <c r="A479" s="2" t="s">
        <v>863</v>
      </c>
      <c r="B479" s="2" t="s">
        <v>4697</v>
      </c>
      <c r="C479" s="2" t="s">
        <v>864</v>
      </c>
      <c r="D479" s="2" t="s">
        <v>4698</v>
      </c>
      <c r="E479" s="28" t="s">
        <v>6464</v>
      </c>
      <c r="F479" s="28" t="str">
        <f t="shared" si="40"/>
        <v>31200052Diagnostic Review 17-18</v>
      </c>
      <c r="G479" s="28" t="s">
        <v>6240</v>
      </c>
      <c r="H479" s="28" t="str">
        <f t="shared" si="38"/>
        <v>31200052Diagnostic Review</v>
      </c>
      <c r="I479" s="29">
        <v>2</v>
      </c>
      <c r="J479" s="28" t="str">
        <f t="shared" si="39"/>
        <v>31200052Diagnostic Review2</v>
      </c>
      <c r="K479" s="30">
        <v>38104</v>
      </c>
      <c r="L479" s="30"/>
      <c r="M479" s="30"/>
      <c r="N479" s="30">
        <v>0</v>
      </c>
      <c r="O479" s="30">
        <v>0</v>
      </c>
      <c r="P479" s="30">
        <v>0</v>
      </c>
      <c r="Q479" s="30">
        <v>0</v>
      </c>
      <c r="R479" s="30">
        <v>0</v>
      </c>
      <c r="S479" s="30">
        <v>0</v>
      </c>
      <c r="T479" s="30">
        <v>0</v>
      </c>
      <c r="U479" s="30"/>
      <c r="V479" s="30"/>
      <c r="W479" s="30"/>
      <c r="X479" s="30"/>
      <c r="Y479" t="s">
        <v>6499</v>
      </c>
    </row>
    <row r="480" spans="1:25" x14ac:dyDescent="0.3">
      <c r="A480" s="2" t="s">
        <v>863</v>
      </c>
      <c r="B480" s="2" t="s">
        <v>4697</v>
      </c>
      <c r="C480" s="2" t="s">
        <v>864</v>
      </c>
      <c r="D480" s="2" t="s">
        <v>4698</v>
      </c>
      <c r="E480" s="28" t="s">
        <v>6477</v>
      </c>
      <c r="F480" s="28" t="str">
        <f t="shared" si="40"/>
        <v>31200052District Design and Led 18-21</v>
      </c>
      <c r="G480" s="28" t="s">
        <v>6233</v>
      </c>
      <c r="H480" s="28" t="str">
        <f t="shared" si="38"/>
        <v>31200052District Design and Led</v>
      </c>
      <c r="I480" s="29">
        <v>2</v>
      </c>
      <c r="J480" s="28" t="str">
        <f t="shared" si="39"/>
        <v>31200052District Design and Led2</v>
      </c>
      <c r="K480" s="32"/>
      <c r="L480" s="32">
        <v>25000</v>
      </c>
      <c r="M480" s="32">
        <v>50000</v>
      </c>
      <c r="N480" s="32">
        <v>0</v>
      </c>
      <c r="O480" s="32">
        <v>55160</v>
      </c>
      <c r="P480" s="32">
        <v>0</v>
      </c>
      <c r="Q480" s="32">
        <v>0</v>
      </c>
      <c r="R480" s="32">
        <v>0</v>
      </c>
      <c r="S480" s="32">
        <v>0</v>
      </c>
      <c r="T480" s="32">
        <v>0</v>
      </c>
      <c r="U480" s="32"/>
      <c r="V480" s="32"/>
      <c r="W480" s="32"/>
      <c r="X480" s="32"/>
      <c r="Y480" t="s">
        <v>6499</v>
      </c>
    </row>
    <row r="481" spans="1:25" x14ac:dyDescent="0.3">
      <c r="A481" s="2" t="s">
        <v>863</v>
      </c>
      <c r="B481" s="2" t="s">
        <v>4701</v>
      </c>
      <c r="C481" s="2" t="s">
        <v>864</v>
      </c>
      <c r="D481" s="2" t="s">
        <v>4662</v>
      </c>
      <c r="E481" s="28" t="s">
        <v>6453</v>
      </c>
      <c r="F481" s="28" t="str">
        <f t="shared" si="40"/>
        <v>31201384Accountability Pathways 17-18</v>
      </c>
      <c r="G481" s="28" t="s">
        <v>6236</v>
      </c>
      <c r="H481" s="28" t="str">
        <f t="shared" si="38"/>
        <v>31201384Accountability Pathways</v>
      </c>
      <c r="I481" s="29">
        <v>1</v>
      </c>
      <c r="J481" s="28" t="str">
        <f t="shared" si="39"/>
        <v>31201384Accountability Pathways1</v>
      </c>
      <c r="K481" s="30">
        <v>30000</v>
      </c>
      <c r="L481" s="30"/>
      <c r="M481" s="30"/>
      <c r="N481" s="30">
        <v>0</v>
      </c>
      <c r="O481" s="30">
        <v>0</v>
      </c>
      <c r="P481" s="30">
        <v>0</v>
      </c>
      <c r="Q481" s="30">
        <v>0</v>
      </c>
      <c r="R481" s="30">
        <v>0</v>
      </c>
      <c r="S481" s="30">
        <v>0</v>
      </c>
      <c r="T481" s="30">
        <v>0</v>
      </c>
      <c r="U481" s="30"/>
      <c r="V481" s="30"/>
      <c r="W481" s="30"/>
      <c r="X481" s="30"/>
      <c r="Y481" t="s">
        <v>6499</v>
      </c>
    </row>
    <row r="482" spans="1:25" x14ac:dyDescent="0.3">
      <c r="A482" s="2" t="s">
        <v>863</v>
      </c>
      <c r="B482" s="2" t="s">
        <v>4701</v>
      </c>
      <c r="C482" s="2" t="s">
        <v>864</v>
      </c>
      <c r="D482" s="2" t="s">
        <v>4662</v>
      </c>
      <c r="E482" s="28" t="s">
        <v>6477</v>
      </c>
      <c r="F482" s="28" t="str">
        <f t="shared" si="40"/>
        <v>31201384District Design and Led 18-21</v>
      </c>
      <c r="G482" s="28" t="s">
        <v>6233</v>
      </c>
      <c r="H482" s="28" t="str">
        <f t="shared" si="38"/>
        <v>31201384District Design and Led</v>
      </c>
      <c r="I482" s="29">
        <v>2</v>
      </c>
      <c r="J482" s="28" t="str">
        <f t="shared" si="39"/>
        <v>31201384District Design and Led2</v>
      </c>
      <c r="K482" s="30"/>
      <c r="L482" s="30">
        <v>25000</v>
      </c>
      <c r="M482" s="30">
        <v>50000</v>
      </c>
      <c r="N482" s="30">
        <v>0</v>
      </c>
      <c r="O482" s="30">
        <v>55160</v>
      </c>
      <c r="P482" s="30">
        <v>0</v>
      </c>
      <c r="Q482" s="30">
        <v>0</v>
      </c>
      <c r="R482" s="30">
        <v>0</v>
      </c>
      <c r="S482" s="30">
        <v>0</v>
      </c>
      <c r="T482" s="30">
        <v>0</v>
      </c>
      <c r="U482" s="30"/>
      <c r="V482" s="30"/>
      <c r="W482" s="30"/>
      <c r="X482" s="30"/>
      <c r="Y482" t="s">
        <v>6499</v>
      </c>
    </row>
    <row r="483" spans="1:25" x14ac:dyDescent="0.3">
      <c r="A483" s="2" t="s">
        <v>863</v>
      </c>
      <c r="B483" s="28" t="s">
        <v>4701</v>
      </c>
      <c r="C483" s="2" t="s">
        <v>864</v>
      </c>
      <c r="D483" s="2" t="s">
        <v>4662</v>
      </c>
      <c r="E483" s="28" t="s">
        <v>6237</v>
      </c>
      <c r="F483" s="28" t="str">
        <f t="shared" si="40"/>
        <v>31201384Turnaround Network</v>
      </c>
      <c r="G483" s="28" t="s">
        <v>6237</v>
      </c>
      <c r="H483" s="28" t="str">
        <f t="shared" si="38"/>
        <v>31201384Turnaround Network</v>
      </c>
      <c r="I483" s="29">
        <v>2</v>
      </c>
      <c r="J483" s="28" t="str">
        <f t="shared" si="39"/>
        <v>31201384Turnaround Network2</v>
      </c>
      <c r="K483" s="30">
        <v>50000</v>
      </c>
      <c r="L483" s="30"/>
      <c r="M483" s="30"/>
      <c r="N483" s="30">
        <v>0</v>
      </c>
      <c r="O483" s="30"/>
      <c r="P483" s="30">
        <v>0</v>
      </c>
      <c r="Q483" s="30">
        <v>0</v>
      </c>
      <c r="R483" s="30">
        <v>0</v>
      </c>
      <c r="S483" s="30">
        <v>0</v>
      </c>
      <c r="T483" s="30">
        <v>0</v>
      </c>
      <c r="U483" s="30"/>
      <c r="V483" s="30"/>
      <c r="W483" s="30"/>
      <c r="X483" s="30"/>
      <c r="Y483" t="s">
        <v>6499</v>
      </c>
    </row>
    <row r="484" spans="1:25" x14ac:dyDescent="0.3">
      <c r="A484" s="2" t="s">
        <v>863</v>
      </c>
      <c r="B484" s="28" t="s">
        <v>3176</v>
      </c>
      <c r="C484" s="2" t="s">
        <v>864</v>
      </c>
      <c r="D484" s="2" t="s">
        <v>3177</v>
      </c>
      <c r="E484" s="28" t="s">
        <v>6237</v>
      </c>
      <c r="F484" s="28" t="str">
        <f t="shared" si="40"/>
        <v>31203162Turnaround Network</v>
      </c>
      <c r="G484" s="28" t="s">
        <v>6237</v>
      </c>
      <c r="H484" s="28" t="str">
        <f t="shared" si="38"/>
        <v>31203162Turnaround Network</v>
      </c>
      <c r="I484" s="29">
        <v>2</v>
      </c>
      <c r="J484" s="28" t="str">
        <f t="shared" si="39"/>
        <v>31203162Turnaround Network2</v>
      </c>
      <c r="K484" s="30">
        <v>100000</v>
      </c>
      <c r="L484" s="30"/>
      <c r="M484" s="30"/>
      <c r="N484" s="30">
        <v>0</v>
      </c>
      <c r="O484" s="30"/>
      <c r="P484" s="30">
        <v>0</v>
      </c>
      <c r="Q484" s="30">
        <v>0</v>
      </c>
      <c r="R484" s="30">
        <v>0</v>
      </c>
      <c r="S484" s="30">
        <v>0</v>
      </c>
      <c r="T484" s="30">
        <v>0</v>
      </c>
      <c r="U484" s="30"/>
      <c r="V484" s="30"/>
      <c r="W484" s="30"/>
      <c r="X484" s="30"/>
      <c r="Y484" t="s">
        <v>6499</v>
      </c>
    </row>
    <row r="485" spans="1:25" x14ac:dyDescent="0.3">
      <c r="A485" s="2" t="s">
        <v>863</v>
      </c>
      <c r="B485" s="2" t="s">
        <v>2433</v>
      </c>
      <c r="C485" s="2" t="s">
        <v>864</v>
      </c>
      <c r="D485" s="2" t="s">
        <v>2434</v>
      </c>
      <c r="E485" s="28" t="s">
        <v>6480</v>
      </c>
      <c r="F485" s="28" t="str">
        <f t="shared" si="40"/>
        <v>31203880Engagement Planning</v>
      </c>
      <c r="G485" s="28" t="s">
        <v>6480</v>
      </c>
      <c r="H485" s="28" t="str">
        <f t="shared" si="38"/>
        <v>31203880Engagement Planning</v>
      </c>
      <c r="I485" s="29">
        <v>2</v>
      </c>
      <c r="J485" s="28" t="str">
        <f t="shared" si="39"/>
        <v>31203880Engagement Planning2</v>
      </c>
      <c r="K485" s="30">
        <v>11906</v>
      </c>
      <c r="L485" s="30"/>
      <c r="M485" s="30"/>
      <c r="N485" s="30">
        <v>0</v>
      </c>
      <c r="O485" s="30">
        <v>0</v>
      </c>
      <c r="P485" s="30">
        <v>0</v>
      </c>
      <c r="Q485" s="30">
        <v>0</v>
      </c>
      <c r="R485" s="30">
        <v>0</v>
      </c>
      <c r="S485" s="30">
        <v>0</v>
      </c>
      <c r="T485" s="30">
        <v>0</v>
      </c>
      <c r="U485" s="30"/>
      <c r="V485" s="30"/>
      <c r="W485" s="30"/>
      <c r="X485" s="30"/>
      <c r="Y485" t="s">
        <v>6499</v>
      </c>
    </row>
    <row r="486" spans="1:25" x14ac:dyDescent="0.3">
      <c r="A486" s="2" t="s">
        <v>863</v>
      </c>
      <c r="B486" s="2" t="s">
        <v>2433</v>
      </c>
      <c r="C486" s="2" t="s">
        <v>864</v>
      </c>
      <c r="D486" s="2" t="s">
        <v>2434</v>
      </c>
      <c r="E486" s="28" t="s">
        <v>6480</v>
      </c>
      <c r="F486" s="28" t="str">
        <f t="shared" si="40"/>
        <v>31203880Engagement Planning</v>
      </c>
      <c r="G486" s="28" t="s">
        <v>6480</v>
      </c>
      <c r="H486" s="28" t="str">
        <f t="shared" si="38"/>
        <v>31203880Engagement Planning</v>
      </c>
      <c r="I486" s="29">
        <v>3</v>
      </c>
      <c r="J486" s="28" t="str">
        <f t="shared" si="39"/>
        <v>31203880Engagement Planning3</v>
      </c>
      <c r="K486" s="30"/>
      <c r="L486" s="30">
        <v>10000</v>
      </c>
      <c r="M486" s="30"/>
      <c r="N486" s="30">
        <v>0</v>
      </c>
      <c r="O486" s="30">
        <v>0</v>
      </c>
      <c r="P486" s="30">
        <v>0</v>
      </c>
      <c r="Q486" s="30">
        <v>0</v>
      </c>
      <c r="R486" s="30">
        <v>0</v>
      </c>
      <c r="S486" s="30">
        <v>0</v>
      </c>
      <c r="T486" s="30">
        <v>0</v>
      </c>
      <c r="U486" s="30"/>
      <c r="V486" s="30"/>
      <c r="W486" s="30"/>
      <c r="X486" s="30"/>
      <c r="Y486" t="s">
        <v>6499</v>
      </c>
    </row>
    <row r="487" spans="1:25" x14ac:dyDescent="0.3">
      <c r="A487" s="2" t="s">
        <v>863</v>
      </c>
      <c r="B487" s="2" t="s">
        <v>6087</v>
      </c>
      <c r="C487" s="2" t="s">
        <v>864</v>
      </c>
      <c r="D487" s="2" t="s">
        <v>6088</v>
      </c>
      <c r="E487" s="2" t="s">
        <v>6484</v>
      </c>
      <c r="F487" s="28" t="str">
        <f t="shared" si="40"/>
        <v>31204425School Turnaround Leaders Program</v>
      </c>
      <c r="G487" s="2" t="s">
        <v>6241</v>
      </c>
      <c r="H487" s="28" t="str">
        <f t="shared" si="38"/>
        <v>31204425School Turnaround Leadership Development Program</v>
      </c>
      <c r="I487" s="29">
        <v>2</v>
      </c>
      <c r="J487" s="28" t="str">
        <f t="shared" si="39"/>
        <v>31204425School Turnaround Leadership Development Program2</v>
      </c>
      <c r="K487" s="32"/>
      <c r="L487" s="32">
        <v>39284</v>
      </c>
      <c r="M487" s="32">
        <v>2040</v>
      </c>
      <c r="N487" s="30">
        <v>0</v>
      </c>
      <c r="O487" s="30" t="s">
        <v>6462</v>
      </c>
      <c r="P487" s="30" t="s">
        <v>6462</v>
      </c>
      <c r="Q487" s="30">
        <v>0</v>
      </c>
      <c r="R487" s="30">
        <v>0</v>
      </c>
      <c r="S487" s="30">
        <v>0</v>
      </c>
      <c r="T487" s="30">
        <v>0</v>
      </c>
      <c r="U487" s="30"/>
      <c r="V487" s="30"/>
      <c r="W487" s="30"/>
      <c r="X487" s="30"/>
      <c r="Y487" t="s">
        <v>6499</v>
      </c>
    </row>
    <row r="488" spans="1:25" x14ac:dyDescent="0.3">
      <c r="A488" s="2" t="s">
        <v>863</v>
      </c>
      <c r="B488" s="28" t="s">
        <v>1744</v>
      </c>
      <c r="C488" s="2" t="s">
        <v>864</v>
      </c>
      <c r="D488" s="2" t="s">
        <v>1745</v>
      </c>
      <c r="E488" s="28" t="s">
        <v>6237</v>
      </c>
      <c r="F488" s="28" t="str">
        <f t="shared" si="40"/>
        <v>31204438Turnaround Network</v>
      </c>
      <c r="G488" s="28" t="s">
        <v>6237</v>
      </c>
      <c r="H488" s="28" t="str">
        <f t="shared" si="38"/>
        <v>31204438Turnaround Network</v>
      </c>
      <c r="I488" s="29">
        <v>2</v>
      </c>
      <c r="J488" s="28" t="str">
        <f t="shared" si="39"/>
        <v>31204438Turnaround Network2</v>
      </c>
      <c r="K488" s="30">
        <v>80000</v>
      </c>
      <c r="L488" s="30"/>
      <c r="M488" s="30"/>
      <c r="N488" s="30">
        <v>0</v>
      </c>
      <c r="O488" s="30"/>
      <c r="P488" s="30">
        <v>0</v>
      </c>
      <c r="Q488" s="30">
        <v>0</v>
      </c>
      <c r="R488" s="30">
        <v>0</v>
      </c>
      <c r="S488" s="30">
        <v>0</v>
      </c>
      <c r="T488" s="30">
        <v>0</v>
      </c>
      <c r="U488" s="30"/>
      <c r="V488" s="30"/>
      <c r="W488" s="30"/>
      <c r="X488" s="30"/>
      <c r="Y488" t="s">
        <v>6499</v>
      </c>
    </row>
    <row r="489" spans="1:25" x14ac:dyDescent="0.3">
      <c r="A489" s="2" t="s">
        <v>863</v>
      </c>
      <c r="B489" s="28" t="s">
        <v>875</v>
      </c>
      <c r="C489" s="2" t="s">
        <v>864</v>
      </c>
      <c r="D489" s="2" t="s">
        <v>876</v>
      </c>
      <c r="E489" s="28" t="s">
        <v>6237</v>
      </c>
      <c r="F489" s="28" t="str">
        <f t="shared" si="40"/>
        <v>31205752Turnaround Network</v>
      </c>
      <c r="G489" s="28" t="s">
        <v>6237</v>
      </c>
      <c r="H489" s="28" t="str">
        <f t="shared" si="38"/>
        <v>31205752Turnaround Network</v>
      </c>
      <c r="I489" s="29">
        <v>2</v>
      </c>
      <c r="J489" s="28" t="str">
        <f t="shared" si="39"/>
        <v>31205752Turnaround Network2</v>
      </c>
      <c r="K489" s="30"/>
      <c r="L489" s="30"/>
      <c r="M489" s="30">
        <v>28939</v>
      </c>
      <c r="N489" s="30">
        <v>0</v>
      </c>
      <c r="O489" s="30">
        <v>48043</v>
      </c>
      <c r="P489" s="30">
        <v>0</v>
      </c>
      <c r="Q489" s="30">
        <v>0</v>
      </c>
      <c r="R489" s="30">
        <v>34105.464399999997</v>
      </c>
      <c r="S489" s="30">
        <v>0</v>
      </c>
      <c r="T489" s="30">
        <v>0</v>
      </c>
      <c r="U489" s="30"/>
      <c r="V489" s="30"/>
      <c r="W489" s="30"/>
      <c r="X489" s="30"/>
      <c r="Y489" t="s">
        <v>6499</v>
      </c>
    </row>
    <row r="490" spans="1:25" x14ac:dyDescent="0.3">
      <c r="A490" s="2" t="s">
        <v>863</v>
      </c>
      <c r="B490" s="2" t="s">
        <v>875</v>
      </c>
      <c r="C490" s="2" t="s">
        <v>864</v>
      </c>
      <c r="D490" s="2" t="s">
        <v>876</v>
      </c>
      <c r="E490" s="28" t="s">
        <v>6237</v>
      </c>
      <c r="F490" s="28" t="str">
        <f t="shared" si="40"/>
        <v>31205752Turnaround Network</v>
      </c>
      <c r="G490" s="28" t="s">
        <v>6237</v>
      </c>
      <c r="H490" s="28" t="str">
        <f t="shared" si="38"/>
        <v>31205752Turnaround Network</v>
      </c>
      <c r="I490" s="29">
        <v>3</v>
      </c>
      <c r="J490" s="28" t="str">
        <f t="shared" si="39"/>
        <v>31205752Turnaround Network3</v>
      </c>
      <c r="K490" s="30"/>
      <c r="L490" s="30">
        <v>31061</v>
      </c>
      <c r="M490" s="30"/>
      <c r="N490" s="30">
        <v>0</v>
      </c>
      <c r="O490" s="30"/>
      <c r="P490" s="30">
        <v>0</v>
      </c>
      <c r="Q490" s="30">
        <v>0</v>
      </c>
      <c r="R490" s="30">
        <v>0</v>
      </c>
      <c r="S490" s="30">
        <v>0</v>
      </c>
      <c r="T490" s="30">
        <v>0</v>
      </c>
      <c r="U490" s="30"/>
      <c r="V490" s="30"/>
      <c r="W490" s="30"/>
      <c r="X490" s="30"/>
      <c r="Y490" t="s">
        <v>6499</v>
      </c>
    </row>
    <row r="491" spans="1:25" x14ac:dyDescent="0.3">
      <c r="A491" s="2" t="s">
        <v>863</v>
      </c>
      <c r="B491" s="28" t="s">
        <v>5399</v>
      </c>
      <c r="C491" s="2" t="s">
        <v>864</v>
      </c>
      <c r="D491" s="2" t="s">
        <v>5400</v>
      </c>
      <c r="E491" s="28" t="s">
        <v>6237</v>
      </c>
      <c r="F491" s="28" t="str">
        <f t="shared" si="40"/>
        <v>31206774Turnaround Network</v>
      </c>
      <c r="G491" s="28" t="s">
        <v>6237</v>
      </c>
      <c r="H491" s="28" t="str">
        <f t="shared" si="38"/>
        <v>31206774Turnaround Network</v>
      </c>
      <c r="I491" s="29">
        <v>2</v>
      </c>
      <c r="J491" s="28" t="str">
        <f t="shared" si="39"/>
        <v>31206774Turnaround Network2</v>
      </c>
      <c r="K491" s="30">
        <v>100000</v>
      </c>
      <c r="L491" s="30"/>
      <c r="M491" s="30"/>
      <c r="N491" s="30">
        <v>0</v>
      </c>
      <c r="O491" s="30"/>
      <c r="P491" s="30">
        <v>0</v>
      </c>
      <c r="Q491" s="30">
        <v>0</v>
      </c>
      <c r="R491" s="30">
        <v>0</v>
      </c>
      <c r="S491" s="30">
        <v>0</v>
      </c>
      <c r="T491" s="30">
        <v>0</v>
      </c>
      <c r="U491" s="30"/>
      <c r="V491" s="30"/>
      <c r="W491" s="30"/>
      <c r="X491" s="30"/>
      <c r="Y491" t="s">
        <v>6499</v>
      </c>
    </row>
    <row r="492" spans="1:25" x14ac:dyDescent="0.3">
      <c r="A492" s="2" t="s">
        <v>863</v>
      </c>
      <c r="B492" s="28" t="s">
        <v>5399</v>
      </c>
      <c r="C492" s="2" t="s">
        <v>864</v>
      </c>
      <c r="D492" s="2" t="s">
        <v>5400</v>
      </c>
      <c r="E492" s="28" t="s">
        <v>6237</v>
      </c>
      <c r="F492" s="28" t="str">
        <f t="shared" si="40"/>
        <v>31206774Turnaround Network</v>
      </c>
      <c r="G492" s="28" t="s">
        <v>6237</v>
      </c>
      <c r="H492" s="28" t="str">
        <f t="shared" si="38"/>
        <v>31206774Turnaround Network</v>
      </c>
      <c r="I492" s="29">
        <v>3</v>
      </c>
      <c r="J492" s="28" t="str">
        <f t="shared" si="39"/>
        <v>31206774Turnaround Network3</v>
      </c>
      <c r="K492" s="30"/>
      <c r="L492" s="30"/>
      <c r="M492" s="30">
        <v>30000</v>
      </c>
      <c r="N492" s="30">
        <v>0</v>
      </c>
      <c r="O492" s="30"/>
      <c r="P492" s="30">
        <v>0</v>
      </c>
      <c r="Q492" s="30">
        <v>0</v>
      </c>
      <c r="R492" s="30">
        <v>0</v>
      </c>
      <c r="S492" s="30">
        <v>0</v>
      </c>
      <c r="T492" s="30">
        <v>0</v>
      </c>
      <c r="U492" s="30"/>
      <c r="V492" s="30"/>
      <c r="W492" s="30"/>
      <c r="X492" s="30"/>
      <c r="Y492" t="s">
        <v>6499</v>
      </c>
    </row>
    <row r="493" spans="1:25" x14ac:dyDescent="0.3">
      <c r="A493" s="2" t="s">
        <v>863</v>
      </c>
      <c r="B493" s="2" t="s">
        <v>5399</v>
      </c>
      <c r="C493" s="2" t="s">
        <v>864</v>
      </c>
      <c r="D493" s="2" t="s">
        <v>5400</v>
      </c>
      <c r="E493" s="28" t="s">
        <v>6237</v>
      </c>
      <c r="F493" s="28" t="str">
        <f t="shared" si="40"/>
        <v>31206774Turnaround Network</v>
      </c>
      <c r="G493" s="28" t="s">
        <v>6237</v>
      </c>
      <c r="H493" s="28" t="str">
        <f t="shared" si="38"/>
        <v>31206774Turnaround Network</v>
      </c>
      <c r="I493" s="29">
        <v>3</v>
      </c>
      <c r="J493" s="28" t="str">
        <f t="shared" si="39"/>
        <v>31206774Turnaround Network3</v>
      </c>
      <c r="K493" s="30"/>
      <c r="L493" s="30">
        <v>30000</v>
      </c>
      <c r="M493" s="30"/>
      <c r="N493" s="30">
        <v>0</v>
      </c>
      <c r="O493" s="30"/>
      <c r="P493" s="30">
        <v>0</v>
      </c>
      <c r="Q493" s="30">
        <v>0</v>
      </c>
      <c r="R493" s="30">
        <v>0</v>
      </c>
      <c r="S493" s="30">
        <v>0</v>
      </c>
      <c r="T493" s="30">
        <v>0</v>
      </c>
      <c r="U493" s="30"/>
      <c r="V493" s="30"/>
      <c r="W493" s="30"/>
      <c r="X493" s="30"/>
      <c r="Y493" t="s">
        <v>6499</v>
      </c>
    </row>
    <row r="494" spans="1:25" x14ac:dyDescent="0.3">
      <c r="A494" s="2" t="s">
        <v>863</v>
      </c>
      <c r="B494" s="2" t="s">
        <v>2428</v>
      </c>
      <c r="C494" s="2" t="s">
        <v>864</v>
      </c>
      <c r="D494" s="2" t="s">
        <v>629</v>
      </c>
      <c r="E494" s="28" t="s">
        <v>6464</v>
      </c>
      <c r="F494" s="28" t="str">
        <f t="shared" si="40"/>
        <v>31207700Diagnostic Review 17-18</v>
      </c>
      <c r="G494" s="28" t="s">
        <v>6240</v>
      </c>
      <c r="H494" s="28" t="str">
        <f t="shared" si="38"/>
        <v>31207700Diagnostic Review</v>
      </c>
      <c r="I494" s="29">
        <v>2</v>
      </c>
      <c r="J494" s="28" t="str">
        <f t="shared" si="39"/>
        <v>31207700Diagnostic Review2</v>
      </c>
      <c r="K494" s="30">
        <v>50000</v>
      </c>
      <c r="L494" s="30"/>
      <c r="M494" s="30"/>
      <c r="N494" s="30">
        <v>0</v>
      </c>
      <c r="O494" s="30">
        <v>0</v>
      </c>
      <c r="P494" s="30">
        <v>0</v>
      </c>
      <c r="Q494" s="30">
        <v>0</v>
      </c>
      <c r="R494" s="30">
        <v>0</v>
      </c>
      <c r="S494" s="30">
        <v>0</v>
      </c>
      <c r="T494" s="30">
        <v>0</v>
      </c>
      <c r="U494" s="30"/>
      <c r="V494" s="30"/>
      <c r="W494" s="30"/>
      <c r="X494" s="30"/>
      <c r="Y494" t="s">
        <v>6499</v>
      </c>
    </row>
    <row r="495" spans="1:25" x14ac:dyDescent="0.3">
      <c r="A495" s="2" t="s">
        <v>863</v>
      </c>
      <c r="B495" s="28" t="s">
        <v>2428</v>
      </c>
      <c r="C495" s="2" t="s">
        <v>864</v>
      </c>
      <c r="D495" s="2" t="s">
        <v>629</v>
      </c>
      <c r="E495" s="28" t="s">
        <v>6237</v>
      </c>
      <c r="F495" s="28" t="str">
        <f t="shared" si="40"/>
        <v>31207700Turnaround Network</v>
      </c>
      <c r="G495" s="28" t="s">
        <v>6237</v>
      </c>
      <c r="H495" s="28" t="str">
        <f t="shared" si="38"/>
        <v>31207700Turnaround Network</v>
      </c>
      <c r="I495" s="29">
        <v>2</v>
      </c>
      <c r="J495" s="28" t="str">
        <f t="shared" si="39"/>
        <v>31207700Turnaround Network2</v>
      </c>
      <c r="K495" s="30"/>
      <c r="L495" s="30"/>
      <c r="M495" s="30">
        <v>55473</v>
      </c>
      <c r="N495" s="30">
        <v>0</v>
      </c>
      <c r="O495" s="30">
        <v>38770</v>
      </c>
      <c r="P495" s="30">
        <v>0</v>
      </c>
      <c r="Q495" s="30">
        <v>0</v>
      </c>
      <c r="R495" s="30">
        <v>43220.930800000002</v>
      </c>
      <c r="S495" s="30">
        <v>0</v>
      </c>
      <c r="T495" s="30">
        <v>0</v>
      </c>
      <c r="U495" s="30"/>
      <c r="V495" s="30"/>
      <c r="W495" s="30"/>
      <c r="X495" s="30"/>
      <c r="Y495" t="s">
        <v>6499</v>
      </c>
    </row>
    <row r="496" spans="1:25" x14ac:dyDescent="0.3">
      <c r="A496" s="2" t="s">
        <v>863</v>
      </c>
      <c r="B496" s="2" t="s">
        <v>2428</v>
      </c>
      <c r="C496" s="2" t="s">
        <v>864</v>
      </c>
      <c r="D496" s="2" t="s">
        <v>629</v>
      </c>
      <c r="E496" s="28" t="s">
        <v>6237</v>
      </c>
      <c r="F496" s="28" t="str">
        <f t="shared" si="40"/>
        <v>31207700Turnaround Network</v>
      </c>
      <c r="G496" s="28" t="s">
        <v>6237</v>
      </c>
      <c r="H496" s="28" t="str">
        <f t="shared" si="38"/>
        <v>31207700Turnaround Network</v>
      </c>
      <c r="I496" s="29">
        <v>3</v>
      </c>
      <c r="J496" s="28" t="str">
        <f t="shared" si="39"/>
        <v>31207700Turnaround Network3</v>
      </c>
      <c r="K496" s="30"/>
      <c r="L496" s="30">
        <v>4527</v>
      </c>
      <c r="M496" s="30"/>
      <c r="N496" s="30">
        <v>0</v>
      </c>
      <c r="O496" s="30"/>
      <c r="P496" s="30">
        <v>0</v>
      </c>
      <c r="Q496" s="30">
        <v>0</v>
      </c>
      <c r="R496" s="30">
        <v>0</v>
      </c>
      <c r="S496" s="30">
        <v>0</v>
      </c>
      <c r="T496" s="30">
        <v>0</v>
      </c>
      <c r="U496" s="30"/>
      <c r="V496" s="30"/>
      <c r="W496" s="30"/>
      <c r="X496" s="30"/>
      <c r="Y496" t="s">
        <v>6499</v>
      </c>
    </row>
    <row r="497" spans="1:25" x14ac:dyDescent="0.3">
      <c r="A497" s="28" t="s">
        <v>863</v>
      </c>
      <c r="B497" s="28" t="s">
        <v>2428</v>
      </c>
      <c r="C497" s="2" t="s">
        <v>864</v>
      </c>
      <c r="D497" s="2" t="s">
        <v>629</v>
      </c>
      <c r="E497" s="28" t="s">
        <v>6496</v>
      </c>
      <c r="F497" s="28" t="str">
        <f t="shared" si="40"/>
        <v>31207700Offered Services Continuation</v>
      </c>
      <c r="G497" s="28" t="s">
        <v>6237</v>
      </c>
      <c r="H497" s="28" t="str">
        <f t="shared" si="38"/>
        <v>31207700Turnaround Network</v>
      </c>
      <c r="I497" s="29">
        <v>5</v>
      </c>
      <c r="J497" s="28" t="str">
        <f t="shared" si="39"/>
        <v>31207700Turnaround Network5</v>
      </c>
      <c r="K497" s="30">
        <v>0</v>
      </c>
      <c r="L497" s="30">
        <v>0</v>
      </c>
      <c r="M497" s="30">
        <v>0</v>
      </c>
      <c r="N497" s="30">
        <v>0</v>
      </c>
      <c r="O497" s="30">
        <v>0</v>
      </c>
      <c r="P497" s="30">
        <v>0</v>
      </c>
      <c r="Q497" s="30">
        <v>0</v>
      </c>
      <c r="R497" s="30">
        <v>0</v>
      </c>
      <c r="S497" s="30">
        <v>0</v>
      </c>
      <c r="T497" s="30">
        <v>0</v>
      </c>
      <c r="U497" s="30">
        <v>3500</v>
      </c>
      <c r="V497" s="30">
        <v>36205</v>
      </c>
      <c r="W497" s="30">
        <v>0</v>
      </c>
      <c r="X497" s="30">
        <v>0</v>
      </c>
      <c r="Y497" t="s">
        <v>6499</v>
      </c>
    </row>
    <row r="498" spans="1:25" x14ac:dyDescent="0.3">
      <c r="A498" s="2" t="s">
        <v>863</v>
      </c>
      <c r="B498" s="2" t="s">
        <v>1742</v>
      </c>
      <c r="C498" s="2" t="s">
        <v>864</v>
      </c>
      <c r="D498" s="2" t="s">
        <v>1743</v>
      </c>
      <c r="E498" s="28" t="s">
        <v>6475</v>
      </c>
      <c r="F498" s="28" t="s">
        <v>6476</v>
      </c>
      <c r="G498" s="28" t="s">
        <v>6233</v>
      </c>
      <c r="H498" s="28" t="str">
        <f t="shared" si="38"/>
        <v>31208467District Design and Led</v>
      </c>
      <c r="I498" s="29">
        <v>4</v>
      </c>
      <c r="J498" s="28" t="str">
        <f t="shared" si="39"/>
        <v>31208467District Design and Led4</v>
      </c>
      <c r="K498" s="30"/>
      <c r="L498" s="30"/>
      <c r="M498" s="30"/>
      <c r="N498" s="30"/>
      <c r="O498" s="30"/>
      <c r="P498" s="30"/>
      <c r="Q498" s="30">
        <v>12450</v>
      </c>
      <c r="R498" s="30">
        <v>0</v>
      </c>
      <c r="S498" s="30">
        <v>0</v>
      </c>
      <c r="T498" s="30">
        <v>24975</v>
      </c>
      <c r="U498" s="30"/>
      <c r="V498" s="30"/>
      <c r="W498" s="30"/>
      <c r="X498" s="30"/>
      <c r="Y498" t="s">
        <v>6499</v>
      </c>
    </row>
    <row r="499" spans="1:25" x14ac:dyDescent="0.3">
      <c r="A499" s="2" t="s">
        <v>863</v>
      </c>
      <c r="B499" s="2" t="s">
        <v>865</v>
      </c>
      <c r="C499" s="2" t="s">
        <v>864</v>
      </c>
      <c r="D499" s="2" t="s">
        <v>866</v>
      </c>
      <c r="E499" s="28" t="s">
        <v>6463</v>
      </c>
      <c r="F499" s="28" t="str">
        <f t="shared" ref="F499:F505" si="41">A499&amp;B499&amp;E499</f>
        <v>31208965Diagnostic Review 18-19</v>
      </c>
      <c r="G499" s="28" t="s">
        <v>6240</v>
      </c>
      <c r="H499" s="28" t="str">
        <f t="shared" si="38"/>
        <v>31208965Diagnostic Review</v>
      </c>
      <c r="I499" s="29">
        <v>3</v>
      </c>
      <c r="J499" s="28" t="str">
        <f t="shared" si="39"/>
        <v>31208965Diagnostic Review3</v>
      </c>
      <c r="K499" s="30"/>
      <c r="L499" s="30">
        <v>26745</v>
      </c>
      <c r="M499" s="30"/>
      <c r="N499" s="30">
        <v>0</v>
      </c>
      <c r="O499" s="30">
        <v>0</v>
      </c>
      <c r="P499" s="30">
        <v>0</v>
      </c>
      <c r="Q499" s="30">
        <v>0</v>
      </c>
      <c r="R499" s="30">
        <v>0</v>
      </c>
      <c r="S499" s="30">
        <v>0</v>
      </c>
      <c r="T499" s="30">
        <v>0</v>
      </c>
      <c r="U499" s="30"/>
      <c r="V499" s="30"/>
      <c r="W499" s="30"/>
      <c r="X499" s="30"/>
      <c r="Y499" t="s">
        <v>6499</v>
      </c>
    </row>
    <row r="500" spans="1:25" x14ac:dyDescent="0.3">
      <c r="A500" s="2" t="s">
        <v>863</v>
      </c>
      <c r="B500" s="28" t="s">
        <v>6248</v>
      </c>
      <c r="C500" s="2" t="s">
        <v>864</v>
      </c>
      <c r="D500" s="2" t="s">
        <v>6474</v>
      </c>
      <c r="E500" s="28" t="s">
        <v>6477</v>
      </c>
      <c r="F500" s="28" t="str">
        <f t="shared" si="41"/>
        <v>3120District LevelDistrict Design and Led 18-21</v>
      </c>
      <c r="G500" s="28" t="s">
        <v>6233</v>
      </c>
      <c r="H500" s="28" t="str">
        <f t="shared" si="38"/>
        <v>3120District LevelDistrict Design and Led</v>
      </c>
      <c r="I500" s="29">
        <v>2</v>
      </c>
      <c r="J500" s="28" t="str">
        <f t="shared" si="39"/>
        <v>3120District LevelDistrict Design and Led2</v>
      </c>
      <c r="K500" s="30"/>
      <c r="L500" s="30">
        <v>184749</v>
      </c>
      <c r="M500" s="30">
        <v>1285203</v>
      </c>
      <c r="N500" s="30">
        <v>0</v>
      </c>
      <c r="O500" s="30">
        <v>1371003</v>
      </c>
      <c r="P500" s="30">
        <v>0</v>
      </c>
      <c r="Q500" s="30">
        <v>0</v>
      </c>
      <c r="R500" s="30">
        <v>0</v>
      </c>
      <c r="S500" s="30">
        <v>0</v>
      </c>
      <c r="T500" s="30">
        <v>0</v>
      </c>
      <c r="U500" s="30"/>
      <c r="V500" s="30"/>
      <c r="W500" s="30"/>
      <c r="X500" s="30"/>
      <c r="Y500" t="s">
        <v>6499</v>
      </c>
    </row>
    <row r="501" spans="1:25" x14ac:dyDescent="0.3">
      <c r="A501" s="28" t="s">
        <v>863</v>
      </c>
      <c r="B501" s="28" t="s">
        <v>6248</v>
      </c>
      <c r="C501" s="2" t="s">
        <v>864</v>
      </c>
      <c r="D501" s="2" t="s">
        <v>6474</v>
      </c>
      <c r="E501" s="2" t="s">
        <v>6487</v>
      </c>
      <c r="F501" s="28" t="str">
        <f t="shared" si="41"/>
        <v>3120District LevelSupervisor Pilot</v>
      </c>
      <c r="G501" s="2" t="s">
        <v>6487</v>
      </c>
      <c r="H501" s="28" t="str">
        <f t="shared" si="38"/>
        <v>3120District LevelSupervisor Pilot</v>
      </c>
      <c r="I501" s="29">
        <v>2</v>
      </c>
      <c r="J501" s="28" t="str">
        <f t="shared" si="39"/>
        <v>3120District LevelSupervisor Pilot2</v>
      </c>
      <c r="K501" s="32"/>
      <c r="L501" s="32">
        <v>30000</v>
      </c>
      <c r="M501" s="32"/>
      <c r="N501" s="30">
        <v>0</v>
      </c>
      <c r="O501" s="30" t="str">
        <f>IFERROR(VLOOKUP($F501,'[2]70XC'!$F:$DA,99,FALSE),"")</f>
        <v/>
      </c>
      <c r="P501" s="30" t="str">
        <f>IFERROR(VLOOKUP($F501,'[2]70XC'!$F:$DA,100,FALSE),"")</f>
        <v/>
      </c>
      <c r="Q501" s="30">
        <v>0</v>
      </c>
      <c r="R501" s="30">
        <v>0</v>
      </c>
      <c r="S501" s="30">
        <v>0</v>
      </c>
      <c r="T501" s="30">
        <v>0</v>
      </c>
      <c r="U501" s="30"/>
      <c r="V501" s="30"/>
      <c r="W501" s="30"/>
      <c r="X501" s="30"/>
      <c r="Y501" t="s">
        <v>6499</v>
      </c>
    </row>
    <row r="502" spans="1:25" x14ac:dyDescent="0.3">
      <c r="A502" s="2" t="s">
        <v>863</v>
      </c>
      <c r="B502" s="28" t="s">
        <v>6248</v>
      </c>
      <c r="C502" s="2" t="s">
        <v>864</v>
      </c>
      <c r="D502" s="2" t="s">
        <v>6474</v>
      </c>
      <c r="E502" s="28" t="s">
        <v>6237</v>
      </c>
      <c r="F502" s="28" t="str">
        <f t="shared" si="41"/>
        <v>3120District LevelTurnaround Network</v>
      </c>
      <c r="G502" s="28" t="s">
        <v>6237</v>
      </c>
      <c r="H502" s="28" t="str">
        <f t="shared" si="38"/>
        <v>3120District LevelTurnaround Network</v>
      </c>
      <c r="I502" s="29">
        <v>2</v>
      </c>
      <c r="J502" s="28" t="str">
        <f t="shared" si="39"/>
        <v>3120District LevelTurnaround Network2</v>
      </c>
      <c r="K502" s="30">
        <v>40000</v>
      </c>
      <c r="L502" s="30"/>
      <c r="M502" s="30"/>
      <c r="N502" s="30">
        <v>0</v>
      </c>
      <c r="O502" s="30">
        <v>44128</v>
      </c>
      <c r="P502" s="30">
        <v>0</v>
      </c>
      <c r="Q502" s="30">
        <v>0</v>
      </c>
      <c r="R502" s="30">
        <v>0</v>
      </c>
      <c r="S502" s="30">
        <v>0</v>
      </c>
      <c r="T502" s="30">
        <v>0</v>
      </c>
      <c r="U502" s="30"/>
      <c r="V502" s="30"/>
      <c r="W502" s="30"/>
      <c r="X502" s="30"/>
      <c r="Y502" t="s">
        <v>6499</v>
      </c>
    </row>
    <row r="503" spans="1:25" x14ac:dyDescent="0.3">
      <c r="A503" s="2" t="s">
        <v>863</v>
      </c>
      <c r="B503" s="28" t="s">
        <v>6248</v>
      </c>
      <c r="C503" s="2" t="s">
        <v>864</v>
      </c>
      <c r="D503" s="2" t="s">
        <v>6474</v>
      </c>
      <c r="E503" s="28" t="s">
        <v>6237</v>
      </c>
      <c r="F503" s="28" t="str">
        <f t="shared" si="41"/>
        <v>3120District LevelTurnaround Network</v>
      </c>
      <c r="G503" s="28" t="s">
        <v>6237</v>
      </c>
      <c r="H503" s="28" t="str">
        <f t="shared" si="38"/>
        <v>3120District LevelTurnaround Network</v>
      </c>
      <c r="I503" s="29">
        <v>3</v>
      </c>
      <c r="J503" s="28" t="str">
        <f t="shared" si="39"/>
        <v>3120District LevelTurnaround Network3</v>
      </c>
      <c r="K503" s="30"/>
      <c r="L503" s="30"/>
      <c r="M503" s="30">
        <v>70000</v>
      </c>
      <c r="N503" s="30">
        <v>0</v>
      </c>
      <c r="O503" s="30"/>
      <c r="P503" s="30">
        <v>0</v>
      </c>
      <c r="Q503" s="30">
        <v>0</v>
      </c>
      <c r="R503" s="30">
        <v>0</v>
      </c>
      <c r="S503" s="30">
        <v>0</v>
      </c>
      <c r="T503" s="30">
        <v>0</v>
      </c>
      <c r="U503" s="30"/>
      <c r="V503" s="30"/>
      <c r="W503" s="30"/>
      <c r="X503" s="30"/>
      <c r="Y503" t="s">
        <v>6499</v>
      </c>
    </row>
    <row r="504" spans="1:25" x14ac:dyDescent="0.3">
      <c r="A504" s="2" t="s">
        <v>1433</v>
      </c>
      <c r="B504" s="2" t="s">
        <v>1435</v>
      </c>
      <c r="C504" s="2" t="s">
        <v>1434</v>
      </c>
      <c r="D504" s="2" t="s">
        <v>1436</v>
      </c>
      <c r="E504" s="28" t="s">
        <v>6463</v>
      </c>
      <c r="F504" s="28" t="str">
        <f t="shared" si="41"/>
        <v>31403066Diagnostic Review 18-19</v>
      </c>
      <c r="G504" s="28" t="s">
        <v>6240</v>
      </c>
      <c r="H504" s="28" t="str">
        <f t="shared" si="38"/>
        <v>31403066Diagnostic Review</v>
      </c>
      <c r="I504" s="29">
        <v>3</v>
      </c>
      <c r="J504" s="28" t="str">
        <f t="shared" si="39"/>
        <v>31403066Diagnostic Review3</v>
      </c>
      <c r="K504" s="30"/>
      <c r="L504" s="30">
        <v>60197</v>
      </c>
      <c r="M504" s="30"/>
      <c r="N504" s="30">
        <v>0</v>
      </c>
      <c r="O504" s="30">
        <v>0</v>
      </c>
      <c r="P504" s="30">
        <v>0</v>
      </c>
      <c r="Q504" s="30">
        <v>0</v>
      </c>
      <c r="R504" s="30">
        <v>0</v>
      </c>
      <c r="S504" s="30">
        <v>0</v>
      </c>
      <c r="T504" s="30">
        <v>0</v>
      </c>
      <c r="U504" s="30"/>
      <c r="V504" s="30"/>
      <c r="W504" s="30"/>
      <c r="X504" s="30"/>
      <c r="Y504" t="s">
        <v>6499</v>
      </c>
    </row>
    <row r="505" spans="1:25" x14ac:dyDescent="0.3">
      <c r="A505" s="28" t="s">
        <v>1433</v>
      </c>
      <c r="B505" s="28" t="s">
        <v>6248</v>
      </c>
      <c r="C505" s="2" t="s">
        <v>1434</v>
      </c>
      <c r="D505" s="2" t="s">
        <v>6474</v>
      </c>
      <c r="E505" s="2" t="s">
        <v>6482</v>
      </c>
      <c r="F505" s="28" t="str">
        <f t="shared" si="41"/>
        <v>3140District LevelEASI MTSS</v>
      </c>
      <c r="G505" s="2" t="s">
        <v>6235</v>
      </c>
      <c r="H505" s="28" t="str">
        <f t="shared" si="38"/>
        <v>3140District LevelMTSS</v>
      </c>
      <c r="I505" s="29">
        <v>2</v>
      </c>
      <c r="J505" s="28" t="str">
        <f t="shared" si="39"/>
        <v>3140District LevelMTSS2</v>
      </c>
      <c r="K505" s="32"/>
      <c r="L505" s="32">
        <v>5480</v>
      </c>
      <c r="M505" s="32">
        <v>70930</v>
      </c>
      <c r="N505" s="30">
        <v>0</v>
      </c>
      <c r="O505" s="30">
        <v>59590</v>
      </c>
      <c r="P505" s="30">
        <v>0</v>
      </c>
      <c r="Q505" s="30">
        <v>0</v>
      </c>
      <c r="R505" s="30">
        <v>0</v>
      </c>
      <c r="S505" s="30">
        <v>0</v>
      </c>
      <c r="T505" s="30">
        <v>0</v>
      </c>
      <c r="U505" s="30"/>
      <c r="V505" s="30"/>
      <c r="W505" s="30"/>
      <c r="X505" s="30"/>
      <c r="Y505" t="s">
        <v>6499</v>
      </c>
    </row>
    <row r="506" spans="1:25" x14ac:dyDescent="0.3">
      <c r="A506" s="2" t="s">
        <v>1433</v>
      </c>
      <c r="B506" s="28" t="s">
        <v>6248</v>
      </c>
      <c r="C506" s="2" t="s">
        <v>1434</v>
      </c>
      <c r="D506" s="2" t="s">
        <v>6474</v>
      </c>
      <c r="E506" s="2" t="s">
        <v>6457</v>
      </c>
      <c r="F506" s="28" t="s">
        <v>6235</v>
      </c>
      <c r="G506" s="2" t="s">
        <v>6235</v>
      </c>
      <c r="H506" s="28" t="str">
        <f t="shared" si="38"/>
        <v>3140District LevelMTSS</v>
      </c>
      <c r="I506" s="29">
        <v>4</v>
      </c>
      <c r="J506" s="28" t="str">
        <f t="shared" si="39"/>
        <v>3140District LevelMTSS4</v>
      </c>
      <c r="K506" s="32"/>
      <c r="L506" s="32"/>
      <c r="M506" s="32"/>
      <c r="N506" s="30"/>
      <c r="O506" s="30"/>
      <c r="P506" s="30"/>
      <c r="Q506" s="30">
        <v>0</v>
      </c>
      <c r="R506" s="30">
        <v>0</v>
      </c>
      <c r="S506" s="30">
        <v>0</v>
      </c>
      <c r="T506" s="30">
        <v>65000</v>
      </c>
      <c r="U506" s="30"/>
      <c r="V506" s="30"/>
      <c r="W506" s="30"/>
      <c r="X506" s="30"/>
      <c r="Y506" t="s">
        <v>6499</v>
      </c>
    </row>
    <row r="507" spans="1:25" x14ac:dyDescent="0.3">
      <c r="A507" s="28" t="s">
        <v>1007</v>
      </c>
      <c r="B507" s="2" t="s">
        <v>1017</v>
      </c>
      <c r="C507" s="2" t="s">
        <v>1008</v>
      </c>
      <c r="D507" s="2" t="s">
        <v>1018</v>
      </c>
      <c r="E507" s="28" t="s">
        <v>6456</v>
      </c>
      <c r="F507" s="28" t="str">
        <f t="shared" ref="F507:F522" si="42">A507&amp;B507&amp;E507</f>
        <v>80010655Connect For Success 18-21</v>
      </c>
      <c r="G507" s="28" t="s">
        <v>6234</v>
      </c>
      <c r="H507" s="28" t="str">
        <f t="shared" si="38"/>
        <v>80010655Connect For Success</v>
      </c>
      <c r="I507" s="29">
        <v>2</v>
      </c>
      <c r="J507" s="28" t="str">
        <f t="shared" si="39"/>
        <v>80010655Connect For Success2</v>
      </c>
      <c r="K507" s="30"/>
      <c r="L507" s="30">
        <v>20000</v>
      </c>
      <c r="M507" s="30">
        <v>80000</v>
      </c>
      <c r="N507" s="30">
        <v>0</v>
      </c>
      <c r="O507" s="30">
        <v>80000</v>
      </c>
      <c r="P507" s="30">
        <v>0</v>
      </c>
      <c r="Q507" s="30">
        <v>0</v>
      </c>
      <c r="R507" s="30">
        <v>0</v>
      </c>
      <c r="S507" s="30">
        <v>0</v>
      </c>
      <c r="T507" s="30">
        <v>0</v>
      </c>
      <c r="U507" s="30"/>
      <c r="V507" s="30"/>
      <c r="W507" s="30"/>
      <c r="X507" s="30"/>
      <c r="Y507" t="s">
        <v>6499</v>
      </c>
    </row>
    <row r="508" spans="1:25" x14ac:dyDescent="0.3">
      <c r="A508" s="28" t="s">
        <v>1007</v>
      </c>
      <c r="B508" s="2" t="s">
        <v>4810</v>
      </c>
      <c r="C508" s="2" t="s">
        <v>1008</v>
      </c>
      <c r="D508" s="2" t="s">
        <v>4811</v>
      </c>
      <c r="E508" s="28" t="s">
        <v>6456</v>
      </c>
      <c r="F508" s="28" t="str">
        <f t="shared" si="42"/>
        <v>80012837Connect For Success 18-21</v>
      </c>
      <c r="G508" s="28" t="s">
        <v>6234</v>
      </c>
      <c r="H508" s="28" t="str">
        <f t="shared" si="38"/>
        <v>80012837Connect For Success</v>
      </c>
      <c r="I508" s="29">
        <v>2</v>
      </c>
      <c r="J508" s="28" t="str">
        <f t="shared" si="39"/>
        <v>80012837Connect For Success2</v>
      </c>
      <c r="K508" s="30"/>
      <c r="L508" s="30">
        <v>20000</v>
      </c>
      <c r="M508" s="30">
        <v>80000</v>
      </c>
      <c r="N508" s="30">
        <v>0</v>
      </c>
      <c r="O508" s="30">
        <v>80000</v>
      </c>
      <c r="P508" s="30">
        <v>0</v>
      </c>
      <c r="Q508" s="30">
        <v>0</v>
      </c>
      <c r="R508" s="30">
        <v>0</v>
      </c>
      <c r="S508" s="30">
        <v>0</v>
      </c>
      <c r="T508" s="30">
        <v>0</v>
      </c>
      <c r="U508" s="30"/>
      <c r="V508" s="30"/>
      <c r="W508" s="30"/>
      <c r="X508" s="30"/>
      <c r="Y508" t="s">
        <v>6499</v>
      </c>
    </row>
    <row r="509" spans="1:25" x14ac:dyDescent="0.3">
      <c r="A509" s="2" t="s">
        <v>1007</v>
      </c>
      <c r="B509" s="2" t="s">
        <v>3651</v>
      </c>
      <c r="C509" s="2" t="s">
        <v>1008</v>
      </c>
      <c r="D509" s="2" t="s">
        <v>3652</v>
      </c>
      <c r="E509" s="28" t="s">
        <v>6465</v>
      </c>
      <c r="F509" s="28" t="str">
        <f t="shared" si="42"/>
        <v>80014699Diagnostic Review 19-20</v>
      </c>
      <c r="G509" s="28" t="s">
        <v>6240</v>
      </c>
      <c r="H509" s="28" t="str">
        <f t="shared" si="38"/>
        <v>80014699Diagnostic Review</v>
      </c>
      <c r="I509" s="29">
        <v>3</v>
      </c>
      <c r="J509" s="28" t="str">
        <f t="shared" si="39"/>
        <v>80014699Diagnostic Review3</v>
      </c>
      <c r="K509" s="30"/>
      <c r="L509" s="30"/>
      <c r="M509" s="30"/>
      <c r="N509" s="30">
        <v>58144</v>
      </c>
      <c r="O509" s="30"/>
      <c r="P509" s="30"/>
      <c r="Q509" s="30">
        <v>0</v>
      </c>
      <c r="R509" s="30">
        <v>0</v>
      </c>
      <c r="S509" s="30">
        <v>0</v>
      </c>
      <c r="T509" s="30">
        <v>0</v>
      </c>
      <c r="U509" s="30"/>
      <c r="V509" s="30"/>
      <c r="W509" s="30"/>
      <c r="X509" s="30"/>
      <c r="Y509" t="s">
        <v>6499</v>
      </c>
    </row>
    <row r="510" spans="1:25" x14ac:dyDescent="0.3">
      <c r="A510" s="2" t="s">
        <v>1007</v>
      </c>
      <c r="B510" s="2" t="s">
        <v>5519</v>
      </c>
      <c r="C510" s="2" t="s">
        <v>1008</v>
      </c>
      <c r="D510" s="2" t="s">
        <v>5520</v>
      </c>
      <c r="E510" s="28" t="s">
        <v>6465</v>
      </c>
      <c r="F510" s="28" t="str">
        <f t="shared" si="42"/>
        <v>80016219Diagnostic Review 19-20</v>
      </c>
      <c r="G510" s="28" t="s">
        <v>6240</v>
      </c>
      <c r="H510" s="28" t="str">
        <f t="shared" si="38"/>
        <v>80016219Diagnostic Review</v>
      </c>
      <c r="I510" s="29">
        <v>3</v>
      </c>
      <c r="J510" s="28" t="str">
        <f t="shared" si="39"/>
        <v>80016219Diagnostic Review3</v>
      </c>
      <c r="K510" s="30"/>
      <c r="L510" s="30"/>
      <c r="M510" s="30"/>
      <c r="N510" s="30">
        <v>58144</v>
      </c>
      <c r="O510" s="30"/>
      <c r="P510" s="30"/>
      <c r="Q510" s="30">
        <v>0</v>
      </c>
      <c r="R510" s="30">
        <v>0</v>
      </c>
      <c r="S510" s="30">
        <v>0</v>
      </c>
      <c r="T510" s="30">
        <v>0</v>
      </c>
      <c r="U510" s="30"/>
      <c r="V510" s="30"/>
      <c r="W510" s="30"/>
      <c r="X510" s="30"/>
      <c r="Y510" t="s">
        <v>6499</v>
      </c>
    </row>
    <row r="511" spans="1:25" x14ac:dyDescent="0.3">
      <c r="A511" s="2" t="s">
        <v>1007</v>
      </c>
      <c r="B511" s="2" t="s">
        <v>3482</v>
      </c>
      <c r="C511" s="2" t="s">
        <v>1008</v>
      </c>
      <c r="D511" s="2" t="s">
        <v>3483</v>
      </c>
      <c r="E511" s="28" t="s">
        <v>6465</v>
      </c>
      <c r="F511" s="28" t="str">
        <f t="shared" si="42"/>
        <v>80016237Diagnostic Review 19-20</v>
      </c>
      <c r="G511" s="28" t="s">
        <v>6240</v>
      </c>
      <c r="H511" s="28" t="str">
        <f t="shared" si="38"/>
        <v>80016237Diagnostic Review</v>
      </c>
      <c r="I511" s="29">
        <v>3</v>
      </c>
      <c r="J511" s="28" t="str">
        <f t="shared" si="39"/>
        <v>80016237Diagnostic Review3</v>
      </c>
      <c r="K511" s="30"/>
      <c r="L511" s="30"/>
      <c r="M511" s="30"/>
      <c r="N511" s="30">
        <v>58144</v>
      </c>
      <c r="O511" s="30"/>
      <c r="P511" s="30"/>
      <c r="Q511" s="30">
        <v>0</v>
      </c>
      <c r="R511" s="30">
        <v>0</v>
      </c>
      <c r="S511" s="30">
        <v>0</v>
      </c>
      <c r="T511" s="30">
        <v>0</v>
      </c>
      <c r="U511" s="30"/>
      <c r="V511" s="30"/>
      <c r="W511" s="30"/>
      <c r="X511" s="30"/>
      <c r="Y511" t="s">
        <v>6499</v>
      </c>
    </row>
    <row r="512" spans="1:25" x14ac:dyDescent="0.3">
      <c r="A512" s="2" t="s">
        <v>1007</v>
      </c>
      <c r="B512" s="2" t="s">
        <v>1009</v>
      </c>
      <c r="C512" s="2" t="s">
        <v>1008</v>
      </c>
      <c r="D512" s="2" t="s">
        <v>1010</v>
      </c>
      <c r="E512" s="28" t="s">
        <v>6463</v>
      </c>
      <c r="F512" s="28" t="str">
        <f t="shared" si="42"/>
        <v>80016266Diagnostic Review 18-19</v>
      </c>
      <c r="G512" s="28" t="s">
        <v>6240</v>
      </c>
      <c r="H512" s="28" t="str">
        <f t="shared" si="38"/>
        <v>80016266Diagnostic Review</v>
      </c>
      <c r="I512" s="29">
        <v>3</v>
      </c>
      <c r="J512" s="28" t="str">
        <f t="shared" si="39"/>
        <v>80016266Diagnostic Review3</v>
      </c>
      <c r="K512" s="30"/>
      <c r="L512" s="30">
        <v>55700</v>
      </c>
      <c r="M512" s="30">
        <v>55000</v>
      </c>
      <c r="N512" s="30">
        <v>0</v>
      </c>
      <c r="O512" s="30">
        <v>0</v>
      </c>
      <c r="P512" s="30">
        <v>0</v>
      </c>
      <c r="Q512" s="30">
        <v>0</v>
      </c>
      <c r="R512" s="30">
        <v>0</v>
      </c>
      <c r="S512" s="30">
        <v>0</v>
      </c>
      <c r="T512" s="30">
        <v>0</v>
      </c>
      <c r="U512" s="30"/>
      <c r="V512" s="30"/>
      <c r="W512" s="30"/>
      <c r="X512" s="30"/>
      <c r="Y512" t="s">
        <v>6499</v>
      </c>
    </row>
    <row r="513" spans="1:25" x14ac:dyDescent="0.3">
      <c r="A513" s="2" t="s">
        <v>1007</v>
      </c>
      <c r="B513" s="28" t="s">
        <v>6248</v>
      </c>
      <c r="C513" s="2" t="s">
        <v>1008</v>
      </c>
      <c r="D513" s="2" t="s">
        <v>6474</v>
      </c>
      <c r="E513" s="2" t="s">
        <v>6482</v>
      </c>
      <c r="F513" s="28" t="str">
        <f t="shared" si="42"/>
        <v>8001District LevelEASI MTSS</v>
      </c>
      <c r="G513" s="2" t="s">
        <v>6235</v>
      </c>
      <c r="H513" s="28" t="str">
        <f t="shared" si="38"/>
        <v>8001District LevelMTSS</v>
      </c>
      <c r="I513" s="29">
        <v>2</v>
      </c>
      <c r="J513" s="28" t="str">
        <f t="shared" si="39"/>
        <v>8001District LevelMTSS2</v>
      </c>
      <c r="K513" s="30"/>
      <c r="L513" s="30">
        <v>21000</v>
      </c>
      <c r="M513" s="30">
        <v>49125</v>
      </c>
      <c r="N513" s="30">
        <v>0</v>
      </c>
      <c r="O513" s="30">
        <v>51625</v>
      </c>
      <c r="P513" s="30">
        <v>0</v>
      </c>
      <c r="Q513" s="30">
        <v>0</v>
      </c>
      <c r="R513" s="30">
        <v>0</v>
      </c>
      <c r="S513" s="30">
        <v>0</v>
      </c>
      <c r="T513" s="30">
        <v>0</v>
      </c>
      <c r="U513" s="30"/>
      <c r="V513" s="30"/>
      <c r="W513" s="30"/>
      <c r="X513" s="30"/>
      <c r="Y513" t="s">
        <v>6499</v>
      </c>
    </row>
    <row r="514" spans="1:25" x14ac:dyDescent="0.3">
      <c r="A514" s="28" t="s">
        <v>1007</v>
      </c>
      <c r="B514" s="28" t="s">
        <v>6248</v>
      </c>
      <c r="C514" s="2" t="s">
        <v>1008</v>
      </c>
      <c r="D514" s="2" t="s">
        <v>6474</v>
      </c>
      <c r="E514" s="28" t="s">
        <v>6496</v>
      </c>
      <c r="F514" s="28" t="str">
        <f t="shared" si="42"/>
        <v>8001District LevelOffered Services Continuation</v>
      </c>
      <c r="G514" s="28" t="s">
        <v>6235</v>
      </c>
      <c r="H514" s="28" t="str">
        <f t="shared" ref="H514:H522" si="43">A514&amp;B514&amp;G514</f>
        <v>8001District LevelMTSS</v>
      </c>
      <c r="I514" s="29">
        <v>5</v>
      </c>
      <c r="J514" s="28" t="str">
        <f t="shared" ref="J514:J522" si="44">H514&amp;I514</f>
        <v>8001District LevelMTSS5</v>
      </c>
      <c r="K514" s="30">
        <v>0</v>
      </c>
      <c r="L514" s="30">
        <v>0</v>
      </c>
      <c r="M514" s="30">
        <v>0</v>
      </c>
      <c r="N514" s="30">
        <v>0</v>
      </c>
      <c r="O514" s="30">
        <v>0</v>
      </c>
      <c r="P514" s="30">
        <v>0</v>
      </c>
      <c r="Q514" s="30">
        <v>0</v>
      </c>
      <c r="R514" s="30">
        <v>0</v>
      </c>
      <c r="S514" s="30">
        <v>0</v>
      </c>
      <c r="T514" s="30">
        <v>0</v>
      </c>
      <c r="U514" s="30">
        <v>12600</v>
      </c>
      <c r="V514" s="30">
        <v>27400</v>
      </c>
      <c r="W514" s="30">
        <v>0</v>
      </c>
      <c r="X514" s="30">
        <v>0</v>
      </c>
      <c r="Y514" t="s">
        <v>6500</v>
      </c>
    </row>
    <row r="515" spans="1:25" x14ac:dyDescent="0.3">
      <c r="A515" s="28" t="s">
        <v>997</v>
      </c>
      <c r="B515" s="28" t="s">
        <v>6209</v>
      </c>
      <c r="C515" s="2" t="s">
        <v>998</v>
      </c>
      <c r="D515" s="2" t="s">
        <v>6210</v>
      </c>
      <c r="E515" s="28" t="s">
        <v>6468</v>
      </c>
      <c r="F515" s="28" t="str">
        <f t="shared" si="42"/>
        <v>91701448Exploration</v>
      </c>
      <c r="G515" s="28" t="s">
        <v>6240</v>
      </c>
      <c r="H515" s="28" t="str">
        <f t="shared" si="43"/>
        <v>91701448Diagnostic Review</v>
      </c>
      <c r="I515" s="29">
        <v>5</v>
      </c>
      <c r="J515" s="28" t="str">
        <f t="shared" si="44"/>
        <v>91701448Diagnostic Review5</v>
      </c>
      <c r="K515" s="30">
        <v>0</v>
      </c>
      <c r="L515" s="30">
        <v>0</v>
      </c>
      <c r="M515" s="30">
        <v>0</v>
      </c>
      <c r="N515" s="30">
        <v>0</v>
      </c>
      <c r="O515" s="30">
        <v>0</v>
      </c>
      <c r="P515" s="30">
        <v>0</v>
      </c>
      <c r="Q515" s="30">
        <v>0</v>
      </c>
      <c r="R515" s="30">
        <v>0</v>
      </c>
      <c r="S515" s="30">
        <v>0</v>
      </c>
      <c r="T515" s="30">
        <v>0</v>
      </c>
      <c r="U515" s="30">
        <v>30000</v>
      </c>
      <c r="V515" s="30">
        <v>0</v>
      </c>
      <c r="W515" s="30">
        <v>0</v>
      </c>
      <c r="X515" s="30">
        <v>0</v>
      </c>
      <c r="Y515" t="s">
        <v>6499</v>
      </c>
    </row>
    <row r="516" spans="1:25" x14ac:dyDescent="0.3">
      <c r="A516" s="28" t="s">
        <v>997</v>
      </c>
      <c r="B516" s="28" t="s">
        <v>5503</v>
      </c>
      <c r="C516" s="2" t="s">
        <v>998</v>
      </c>
      <c r="D516" s="2" t="s">
        <v>5504</v>
      </c>
      <c r="E516" s="28" t="s">
        <v>6468</v>
      </c>
      <c r="F516" s="28" t="str">
        <f t="shared" si="42"/>
        <v>91701501Exploration</v>
      </c>
      <c r="G516" s="28" t="s">
        <v>6240</v>
      </c>
      <c r="H516" s="28" t="str">
        <f t="shared" si="43"/>
        <v>91701501Diagnostic Review</v>
      </c>
      <c r="I516" s="29">
        <v>5</v>
      </c>
      <c r="J516" s="28" t="str">
        <f t="shared" si="44"/>
        <v>91701501Diagnostic Review5</v>
      </c>
      <c r="K516" s="30">
        <v>0</v>
      </c>
      <c r="L516" s="30">
        <v>0</v>
      </c>
      <c r="M516" s="30">
        <v>0</v>
      </c>
      <c r="N516" s="30">
        <v>0</v>
      </c>
      <c r="O516" s="30">
        <v>0</v>
      </c>
      <c r="P516" s="30">
        <v>0</v>
      </c>
      <c r="Q516" s="30">
        <v>0</v>
      </c>
      <c r="R516" s="30">
        <v>0</v>
      </c>
      <c r="S516" s="30">
        <v>0</v>
      </c>
      <c r="T516" s="30">
        <v>0</v>
      </c>
      <c r="U516" s="30">
        <v>30000</v>
      </c>
      <c r="V516" s="30">
        <v>0</v>
      </c>
      <c r="W516" s="30">
        <v>0</v>
      </c>
      <c r="X516" s="30">
        <v>0</v>
      </c>
      <c r="Y516" t="s">
        <v>6499</v>
      </c>
    </row>
    <row r="517" spans="1:25" x14ac:dyDescent="0.3">
      <c r="A517" s="2" t="s">
        <v>997</v>
      </c>
      <c r="B517" s="2" t="s">
        <v>214</v>
      </c>
      <c r="C517" s="2" t="s">
        <v>998</v>
      </c>
      <c r="D517" s="2" t="s">
        <v>3296</v>
      </c>
      <c r="E517" s="28" t="s">
        <v>6478</v>
      </c>
      <c r="F517" s="28" t="str">
        <f t="shared" si="42"/>
        <v>91701550District Design and Led 19-22</v>
      </c>
      <c r="G517" s="28" t="s">
        <v>6233</v>
      </c>
      <c r="H517" s="28" t="str">
        <f t="shared" si="43"/>
        <v>91701550District Design and Led</v>
      </c>
      <c r="I517" s="29">
        <v>3</v>
      </c>
      <c r="J517" s="28" t="str">
        <f t="shared" si="44"/>
        <v>91701550District Design and Led3</v>
      </c>
      <c r="K517" s="30"/>
      <c r="L517" s="30"/>
      <c r="M517" s="30"/>
      <c r="N517" s="30">
        <v>28333</v>
      </c>
      <c r="O517" s="30"/>
      <c r="P517" s="30">
        <v>20500</v>
      </c>
      <c r="Q517" s="30">
        <v>0</v>
      </c>
      <c r="R517" s="30">
        <v>0</v>
      </c>
      <c r="S517" s="30">
        <v>19273.426693999998</v>
      </c>
      <c r="T517" s="30">
        <v>0</v>
      </c>
      <c r="U517" s="30"/>
      <c r="V517" s="30"/>
      <c r="W517" s="30"/>
      <c r="X517" s="30"/>
      <c r="Y517" t="s">
        <v>6499</v>
      </c>
    </row>
    <row r="518" spans="1:25" x14ac:dyDescent="0.3">
      <c r="A518" s="28" t="s">
        <v>997</v>
      </c>
      <c r="B518" s="28" t="s">
        <v>214</v>
      </c>
      <c r="C518" s="2" t="s">
        <v>998</v>
      </c>
      <c r="D518" s="2" t="s">
        <v>3296</v>
      </c>
      <c r="E518" s="28" t="s">
        <v>6468</v>
      </c>
      <c r="F518" s="28" t="str">
        <f t="shared" si="42"/>
        <v>91701550Exploration</v>
      </c>
      <c r="G518" s="28" t="s">
        <v>6240</v>
      </c>
      <c r="H518" s="28" t="str">
        <f t="shared" si="43"/>
        <v>91701550Diagnostic Review</v>
      </c>
      <c r="I518" s="29">
        <v>5</v>
      </c>
      <c r="J518" s="28" t="str">
        <f t="shared" si="44"/>
        <v>91701550Diagnostic Review5</v>
      </c>
      <c r="K518" s="30">
        <v>0</v>
      </c>
      <c r="L518" s="30">
        <v>0</v>
      </c>
      <c r="M518" s="30">
        <v>0</v>
      </c>
      <c r="N518" s="30">
        <v>0</v>
      </c>
      <c r="O518" s="30">
        <v>0</v>
      </c>
      <c r="P518" s="30">
        <v>0</v>
      </c>
      <c r="Q518" s="30">
        <v>0</v>
      </c>
      <c r="R518" s="30">
        <v>0</v>
      </c>
      <c r="S518" s="30">
        <v>0</v>
      </c>
      <c r="T518" s="30">
        <v>0</v>
      </c>
      <c r="U518" s="30">
        <v>30000</v>
      </c>
      <c r="V518" s="30">
        <v>0</v>
      </c>
      <c r="W518" s="30">
        <v>0</v>
      </c>
      <c r="X518" s="30">
        <v>0</v>
      </c>
      <c r="Y518" t="s">
        <v>6499</v>
      </c>
    </row>
    <row r="519" spans="1:25" x14ac:dyDescent="0.3">
      <c r="A519" s="28" t="s">
        <v>997</v>
      </c>
      <c r="B519" s="28" t="s">
        <v>1881</v>
      </c>
      <c r="C519" s="2" t="s">
        <v>998</v>
      </c>
      <c r="D519" s="2" t="s">
        <v>1882</v>
      </c>
      <c r="E519" s="28" t="s">
        <v>6238</v>
      </c>
      <c r="F519" s="28" t="str">
        <f t="shared" si="42"/>
        <v>91706971AEC Pilot</v>
      </c>
      <c r="G519" s="28" t="s">
        <v>6238</v>
      </c>
      <c r="H519" s="28" t="str">
        <f t="shared" si="43"/>
        <v>91706971AEC Pilot</v>
      </c>
      <c r="I519" s="29">
        <v>2</v>
      </c>
      <c r="J519" s="28" t="str">
        <f t="shared" si="44"/>
        <v>91706971AEC Pilot2</v>
      </c>
      <c r="K519" s="30"/>
      <c r="L519" s="30">
        <v>10000</v>
      </c>
      <c r="M519" s="30">
        <v>25981</v>
      </c>
      <c r="N519" s="30">
        <v>0</v>
      </c>
      <c r="O519" s="30">
        <v>12600</v>
      </c>
      <c r="P519" s="30">
        <v>0</v>
      </c>
      <c r="Q519" s="30">
        <v>0</v>
      </c>
      <c r="R519" s="30">
        <v>0</v>
      </c>
      <c r="S519" s="30">
        <v>0</v>
      </c>
      <c r="T519" s="30">
        <v>0</v>
      </c>
      <c r="U519" s="30"/>
      <c r="V519" s="30"/>
      <c r="W519" s="30"/>
      <c r="X519" s="30"/>
      <c r="Y519" t="s">
        <v>6499</v>
      </c>
    </row>
    <row r="520" spans="1:25" x14ac:dyDescent="0.3">
      <c r="A520" s="2" t="s">
        <v>997</v>
      </c>
      <c r="B520" s="2" t="s">
        <v>1881</v>
      </c>
      <c r="C520" s="2" t="s">
        <v>998</v>
      </c>
      <c r="D520" s="2" t="s">
        <v>1882</v>
      </c>
      <c r="E520" s="28" t="s">
        <v>6478</v>
      </c>
      <c r="F520" s="28" t="str">
        <f t="shared" si="42"/>
        <v>91706971District Design and Led 19-22</v>
      </c>
      <c r="G520" s="28" t="s">
        <v>6233</v>
      </c>
      <c r="H520" s="28" t="str">
        <f t="shared" si="43"/>
        <v>91706971District Design and Led</v>
      </c>
      <c r="I520" s="29">
        <v>3</v>
      </c>
      <c r="J520" s="28" t="str">
        <f t="shared" si="44"/>
        <v>91706971District Design and Led3</v>
      </c>
      <c r="K520" s="30"/>
      <c r="L520" s="30"/>
      <c r="M520" s="30"/>
      <c r="N520" s="30">
        <v>28333</v>
      </c>
      <c r="O520" s="30"/>
      <c r="P520" s="30">
        <v>20500</v>
      </c>
      <c r="Q520" s="30">
        <v>0</v>
      </c>
      <c r="R520" s="30">
        <v>0</v>
      </c>
      <c r="S520" s="30">
        <v>19273.416612000001</v>
      </c>
      <c r="T520" s="30">
        <v>0</v>
      </c>
      <c r="U520" s="30"/>
      <c r="V520" s="30"/>
      <c r="W520" s="30"/>
      <c r="X520" s="30"/>
      <c r="Y520" t="s">
        <v>6499</v>
      </c>
    </row>
    <row r="521" spans="1:25" x14ac:dyDescent="0.3">
      <c r="A521" s="28" t="s">
        <v>997</v>
      </c>
      <c r="B521" s="28" t="s">
        <v>1881</v>
      </c>
      <c r="C521" s="2" t="s">
        <v>998</v>
      </c>
      <c r="D521" s="2" t="s">
        <v>1882</v>
      </c>
      <c r="E521" s="28" t="s">
        <v>6468</v>
      </c>
      <c r="F521" s="28" t="str">
        <f t="shared" si="42"/>
        <v>91706971Exploration</v>
      </c>
      <c r="G521" s="28" t="s">
        <v>6240</v>
      </c>
      <c r="H521" s="28" t="str">
        <f t="shared" si="43"/>
        <v>91706971Diagnostic Review</v>
      </c>
      <c r="I521" s="29">
        <v>5</v>
      </c>
      <c r="J521" s="28" t="str">
        <f t="shared" si="44"/>
        <v>91706971Diagnostic Review5</v>
      </c>
      <c r="K521" s="30">
        <v>0</v>
      </c>
      <c r="L521" s="30">
        <v>0</v>
      </c>
      <c r="M521" s="30">
        <v>0</v>
      </c>
      <c r="N521" s="30">
        <v>0</v>
      </c>
      <c r="O521" s="30">
        <v>0</v>
      </c>
      <c r="P521" s="30">
        <v>0</v>
      </c>
      <c r="Q521" s="30">
        <v>0</v>
      </c>
      <c r="R521" s="30">
        <v>0</v>
      </c>
      <c r="S521" s="30">
        <v>0</v>
      </c>
      <c r="T521" s="30">
        <v>0</v>
      </c>
      <c r="U521" s="30">
        <v>30000</v>
      </c>
      <c r="V521" s="30">
        <v>0</v>
      </c>
      <c r="W521" s="30">
        <v>0</v>
      </c>
      <c r="X521" s="30">
        <v>0</v>
      </c>
      <c r="Y521" t="s">
        <v>6499</v>
      </c>
    </row>
    <row r="522" spans="1:25" x14ac:dyDescent="0.3">
      <c r="A522" s="2" t="s">
        <v>997</v>
      </c>
      <c r="B522" s="28" t="s">
        <v>6248</v>
      </c>
      <c r="C522" s="2" t="s">
        <v>998</v>
      </c>
      <c r="D522" s="2" t="s">
        <v>6474</v>
      </c>
      <c r="E522" s="28" t="s">
        <v>6473</v>
      </c>
      <c r="F522" s="28" t="str">
        <f t="shared" si="42"/>
        <v>9170District LevelDistrict Design and Led 17-20</v>
      </c>
      <c r="G522" s="28" t="s">
        <v>6233</v>
      </c>
      <c r="H522" s="28" t="str">
        <f t="shared" si="43"/>
        <v>9170District LevelDistrict Design and Led</v>
      </c>
      <c r="I522" s="29">
        <v>2</v>
      </c>
      <c r="J522" s="28" t="str">
        <f t="shared" si="44"/>
        <v>9170District LevelDistrict Design and Led2</v>
      </c>
      <c r="K522" s="30">
        <v>41517</v>
      </c>
      <c r="L522" s="30"/>
      <c r="M522" s="30"/>
      <c r="N522" s="30">
        <v>0</v>
      </c>
      <c r="O522" s="30">
        <v>0</v>
      </c>
      <c r="P522" s="30">
        <v>0</v>
      </c>
      <c r="Q522" s="30">
        <v>0</v>
      </c>
      <c r="R522" s="30">
        <v>0</v>
      </c>
      <c r="S522" s="30">
        <v>0</v>
      </c>
      <c r="T522" s="30">
        <v>0</v>
      </c>
      <c r="U522" s="30"/>
      <c r="V522" s="30"/>
      <c r="W522" s="30"/>
      <c r="X522" s="30"/>
      <c r="Y522" t="s">
        <v>6499</v>
      </c>
    </row>
    <row r="523" spans="1:25" x14ac:dyDescent="0.3">
      <c r="A523" s="2"/>
      <c r="B523" s="28"/>
      <c r="C523" s="2"/>
      <c r="D523" s="2"/>
      <c r="E523" s="28"/>
      <c r="F523" s="28"/>
      <c r="G523" s="28"/>
      <c r="H523" s="28"/>
      <c r="I523" s="29"/>
      <c r="J523" s="28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</row>
    <row r="524" spans="1:25" x14ac:dyDescent="0.3">
      <c r="A524" s="2"/>
      <c r="B524" s="28"/>
      <c r="C524" s="2"/>
      <c r="D524" s="2"/>
      <c r="E524" s="28"/>
      <c r="F524" s="28"/>
      <c r="G524" s="28"/>
      <c r="H524" s="28"/>
      <c r="I524" s="29"/>
      <c r="J524" s="28"/>
      <c r="K524" s="31">
        <f t="shared" ref="K524:X524" si="45">SUM(K2:K522)</f>
        <v>6288047</v>
      </c>
      <c r="L524" s="31">
        <f t="shared" si="45"/>
        <v>11391520</v>
      </c>
      <c r="M524" s="31">
        <f t="shared" si="45"/>
        <v>10272251</v>
      </c>
      <c r="N524" s="31">
        <f t="shared" si="45"/>
        <v>1342276</v>
      </c>
      <c r="O524" s="31">
        <f t="shared" si="45"/>
        <v>5963180.9967999998</v>
      </c>
      <c r="P524" s="31">
        <f t="shared" si="45"/>
        <v>2379431.3556000004</v>
      </c>
      <c r="Q524" s="31">
        <f t="shared" si="45"/>
        <v>1320159</v>
      </c>
      <c r="R524" s="31">
        <f t="shared" si="45"/>
        <v>159694.3952</v>
      </c>
      <c r="S524" s="31">
        <f t="shared" si="45"/>
        <v>1575289.5496786505</v>
      </c>
      <c r="T524" s="31">
        <f t="shared" si="45"/>
        <v>2262105</v>
      </c>
      <c r="U524" s="31">
        <f t="shared" si="45"/>
        <v>1587376</v>
      </c>
      <c r="V524" s="31">
        <f t="shared" si="45"/>
        <v>2770156</v>
      </c>
      <c r="W524" s="31">
        <f t="shared" si="45"/>
        <v>2176283</v>
      </c>
      <c r="X524" s="31">
        <f t="shared" si="45"/>
        <v>210000</v>
      </c>
    </row>
    <row r="525" spans="1:25" x14ac:dyDescent="0.3">
      <c r="A525" s="2"/>
      <c r="B525" s="28"/>
      <c r="C525" s="2"/>
      <c r="D525" s="2"/>
      <c r="E525" s="28"/>
      <c r="F525" s="28"/>
      <c r="G525" s="28"/>
      <c r="H525" s="28"/>
      <c r="I525" s="29"/>
      <c r="J525" s="28"/>
      <c r="K525" s="30">
        <v>6288047</v>
      </c>
      <c r="L525" s="30">
        <v>11391520</v>
      </c>
      <c r="M525" s="30">
        <v>10272251</v>
      </c>
      <c r="N525" s="30">
        <v>1342276</v>
      </c>
      <c r="O525" s="30">
        <v>5963180.9967999998</v>
      </c>
      <c r="P525" s="30">
        <v>2379431.3556000004</v>
      </c>
      <c r="Q525" s="30">
        <v>1320159</v>
      </c>
      <c r="R525" s="30">
        <v>159694.3952</v>
      </c>
      <c r="S525" s="30">
        <v>1575289.5496786498</v>
      </c>
      <c r="T525" s="30">
        <v>2262105</v>
      </c>
      <c r="U525" s="30"/>
      <c r="V525" s="30"/>
      <c r="W525" s="30"/>
      <c r="X525" s="30"/>
    </row>
    <row r="526" spans="1:25" x14ac:dyDescent="0.3">
      <c r="K526" s="33">
        <f>K524-K525</f>
        <v>0</v>
      </c>
      <c r="L526" s="33">
        <f t="shared" ref="L526:T526" si="46">L524-L525</f>
        <v>0</v>
      </c>
      <c r="M526" s="33">
        <f t="shared" si="46"/>
        <v>0</v>
      </c>
      <c r="N526" s="33">
        <f t="shared" si="46"/>
        <v>0</v>
      </c>
      <c r="O526" s="33">
        <f t="shared" si="46"/>
        <v>0</v>
      </c>
      <c r="P526" s="33">
        <f t="shared" si="46"/>
        <v>0</v>
      </c>
      <c r="Q526" s="33">
        <f t="shared" si="46"/>
        <v>0</v>
      </c>
      <c r="R526" s="33">
        <f t="shared" si="46"/>
        <v>0</v>
      </c>
      <c r="S526" s="33">
        <f t="shared" si="46"/>
        <v>0</v>
      </c>
      <c r="T526" s="33">
        <f t="shared" si="46"/>
        <v>0</v>
      </c>
      <c r="U526" s="33"/>
      <c r="V526" s="33"/>
      <c r="W526" s="33"/>
      <c r="X526" s="33"/>
    </row>
  </sheetData>
  <autoFilter ref="A1:Y522" xr:uid="{00000000-0009-0000-0000-000003000000}">
    <sortState xmlns:xlrd2="http://schemas.microsoft.com/office/spreadsheetml/2017/richdata2" ref="A2:Y522">
      <sortCondition ref="A1:A522"/>
    </sortState>
  </autoFilter>
  <phoneticPr fontId="6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N2968"/>
  <sheetViews>
    <sheetView topLeftCell="A772" workbookViewId="0">
      <selection activeCell="G792" sqref="G792"/>
    </sheetView>
  </sheetViews>
  <sheetFormatPr defaultColWidth="8.5546875" defaultRowHeight="12.75" customHeight="1" x14ac:dyDescent="0.3"/>
  <cols>
    <col min="1" max="1" width="14.109375" style="2" bestFit="1" customWidth="1"/>
    <col min="2" max="2" width="15.5546875" style="2" bestFit="1" customWidth="1"/>
    <col min="3" max="3" width="15.109375" style="2" bestFit="1" customWidth="1"/>
    <col min="4" max="4" width="39.88671875" style="2" bestFit="1" customWidth="1"/>
    <col min="5" max="5" width="13.5546875" style="2" bestFit="1" customWidth="1"/>
    <col min="6" max="6" width="12.44140625" style="2" bestFit="1" customWidth="1"/>
    <col min="7" max="7" width="49.44140625" style="2" bestFit="1" customWidth="1"/>
    <col min="8" max="8" width="13.44140625" style="2" bestFit="1" customWidth="1"/>
    <col min="9" max="9" width="13.88671875" style="2" bestFit="1" customWidth="1"/>
    <col min="10" max="10" width="13.44140625" style="2" bestFit="1" customWidth="1"/>
    <col min="11" max="11" width="15" style="2" bestFit="1" customWidth="1"/>
    <col min="12" max="12" width="14.44140625" style="2" bestFit="1" customWidth="1"/>
    <col min="13" max="13" width="15.109375" style="2" bestFit="1" customWidth="1"/>
    <col min="14" max="14" width="11.88671875" style="2" bestFit="1" customWidth="1"/>
    <col min="15" max="16384" width="8.5546875" style="2"/>
  </cols>
  <sheetData>
    <row r="1" spans="1:14" ht="14.4" thickBot="1" x14ac:dyDescent="0.35">
      <c r="A1" s="1" t="s">
        <v>7</v>
      </c>
      <c r="B1" s="1" t="s">
        <v>8</v>
      </c>
      <c r="C1" s="1" t="s">
        <v>9</v>
      </c>
      <c r="D1" s="1" t="s">
        <v>1</v>
      </c>
      <c r="E1" s="1" t="s">
        <v>10</v>
      </c>
      <c r="F1" s="1" t="s">
        <v>11</v>
      </c>
      <c r="G1" s="1" t="s">
        <v>3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</row>
    <row r="2" spans="1:14" ht="14.4" thickBot="1" x14ac:dyDescent="0.35">
      <c r="A2" s="3" t="s">
        <v>19</v>
      </c>
      <c r="B2" s="3" t="s">
        <v>460</v>
      </c>
      <c r="C2" s="3" t="s">
        <v>461</v>
      </c>
      <c r="D2" s="3" t="s">
        <v>462</v>
      </c>
      <c r="E2" s="3" t="s">
        <v>254</v>
      </c>
      <c r="F2" s="3" t="s">
        <v>463</v>
      </c>
      <c r="G2" s="3" t="s">
        <v>464</v>
      </c>
      <c r="H2" s="3" t="s">
        <v>190</v>
      </c>
      <c r="I2" s="3" t="s">
        <v>26</v>
      </c>
      <c r="J2" s="3" t="s">
        <v>27</v>
      </c>
      <c r="K2" s="3" t="s">
        <v>28</v>
      </c>
      <c r="L2" s="3" t="s">
        <v>28</v>
      </c>
      <c r="M2" s="3" t="s">
        <v>34</v>
      </c>
      <c r="N2" s="3" t="s">
        <v>28</v>
      </c>
    </row>
    <row r="3" spans="1:14" ht="14.4" thickBot="1" x14ac:dyDescent="0.35">
      <c r="A3" s="4" t="s">
        <v>19</v>
      </c>
      <c r="B3" s="4" t="s">
        <v>460</v>
      </c>
      <c r="C3" s="4" t="s">
        <v>461</v>
      </c>
      <c r="D3" s="4" t="s">
        <v>462</v>
      </c>
      <c r="E3" s="4" t="s">
        <v>254</v>
      </c>
      <c r="F3" s="4" t="s">
        <v>465</v>
      </c>
      <c r="G3" s="4" t="s">
        <v>466</v>
      </c>
      <c r="H3" s="4" t="s">
        <v>135</v>
      </c>
      <c r="I3" s="4" t="s">
        <v>94</v>
      </c>
      <c r="J3" s="4" t="s">
        <v>27</v>
      </c>
      <c r="K3" s="4" t="s">
        <v>28</v>
      </c>
      <c r="L3" s="4" t="s">
        <v>28</v>
      </c>
      <c r="M3" s="4" t="s">
        <v>34</v>
      </c>
      <c r="N3" s="4" t="s">
        <v>28</v>
      </c>
    </row>
    <row r="4" spans="1:14" ht="14.4" thickBot="1" x14ac:dyDescent="0.35">
      <c r="A4" s="4" t="s">
        <v>19</v>
      </c>
      <c r="B4" s="4" t="s">
        <v>460</v>
      </c>
      <c r="C4" s="4" t="s">
        <v>461</v>
      </c>
      <c r="D4" s="4" t="s">
        <v>462</v>
      </c>
      <c r="E4" s="4" t="s">
        <v>254</v>
      </c>
      <c r="F4" s="4" t="s">
        <v>467</v>
      </c>
      <c r="G4" s="4" t="s">
        <v>468</v>
      </c>
      <c r="H4" s="4" t="s">
        <v>135</v>
      </c>
      <c r="I4" s="4" t="s">
        <v>94</v>
      </c>
      <c r="J4" s="4" t="s">
        <v>27</v>
      </c>
      <c r="K4" s="4" t="s">
        <v>28</v>
      </c>
      <c r="L4" s="4" t="s">
        <v>28</v>
      </c>
      <c r="M4" s="4" t="s">
        <v>34</v>
      </c>
      <c r="N4" s="4" t="s">
        <v>28</v>
      </c>
    </row>
    <row r="5" spans="1:14" ht="14.4" thickBot="1" x14ac:dyDescent="0.35">
      <c r="A5" s="4" t="s">
        <v>19</v>
      </c>
      <c r="B5" s="4" t="s">
        <v>460</v>
      </c>
      <c r="C5" s="4" t="s">
        <v>461</v>
      </c>
      <c r="D5" s="4" t="s">
        <v>462</v>
      </c>
      <c r="E5" s="4" t="s">
        <v>254</v>
      </c>
      <c r="F5" s="4" t="s">
        <v>1509</v>
      </c>
      <c r="G5" s="4" t="s">
        <v>1510</v>
      </c>
      <c r="H5" s="4" t="s">
        <v>26</v>
      </c>
      <c r="I5" s="4" t="s">
        <v>26</v>
      </c>
      <c r="J5" s="4" t="s">
        <v>27</v>
      </c>
      <c r="K5" s="4" t="s">
        <v>28</v>
      </c>
      <c r="L5" s="4" t="s">
        <v>28</v>
      </c>
      <c r="M5" s="4" t="s">
        <v>130</v>
      </c>
      <c r="N5" s="4" t="s">
        <v>28</v>
      </c>
    </row>
    <row r="6" spans="1:14" ht="14.4" thickBot="1" x14ac:dyDescent="0.35">
      <c r="A6" s="4" t="s">
        <v>19</v>
      </c>
      <c r="B6" s="4" t="s">
        <v>460</v>
      </c>
      <c r="C6" s="4" t="s">
        <v>461</v>
      </c>
      <c r="D6" s="4" t="s">
        <v>462</v>
      </c>
      <c r="E6" s="4" t="s">
        <v>254</v>
      </c>
      <c r="F6" s="4" t="s">
        <v>1511</v>
      </c>
      <c r="G6" s="4" t="s">
        <v>1512</v>
      </c>
      <c r="H6" s="4" t="s">
        <v>26</v>
      </c>
      <c r="I6" s="4" t="s">
        <v>94</v>
      </c>
      <c r="J6" s="5"/>
      <c r="K6" s="5"/>
      <c r="L6" s="5"/>
      <c r="M6" s="4" t="s">
        <v>29</v>
      </c>
      <c r="N6" s="5"/>
    </row>
    <row r="7" spans="1:14" ht="14.4" thickBot="1" x14ac:dyDescent="0.35">
      <c r="A7" s="4" t="s">
        <v>19</v>
      </c>
      <c r="B7" s="4" t="s">
        <v>460</v>
      </c>
      <c r="C7" s="4" t="s">
        <v>461</v>
      </c>
      <c r="D7" s="4" t="s">
        <v>462</v>
      </c>
      <c r="E7" s="4" t="s">
        <v>254</v>
      </c>
      <c r="F7" s="4" t="s">
        <v>2885</v>
      </c>
      <c r="G7" s="4" t="s">
        <v>2886</v>
      </c>
      <c r="H7" s="4" t="s">
        <v>26</v>
      </c>
      <c r="I7" s="4" t="s">
        <v>32</v>
      </c>
      <c r="J7" s="4" t="s">
        <v>27</v>
      </c>
      <c r="K7" s="4" t="s">
        <v>28</v>
      </c>
      <c r="L7" s="4" t="s">
        <v>28</v>
      </c>
      <c r="M7" s="4" t="s">
        <v>34</v>
      </c>
      <c r="N7" s="4" t="s">
        <v>28</v>
      </c>
    </row>
    <row r="8" spans="1:14" ht="14.4" thickBot="1" x14ac:dyDescent="0.35">
      <c r="A8" s="4" t="s">
        <v>19</v>
      </c>
      <c r="B8" s="4" t="s">
        <v>460</v>
      </c>
      <c r="C8" s="4" t="s">
        <v>461</v>
      </c>
      <c r="D8" s="4" t="s">
        <v>462</v>
      </c>
      <c r="E8" s="4" t="s">
        <v>254</v>
      </c>
      <c r="F8" s="4" t="s">
        <v>2887</v>
      </c>
      <c r="G8" s="4" t="s">
        <v>2888</v>
      </c>
      <c r="H8" s="4" t="s">
        <v>122</v>
      </c>
      <c r="I8" s="4" t="s">
        <v>38</v>
      </c>
      <c r="J8" s="4" t="s">
        <v>28</v>
      </c>
      <c r="K8" s="4" t="s">
        <v>28</v>
      </c>
      <c r="L8" s="4" t="s">
        <v>27</v>
      </c>
      <c r="M8" s="4" t="s">
        <v>34</v>
      </c>
      <c r="N8" s="4" t="s">
        <v>28</v>
      </c>
    </row>
    <row r="9" spans="1:14" ht="14.4" thickBot="1" x14ac:dyDescent="0.35">
      <c r="A9" s="4" t="s">
        <v>19</v>
      </c>
      <c r="B9" s="4" t="s">
        <v>460</v>
      </c>
      <c r="C9" s="4" t="s">
        <v>461</v>
      </c>
      <c r="D9" s="4" t="s">
        <v>462</v>
      </c>
      <c r="E9" s="4" t="s">
        <v>254</v>
      </c>
      <c r="F9" s="4" t="s">
        <v>2889</v>
      </c>
      <c r="G9" s="4" t="s">
        <v>2890</v>
      </c>
      <c r="H9" s="4" t="s">
        <v>26</v>
      </c>
      <c r="I9" s="4" t="s">
        <v>94</v>
      </c>
      <c r="J9" s="4" t="s">
        <v>27</v>
      </c>
      <c r="K9" s="4" t="s">
        <v>28</v>
      </c>
      <c r="L9" s="4" t="s">
        <v>28</v>
      </c>
      <c r="M9" s="4" t="s">
        <v>34</v>
      </c>
      <c r="N9" s="4" t="s">
        <v>28</v>
      </c>
    </row>
    <row r="10" spans="1:14" ht="14.4" thickBot="1" x14ac:dyDescent="0.35">
      <c r="A10" s="4" t="s">
        <v>19</v>
      </c>
      <c r="B10" s="4" t="s">
        <v>460</v>
      </c>
      <c r="C10" s="4" t="s">
        <v>461</v>
      </c>
      <c r="D10" s="4" t="s">
        <v>462</v>
      </c>
      <c r="E10" s="4" t="s">
        <v>254</v>
      </c>
      <c r="F10" s="4" t="s">
        <v>3643</v>
      </c>
      <c r="G10" s="4" t="s">
        <v>3644</v>
      </c>
      <c r="H10" s="4" t="s">
        <v>135</v>
      </c>
      <c r="I10" s="4" t="s">
        <v>38</v>
      </c>
      <c r="J10" s="4" t="s">
        <v>28</v>
      </c>
      <c r="K10" s="4" t="s">
        <v>28</v>
      </c>
      <c r="L10" s="4" t="s">
        <v>27</v>
      </c>
      <c r="M10" s="4" t="s">
        <v>34</v>
      </c>
      <c r="N10" s="4" t="s">
        <v>28</v>
      </c>
    </row>
    <row r="11" spans="1:14" ht="14.4" thickBot="1" x14ac:dyDescent="0.35">
      <c r="A11" s="4" t="s">
        <v>19</v>
      </c>
      <c r="B11" s="4" t="s">
        <v>460</v>
      </c>
      <c r="C11" s="4" t="s">
        <v>461</v>
      </c>
      <c r="D11" s="4" t="s">
        <v>462</v>
      </c>
      <c r="E11" s="4" t="s">
        <v>254</v>
      </c>
      <c r="F11" s="4" t="s">
        <v>3645</v>
      </c>
      <c r="G11" s="4" t="s">
        <v>3646</v>
      </c>
      <c r="H11" s="4" t="s">
        <v>37</v>
      </c>
      <c r="I11" s="4" t="s">
        <v>38</v>
      </c>
      <c r="J11" s="4" t="s">
        <v>28</v>
      </c>
      <c r="K11" s="4" t="s">
        <v>28</v>
      </c>
      <c r="L11" s="4" t="s">
        <v>27</v>
      </c>
      <c r="M11" s="4" t="s">
        <v>34</v>
      </c>
      <c r="N11" s="4" t="s">
        <v>28</v>
      </c>
    </row>
    <row r="12" spans="1:14" ht="14.4" thickBot="1" x14ac:dyDescent="0.35">
      <c r="A12" s="4" t="s">
        <v>19</v>
      </c>
      <c r="B12" s="4" t="s">
        <v>460</v>
      </c>
      <c r="C12" s="4" t="s">
        <v>461</v>
      </c>
      <c r="D12" s="4" t="s">
        <v>462</v>
      </c>
      <c r="E12" s="4" t="s">
        <v>254</v>
      </c>
      <c r="F12" s="4" t="s">
        <v>3647</v>
      </c>
      <c r="G12" s="4" t="s">
        <v>3648</v>
      </c>
      <c r="H12" s="4" t="s">
        <v>37</v>
      </c>
      <c r="I12" s="4" t="s">
        <v>38</v>
      </c>
      <c r="J12" s="4" t="s">
        <v>28</v>
      </c>
      <c r="K12" s="4" t="s">
        <v>28</v>
      </c>
      <c r="L12" s="4" t="s">
        <v>27</v>
      </c>
      <c r="M12" s="4" t="s">
        <v>34</v>
      </c>
      <c r="N12" s="4" t="s">
        <v>28</v>
      </c>
    </row>
    <row r="13" spans="1:14" ht="14.4" thickBot="1" x14ac:dyDescent="0.35">
      <c r="A13" s="4" t="s">
        <v>19</v>
      </c>
      <c r="B13" s="4" t="s">
        <v>460</v>
      </c>
      <c r="C13" s="4" t="s">
        <v>461</v>
      </c>
      <c r="D13" s="4" t="s">
        <v>462</v>
      </c>
      <c r="E13" s="4" t="s">
        <v>254</v>
      </c>
      <c r="F13" s="4" t="s">
        <v>4417</v>
      </c>
      <c r="G13" s="4" t="s">
        <v>4418</v>
      </c>
      <c r="H13" s="4" t="s">
        <v>37</v>
      </c>
      <c r="I13" s="4" t="s">
        <v>38</v>
      </c>
      <c r="J13" s="4" t="s">
        <v>28</v>
      </c>
      <c r="K13" s="4" t="s">
        <v>28</v>
      </c>
      <c r="L13" s="4" t="s">
        <v>27</v>
      </c>
      <c r="M13" s="4" t="s">
        <v>34</v>
      </c>
      <c r="N13" s="4" t="s">
        <v>28</v>
      </c>
    </row>
    <row r="14" spans="1:14" ht="14.4" thickBot="1" x14ac:dyDescent="0.35">
      <c r="A14" s="4" t="s">
        <v>19</v>
      </c>
      <c r="B14" s="4" t="s">
        <v>460</v>
      </c>
      <c r="C14" s="4" t="s">
        <v>461</v>
      </c>
      <c r="D14" s="4" t="s">
        <v>462</v>
      </c>
      <c r="E14" s="4" t="s">
        <v>254</v>
      </c>
      <c r="F14" s="4" t="s">
        <v>4419</v>
      </c>
      <c r="G14" s="4" t="s">
        <v>4420</v>
      </c>
      <c r="H14" s="4" t="s">
        <v>135</v>
      </c>
      <c r="I14" s="4" t="s">
        <v>94</v>
      </c>
      <c r="J14" s="4" t="s">
        <v>27</v>
      </c>
      <c r="K14" s="4" t="s">
        <v>28</v>
      </c>
      <c r="L14" s="4" t="s">
        <v>28</v>
      </c>
      <c r="M14" s="4" t="s">
        <v>34</v>
      </c>
      <c r="N14" s="4" t="s">
        <v>28</v>
      </c>
    </row>
    <row r="15" spans="1:14" ht="14.4" thickBot="1" x14ac:dyDescent="0.35">
      <c r="A15" s="4" t="s">
        <v>19</v>
      </c>
      <c r="B15" s="4" t="s">
        <v>460</v>
      </c>
      <c r="C15" s="4" t="s">
        <v>461</v>
      </c>
      <c r="D15" s="4" t="s">
        <v>462</v>
      </c>
      <c r="E15" s="4" t="s">
        <v>254</v>
      </c>
      <c r="F15" s="4" t="s">
        <v>5100</v>
      </c>
      <c r="G15" s="4" t="s">
        <v>5101</v>
      </c>
      <c r="H15" s="4" t="s">
        <v>37</v>
      </c>
      <c r="I15" s="4" t="s">
        <v>38</v>
      </c>
      <c r="J15" s="4" t="s">
        <v>28</v>
      </c>
      <c r="K15" s="4" t="s">
        <v>28</v>
      </c>
      <c r="L15" s="4" t="s">
        <v>27</v>
      </c>
      <c r="M15" s="4" t="s">
        <v>34</v>
      </c>
      <c r="N15" s="4" t="s">
        <v>28</v>
      </c>
    </row>
    <row r="16" spans="1:14" ht="14.4" thickBot="1" x14ac:dyDescent="0.35">
      <c r="A16" s="4" t="s">
        <v>19</v>
      </c>
      <c r="B16" s="4" t="s">
        <v>460</v>
      </c>
      <c r="C16" s="4" t="s">
        <v>461</v>
      </c>
      <c r="D16" s="4" t="s">
        <v>462</v>
      </c>
      <c r="E16" s="4" t="s">
        <v>254</v>
      </c>
      <c r="F16" s="4" t="s">
        <v>5102</v>
      </c>
      <c r="G16" s="4" t="s">
        <v>5103</v>
      </c>
      <c r="H16" s="4" t="s">
        <v>454</v>
      </c>
      <c r="I16" s="4" t="s">
        <v>94</v>
      </c>
      <c r="J16" s="4" t="s">
        <v>28</v>
      </c>
      <c r="K16" s="4" t="s">
        <v>27</v>
      </c>
      <c r="L16" s="4" t="s">
        <v>28</v>
      </c>
      <c r="M16" s="4" t="s">
        <v>34</v>
      </c>
      <c r="N16" s="4" t="s">
        <v>28</v>
      </c>
    </row>
    <row r="17" spans="1:14" ht="14.4" thickBot="1" x14ac:dyDescent="0.35">
      <c r="A17" s="4" t="s">
        <v>19</v>
      </c>
      <c r="B17" s="4" t="s">
        <v>460</v>
      </c>
      <c r="C17" s="4" t="s">
        <v>461</v>
      </c>
      <c r="D17" s="4" t="s">
        <v>462</v>
      </c>
      <c r="E17" s="4" t="s">
        <v>254</v>
      </c>
      <c r="F17" s="4" t="s">
        <v>5104</v>
      </c>
      <c r="G17" s="4" t="s">
        <v>5105</v>
      </c>
      <c r="H17" s="4" t="s">
        <v>26</v>
      </c>
      <c r="I17" s="4" t="s">
        <v>94</v>
      </c>
      <c r="J17" s="4" t="s">
        <v>27</v>
      </c>
      <c r="K17" s="4" t="s">
        <v>28</v>
      </c>
      <c r="L17" s="4" t="s">
        <v>28</v>
      </c>
      <c r="M17" s="4" t="s">
        <v>34</v>
      </c>
      <c r="N17" s="4" t="s">
        <v>28</v>
      </c>
    </row>
    <row r="18" spans="1:14" ht="14.4" thickBot="1" x14ac:dyDescent="0.35">
      <c r="A18" s="4" t="s">
        <v>19</v>
      </c>
      <c r="B18" s="4" t="s">
        <v>460</v>
      </c>
      <c r="C18" s="4" t="s">
        <v>461</v>
      </c>
      <c r="D18" s="4" t="s">
        <v>462</v>
      </c>
      <c r="E18" s="4" t="s">
        <v>254</v>
      </c>
      <c r="F18" s="4" t="s">
        <v>5106</v>
      </c>
      <c r="G18" s="4" t="s">
        <v>5107</v>
      </c>
      <c r="H18" s="4" t="s">
        <v>135</v>
      </c>
      <c r="I18" s="4" t="s">
        <v>38</v>
      </c>
      <c r="J18" s="4" t="s">
        <v>28</v>
      </c>
      <c r="K18" s="4" t="s">
        <v>28</v>
      </c>
      <c r="L18" s="4" t="s">
        <v>27</v>
      </c>
      <c r="M18" s="4" t="s">
        <v>34</v>
      </c>
      <c r="N18" s="4" t="s">
        <v>28</v>
      </c>
    </row>
    <row r="19" spans="1:14" ht="14.4" thickBot="1" x14ac:dyDescent="0.35">
      <c r="A19" s="4" t="s">
        <v>19</v>
      </c>
      <c r="B19" s="4" t="s">
        <v>460</v>
      </c>
      <c r="C19" s="4" t="s">
        <v>461</v>
      </c>
      <c r="D19" s="4" t="s">
        <v>462</v>
      </c>
      <c r="E19" s="4" t="s">
        <v>254</v>
      </c>
      <c r="F19" s="4" t="s">
        <v>5108</v>
      </c>
      <c r="G19" s="4" t="s">
        <v>5109</v>
      </c>
      <c r="H19" s="4" t="s">
        <v>26</v>
      </c>
      <c r="I19" s="4" t="s">
        <v>69</v>
      </c>
      <c r="J19" s="4" t="s">
        <v>27</v>
      </c>
      <c r="K19" s="4" t="s">
        <v>28</v>
      </c>
      <c r="L19" s="4" t="s">
        <v>28</v>
      </c>
      <c r="M19" s="4" t="s">
        <v>34</v>
      </c>
      <c r="N19" s="4" t="s">
        <v>28</v>
      </c>
    </row>
    <row r="20" spans="1:14" ht="14.4" thickBot="1" x14ac:dyDescent="0.35">
      <c r="A20" s="4" t="s">
        <v>19</v>
      </c>
      <c r="B20" s="4" t="s">
        <v>460</v>
      </c>
      <c r="C20" s="4" t="s">
        <v>461</v>
      </c>
      <c r="D20" s="4" t="s">
        <v>462</v>
      </c>
      <c r="E20" s="4" t="s">
        <v>254</v>
      </c>
      <c r="F20" s="4" t="s">
        <v>5110</v>
      </c>
      <c r="G20" s="4" t="s">
        <v>5111</v>
      </c>
      <c r="H20" s="4" t="s">
        <v>26</v>
      </c>
      <c r="I20" s="4" t="s">
        <v>94</v>
      </c>
      <c r="J20" s="4" t="s">
        <v>27</v>
      </c>
      <c r="K20" s="4" t="s">
        <v>28</v>
      </c>
      <c r="L20" s="4" t="s">
        <v>28</v>
      </c>
      <c r="M20" s="4" t="s">
        <v>34</v>
      </c>
      <c r="N20" s="4" t="s">
        <v>28</v>
      </c>
    </row>
    <row r="21" spans="1:14" ht="14.4" thickBot="1" x14ac:dyDescent="0.35">
      <c r="A21" s="4" t="s">
        <v>19</v>
      </c>
      <c r="B21" s="4" t="s">
        <v>460</v>
      </c>
      <c r="C21" s="4" t="s">
        <v>461</v>
      </c>
      <c r="D21" s="4" t="s">
        <v>462</v>
      </c>
      <c r="E21" s="4" t="s">
        <v>254</v>
      </c>
      <c r="F21" s="4" t="s">
        <v>5112</v>
      </c>
      <c r="G21" s="4" t="s">
        <v>5113</v>
      </c>
      <c r="H21" s="4" t="s">
        <v>26</v>
      </c>
      <c r="I21" s="4" t="s">
        <v>94</v>
      </c>
      <c r="J21" s="4" t="s">
        <v>27</v>
      </c>
      <c r="K21" s="4" t="s">
        <v>28</v>
      </c>
      <c r="L21" s="4" t="s">
        <v>28</v>
      </c>
      <c r="M21" s="4" t="s">
        <v>34</v>
      </c>
      <c r="N21" s="4" t="s">
        <v>28</v>
      </c>
    </row>
    <row r="22" spans="1:14" ht="14.4" thickBot="1" x14ac:dyDescent="0.35">
      <c r="A22" s="4" t="s">
        <v>19</v>
      </c>
      <c r="B22" s="4" t="s">
        <v>460</v>
      </c>
      <c r="C22" s="4" t="s">
        <v>461</v>
      </c>
      <c r="D22" s="4" t="s">
        <v>462</v>
      </c>
      <c r="E22" s="4" t="s">
        <v>254</v>
      </c>
      <c r="F22" s="4" t="s">
        <v>5114</v>
      </c>
      <c r="G22" s="4" t="s">
        <v>5115</v>
      </c>
      <c r="H22" s="4" t="s">
        <v>26</v>
      </c>
      <c r="I22" s="4" t="s">
        <v>69</v>
      </c>
      <c r="J22" s="4" t="s">
        <v>27</v>
      </c>
      <c r="K22" s="4" t="s">
        <v>28</v>
      </c>
      <c r="L22" s="4" t="s">
        <v>28</v>
      </c>
      <c r="M22" s="4" t="s">
        <v>34</v>
      </c>
      <c r="N22" s="4" t="s">
        <v>28</v>
      </c>
    </row>
    <row r="23" spans="1:14" ht="14.4" thickBot="1" x14ac:dyDescent="0.35">
      <c r="A23" s="4" t="s">
        <v>19</v>
      </c>
      <c r="B23" s="4" t="s">
        <v>460</v>
      </c>
      <c r="C23" s="4" t="s">
        <v>461</v>
      </c>
      <c r="D23" s="4" t="s">
        <v>462</v>
      </c>
      <c r="E23" s="4" t="s">
        <v>254</v>
      </c>
      <c r="F23" s="4" t="s">
        <v>5188</v>
      </c>
      <c r="G23" s="4" t="s">
        <v>5189</v>
      </c>
      <c r="H23" s="4" t="s">
        <v>26</v>
      </c>
      <c r="I23" s="4" t="s">
        <v>26</v>
      </c>
      <c r="J23" s="4" t="s">
        <v>27</v>
      </c>
      <c r="K23" s="4" t="s">
        <v>28</v>
      </c>
      <c r="L23" s="4" t="s">
        <v>28</v>
      </c>
      <c r="M23" s="4" t="s">
        <v>29</v>
      </c>
      <c r="N23" s="4" t="s">
        <v>28</v>
      </c>
    </row>
    <row r="24" spans="1:14" ht="14.4" thickBot="1" x14ac:dyDescent="0.35">
      <c r="A24" s="4" t="s">
        <v>19</v>
      </c>
      <c r="B24" s="4" t="s">
        <v>460</v>
      </c>
      <c r="C24" s="4" t="s">
        <v>461</v>
      </c>
      <c r="D24" s="4" t="s">
        <v>462</v>
      </c>
      <c r="E24" s="4" t="s">
        <v>254</v>
      </c>
      <c r="F24" s="4" t="s">
        <v>5787</v>
      </c>
      <c r="G24" s="4" t="s">
        <v>5788</v>
      </c>
      <c r="H24" s="4" t="s">
        <v>37</v>
      </c>
      <c r="I24" s="4" t="s">
        <v>38</v>
      </c>
      <c r="J24" s="4" t="s">
        <v>28</v>
      </c>
      <c r="K24" s="4" t="s">
        <v>28</v>
      </c>
      <c r="L24" s="4" t="s">
        <v>27</v>
      </c>
      <c r="M24" s="4" t="s">
        <v>34</v>
      </c>
      <c r="N24" s="4" t="s">
        <v>28</v>
      </c>
    </row>
    <row r="25" spans="1:14" ht="14.4" thickBot="1" x14ac:dyDescent="0.35">
      <c r="A25" s="4" t="s">
        <v>19</v>
      </c>
      <c r="B25" s="4" t="s">
        <v>460</v>
      </c>
      <c r="C25" s="4" t="s">
        <v>469</v>
      </c>
      <c r="D25" s="4" t="s">
        <v>470</v>
      </c>
      <c r="E25" s="4" t="s">
        <v>254</v>
      </c>
      <c r="F25" s="4" t="s">
        <v>471</v>
      </c>
      <c r="G25" s="4" t="s">
        <v>472</v>
      </c>
      <c r="H25" s="4" t="s">
        <v>135</v>
      </c>
      <c r="I25" s="4" t="s">
        <v>33</v>
      </c>
      <c r="J25" s="4" t="s">
        <v>27</v>
      </c>
      <c r="K25" s="4" t="s">
        <v>28</v>
      </c>
      <c r="L25" s="4" t="s">
        <v>28</v>
      </c>
      <c r="M25" s="4" t="s">
        <v>34</v>
      </c>
      <c r="N25" s="4" t="s">
        <v>28</v>
      </c>
    </row>
    <row r="26" spans="1:14" ht="14.4" thickBot="1" x14ac:dyDescent="0.35">
      <c r="A26" s="4" t="s">
        <v>19</v>
      </c>
      <c r="B26" s="4" t="s">
        <v>460</v>
      </c>
      <c r="C26" s="4" t="s">
        <v>469</v>
      </c>
      <c r="D26" s="4" t="s">
        <v>470</v>
      </c>
      <c r="E26" s="4" t="s">
        <v>254</v>
      </c>
      <c r="F26" s="4" t="s">
        <v>575</v>
      </c>
      <c r="G26" s="4" t="s">
        <v>576</v>
      </c>
      <c r="H26" s="4" t="s">
        <v>26</v>
      </c>
      <c r="I26" s="4" t="s">
        <v>116</v>
      </c>
      <c r="J26" s="4" t="s">
        <v>27</v>
      </c>
      <c r="K26" s="4" t="s">
        <v>28</v>
      </c>
      <c r="L26" s="4" t="s">
        <v>28</v>
      </c>
      <c r="M26" s="4" t="s">
        <v>29</v>
      </c>
      <c r="N26" s="4" t="s">
        <v>28</v>
      </c>
    </row>
    <row r="27" spans="1:14" ht="14.4" thickBot="1" x14ac:dyDescent="0.35">
      <c r="A27" s="4" t="s">
        <v>19</v>
      </c>
      <c r="B27" s="4" t="s">
        <v>460</v>
      </c>
      <c r="C27" s="4" t="s">
        <v>469</v>
      </c>
      <c r="D27" s="4" t="s">
        <v>470</v>
      </c>
      <c r="E27" s="4" t="s">
        <v>254</v>
      </c>
      <c r="F27" s="4" t="s">
        <v>577</v>
      </c>
      <c r="G27" s="4" t="s">
        <v>578</v>
      </c>
      <c r="H27" s="4" t="s">
        <v>26</v>
      </c>
      <c r="I27" s="4" t="s">
        <v>26</v>
      </c>
      <c r="J27" s="5"/>
      <c r="K27" s="5"/>
      <c r="L27" s="5"/>
      <c r="M27" s="4" t="s">
        <v>29</v>
      </c>
      <c r="N27" s="5"/>
    </row>
    <row r="28" spans="1:14" ht="14.4" thickBot="1" x14ac:dyDescent="0.35">
      <c r="A28" s="4" t="s">
        <v>19</v>
      </c>
      <c r="B28" s="4" t="s">
        <v>460</v>
      </c>
      <c r="C28" s="4" t="s">
        <v>469</v>
      </c>
      <c r="D28" s="4" t="s">
        <v>470</v>
      </c>
      <c r="E28" s="4" t="s">
        <v>254</v>
      </c>
      <c r="F28" s="4" t="s">
        <v>1386</v>
      </c>
      <c r="G28" s="4" t="s">
        <v>1387</v>
      </c>
      <c r="H28" s="4" t="s">
        <v>135</v>
      </c>
      <c r="I28" s="4" t="s">
        <v>94</v>
      </c>
      <c r="J28" s="4" t="s">
        <v>27</v>
      </c>
      <c r="K28" s="4" t="s">
        <v>28</v>
      </c>
      <c r="L28" s="4" t="s">
        <v>28</v>
      </c>
      <c r="M28" s="4" t="s">
        <v>34</v>
      </c>
      <c r="N28" s="4" t="s">
        <v>28</v>
      </c>
    </row>
    <row r="29" spans="1:14" ht="14.4" thickBot="1" x14ac:dyDescent="0.35">
      <c r="A29" s="4" t="s">
        <v>19</v>
      </c>
      <c r="B29" s="4" t="s">
        <v>460</v>
      </c>
      <c r="C29" s="4" t="s">
        <v>469</v>
      </c>
      <c r="D29" s="4" t="s">
        <v>470</v>
      </c>
      <c r="E29" s="4" t="s">
        <v>254</v>
      </c>
      <c r="F29" s="4" t="s">
        <v>1388</v>
      </c>
      <c r="G29" s="4" t="s">
        <v>1389</v>
      </c>
      <c r="H29" s="4" t="s">
        <v>135</v>
      </c>
      <c r="I29" s="4" t="s">
        <v>33</v>
      </c>
      <c r="J29" s="4" t="s">
        <v>27</v>
      </c>
      <c r="K29" s="4" t="s">
        <v>28</v>
      </c>
      <c r="L29" s="4" t="s">
        <v>28</v>
      </c>
      <c r="M29" s="4" t="s">
        <v>34</v>
      </c>
      <c r="N29" s="4" t="s">
        <v>28</v>
      </c>
    </row>
    <row r="30" spans="1:14" ht="14.4" thickBot="1" x14ac:dyDescent="0.35">
      <c r="A30" s="4" t="s">
        <v>19</v>
      </c>
      <c r="B30" s="4" t="s">
        <v>460</v>
      </c>
      <c r="C30" s="4" t="s">
        <v>469</v>
      </c>
      <c r="D30" s="4" t="s">
        <v>470</v>
      </c>
      <c r="E30" s="4" t="s">
        <v>254</v>
      </c>
      <c r="F30" s="4" t="s">
        <v>1390</v>
      </c>
      <c r="G30" s="4" t="s">
        <v>1391</v>
      </c>
      <c r="H30" s="4" t="s">
        <v>37</v>
      </c>
      <c r="I30" s="4" t="s">
        <v>38</v>
      </c>
      <c r="J30" s="4" t="s">
        <v>28</v>
      </c>
      <c r="K30" s="4" t="s">
        <v>28</v>
      </c>
      <c r="L30" s="4" t="s">
        <v>27</v>
      </c>
      <c r="M30" s="4" t="s">
        <v>34</v>
      </c>
      <c r="N30" s="4" t="s">
        <v>28</v>
      </c>
    </row>
    <row r="31" spans="1:14" ht="14.4" thickBot="1" x14ac:dyDescent="0.35">
      <c r="A31" s="4" t="s">
        <v>19</v>
      </c>
      <c r="B31" s="4" t="s">
        <v>460</v>
      </c>
      <c r="C31" s="4" t="s">
        <v>469</v>
      </c>
      <c r="D31" s="4" t="s">
        <v>470</v>
      </c>
      <c r="E31" s="4" t="s">
        <v>254</v>
      </c>
      <c r="F31" s="4" t="s">
        <v>1392</v>
      </c>
      <c r="G31" s="4" t="s">
        <v>517</v>
      </c>
      <c r="H31" s="4" t="s">
        <v>135</v>
      </c>
      <c r="I31" s="4" t="s">
        <v>33</v>
      </c>
      <c r="J31" s="4" t="s">
        <v>27</v>
      </c>
      <c r="K31" s="4" t="s">
        <v>28</v>
      </c>
      <c r="L31" s="4" t="s">
        <v>28</v>
      </c>
      <c r="M31" s="4" t="s">
        <v>34</v>
      </c>
      <c r="N31" s="4" t="s">
        <v>28</v>
      </c>
    </row>
    <row r="32" spans="1:14" ht="14.4" thickBot="1" x14ac:dyDescent="0.35">
      <c r="A32" s="4" t="s">
        <v>19</v>
      </c>
      <c r="B32" s="4" t="s">
        <v>460</v>
      </c>
      <c r="C32" s="4" t="s">
        <v>469</v>
      </c>
      <c r="D32" s="4" t="s">
        <v>470</v>
      </c>
      <c r="E32" s="4" t="s">
        <v>254</v>
      </c>
      <c r="F32" s="4" t="s">
        <v>1393</v>
      </c>
      <c r="G32" s="4" t="s">
        <v>1394</v>
      </c>
      <c r="H32" s="4" t="s">
        <v>37</v>
      </c>
      <c r="I32" s="4" t="s">
        <v>38</v>
      </c>
      <c r="J32" s="4" t="s">
        <v>28</v>
      </c>
      <c r="K32" s="4" t="s">
        <v>28</v>
      </c>
      <c r="L32" s="4" t="s">
        <v>27</v>
      </c>
      <c r="M32" s="4" t="s">
        <v>34</v>
      </c>
      <c r="N32" s="4" t="s">
        <v>28</v>
      </c>
    </row>
    <row r="33" spans="1:14" ht="14.4" thickBot="1" x14ac:dyDescent="0.35">
      <c r="A33" s="4" t="s">
        <v>19</v>
      </c>
      <c r="B33" s="4" t="s">
        <v>460</v>
      </c>
      <c r="C33" s="4" t="s">
        <v>469</v>
      </c>
      <c r="D33" s="4" t="s">
        <v>470</v>
      </c>
      <c r="E33" s="4" t="s">
        <v>254</v>
      </c>
      <c r="F33" s="4" t="s">
        <v>1395</v>
      </c>
      <c r="G33" s="4" t="s">
        <v>1396</v>
      </c>
      <c r="H33" s="4" t="s">
        <v>135</v>
      </c>
      <c r="I33" s="4" t="s">
        <v>38</v>
      </c>
      <c r="J33" s="4" t="s">
        <v>28</v>
      </c>
      <c r="K33" s="4" t="s">
        <v>28</v>
      </c>
      <c r="L33" s="4" t="s">
        <v>27</v>
      </c>
      <c r="M33" s="4" t="s">
        <v>34</v>
      </c>
      <c r="N33" s="4" t="s">
        <v>27</v>
      </c>
    </row>
    <row r="34" spans="1:14" ht="14.4" thickBot="1" x14ac:dyDescent="0.35">
      <c r="A34" s="4" t="s">
        <v>19</v>
      </c>
      <c r="B34" s="4" t="s">
        <v>460</v>
      </c>
      <c r="C34" s="4" t="s">
        <v>469</v>
      </c>
      <c r="D34" s="4" t="s">
        <v>470</v>
      </c>
      <c r="E34" s="4" t="s">
        <v>254</v>
      </c>
      <c r="F34" s="4" t="s">
        <v>1513</v>
      </c>
      <c r="G34" s="4" t="s">
        <v>1514</v>
      </c>
      <c r="H34" s="4" t="s">
        <v>26</v>
      </c>
      <c r="I34" s="4" t="s">
        <v>26</v>
      </c>
      <c r="J34" s="4" t="s">
        <v>27</v>
      </c>
      <c r="K34" s="4" t="s">
        <v>28</v>
      </c>
      <c r="L34" s="4" t="s">
        <v>28</v>
      </c>
      <c r="M34" s="4" t="s">
        <v>29</v>
      </c>
      <c r="N34" s="4" t="s">
        <v>28</v>
      </c>
    </row>
    <row r="35" spans="1:14" ht="14.4" thickBot="1" x14ac:dyDescent="0.35">
      <c r="A35" s="4" t="s">
        <v>19</v>
      </c>
      <c r="B35" s="4" t="s">
        <v>460</v>
      </c>
      <c r="C35" s="4" t="s">
        <v>469</v>
      </c>
      <c r="D35" s="4" t="s">
        <v>470</v>
      </c>
      <c r="E35" s="4" t="s">
        <v>254</v>
      </c>
      <c r="F35" s="4" t="s">
        <v>1515</v>
      </c>
      <c r="G35" s="4" t="s">
        <v>1516</v>
      </c>
      <c r="H35" s="4" t="s">
        <v>26</v>
      </c>
      <c r="I35" s="4" t="s">
        <v>26</v>
      </c>
      <c r="J35" s="4" t="s">
        <v>27</v>
      </c>
      <c r="K35" s="4" t="s">
        <v>28</v>
      </c>
      <c r="L35" s="4" t="s">
        <v>28</v>
      </c>
      <c r="M35" s="4" t="s">
        <v>130</v>
      </c>
      <c r="N35" s="4" t="s">
        <v>28</v>
      </c>
    </row>
    <row r="36" spans="1:14" ht="14.4" thickBot="1" x14ac:dyDescent="0.35">
      <c r="A36" s="4" t="s">
        <v>19</v>
      </c>
      <c r="B36" s="4" t="s">
        <v>460</v>
      </c>
      <c r="C36" s="4" t="s">
        <v>469</v>
      </c>
      <c r="D36" s="4" t="s">
        <v>470</v>
      </c>
      <c r="E36" s="4" t="s">
        <v>254</v>
      </c>
      <c r="F36" s="4" t="s">
        <v>2166</v>
      </c>
      <c r="G36" s="4" t="s">
        <v>2167</v>
      </c>
      <c r="H36" s="4" t="s">
        <v>135</v>
      </c>
      <c r="I36" s="4" t="s">
        <v>33</v>
      </c>
      <c r="J36" s="4" t="s">
        <v>27</v>
      </c>
      <c r="K36" s="4" t="s">
        <v>28</v>
      </c>
      <c r="L36" s="4" t="s">
        <v>28</v>
      </c>
      <c r="M36" s="4" t="s">
        <v>34</v>
      </c>
      <c r="N36" s="4" t="s">
        <v>28</v>
      </c>
    </row>
    <row r="37" spans="1:14" ht="14.4" thickBot="1" x14ac:dyDescent="0.35">
      <c r="A37" s="4" t="s">
        <v>19</v>
      </c>
      <c r="B37" s="4" t="s">
        <v>460</v>
      </c>
      <c r="C37" s="4" t="s">
        <v>469</v>
      </c>
      <c r="D37" s="4" t="s">
        <v>470</v>
      </c>
      <c r="E37" s="4" t="s">
        <v>254</v>
      </c>
      <c r="F37" s="4" t="s">
        <v>2168</v>
      </c>
      <c r="G37" s="4" t="s">
        <v>1309</v>
      </c>
      <c r="H37" s="4" t="s">
        <v>26</v>
      </c>
      <c r="I37" s="4" t="s">
        <v>33</v>
      </c>
      <c r="J37" s="4" t="s">
        <v>27</v>
      </c>
      <c r="K37" s="4" t="s">
        <v>28</v>
      </c>
      <c r="L37" s="4" t="s">
        <v>28</v>
      </c>
      <c r="M37" s="4" t="s">
        <v>34</v>
      </c>
      <c r="N37" s="4" t="s">
        <v>28</v>
      </c>
    </row>
    <row r="38" spans="1:14" ht="14.4" thickBot="1" x14ac:dyDescent="0.35">
      <c r="A38" s="4" t="s">
        <v>19</v>
      </c>
      <c r="B38" s="4" t="s">
        <v>460</v>
      </c>
      <c r="C38" s="4" t="s">
        <v>469</v>
      </c>
      <c r="D38" s="4" t="s">
        <v>470</v>
      </c>
      <c r="E38" s="4" t="s">
        <v>254</v>
      </c>
      <c r="F38" s="4" t="s">
        <v>2169</v>
      </c>
      <c r="G38" s="4" t="s">
        <v>2170</v>
      </c>
      <c r="H38" s="4" t="s">
        <v>135</v>
      </c>
      <c r="I38" s="4" t="s">
        <v>33</v>
      </c>
      <c r="J38" s="4" t="s">
        <v>27</v>
      </c>
      <c r="K38" s="4" t="s">
        <v>28</v>
      </c>
      <c r="L38" s="4" t="s">
        <v>28</v>
      </c>
      <c r="M38" s="4" t="s">
        <v>34</v>
      </c>
      <c r="N38" s="4" t="s">
        <v>28</v>
      </c>
    </row>
    <row r="39" spans="1:14" ht="14.4" thickBot="1" x14ac:dyDescent="0.35">
      <c r="A39" s="4" t="s">
        <v>19</v>
      </c>
      <c r="B39" s="4" t="s">
        <v>460</v>
      </c>
      <c r="C39" s="4" t="s">
        <v>469</v>
      </c>
      <c r="D39" s="4" t="s">
        <v>470</v>
      </c>
      <c r="E39" s="4" t="s">
        <v>254</v>
      </c>
      <c r="F39" s="4" t="s">
        <v>2171</v>
      </c>
      <c r="G39" s="4" t="s">
        <v>2172</v>
      </c>
      <c r="H39" s="4" t="s">
        <v>26</v>
      </c>
      <c r="I39" s="4" t="s">
        <v>33</v>
      </c>
      <c r="J39" s="4" t="s">
        <v>27</v>
      </c>
      <c r="K39" s="4" t="s">
        <v>28</v>
      </c>
      <c r="L39" s="4" t="s">
        <v>28</v>
      </c>
      <c r="M39" s="4" t="s">
        <v>34</v>
      </c>
      <c r="N39" s="4" t="s">
        <v>28</v>
      </c>
    </row>
    <row r="40" spans="1:14" ht="14.4" thickBot="1" x14ac:dyDescent="0.35">
      <c r="A40" s="4" t="s">
        <v>19</v>
      </c>
      <c r="B40" s="4" t="s">
        <v>460</v>
      </c>
      <c r="C40" s="4" t="s">
        <v>469</v>
      </c>
      <c r="D40" s="4" t="s">
        <v>470</v>
      </c>
      <c r="E40" s="4" t="s">
        <v>254</v>
      </c>
      <c r="F40" s="4" t="s">
        <v>2173</v>
      </c>
      <c r="G40" s="4" t="s">
        <v>2174</v>
      </c>
      <c r="H40" s="4" t="s">
        <v>135</v>
      </c>
      <c r="I40" s="4" t="s">
        <v>33</v>
      </c>
      <c r="J40" s="4" t="s">
        <v>27</v>
      </c>
      <c r="K40" s="4" t="s">
        <v>28</v>
      </c>
      <c r="L40" s="4" t="s">
        <v>28</v>
      </c>
      <c r="M40" s="4" t="s">
        <v>34</v>
      </c>
      <c r="N40" s="4" t="s">
        <v>28</v>
      </c>
    </row>
    <row r="41" spans="1:14" ht="14.4" thickBot="1" x14ac:dyDescent="0.35">
      <c r="A41" s="4" t="s">
        <v>19</v>
      </c>
      <c r="B41" s="4" t="s">
        <v>460</v>
      </c>
      <c r="C41" s="4" t="s">
        <v>469</v>
      </c>
      <c r="D41" s="4" t="s">
        <v>470</v>
      </c>
      <c r="E41" s="4" t="s">
        <v>254</v>
      </c>
      <c r="F41" s="4" t="s">
        <v>2242</v>
      </c>
      <c r="G41" s="4" t="s">
        <v>2243</v>
      </c>
      <c r="H41" s="4" t="s">
        <v>26</v>
      </c>
      <c r="I41" s="4" t="s">
        <v>135</v>
      </c>
      <c r="J41" s="4" t="s">
        <v>27</v>
      </c>
      <c r="K41" s="4" t="s">
        <v>28</v>
      </c>
      <c r="L41" s="4" t="s">
        <v>28</v>
      </c>
      <c r="M41" s="4" t="s">
        <v>29</v>
      </c>
      <c r="N41" s="4" t="s">
        <v>28</v>
      </c>
    </row>
    <row r="42" spans="1:14" ht="14.4" thickBot="1" x14ac:dyDescent="0.35">
      <c r="A42" s="4" t="s">
        <v>19</v>
      </c>
      <c r="B42" s="4" t="s">
        <v>460</v>
      </c>
      <c r="C42" s="4" t="s">
        <v>469</v>
      </c>
      <c r="D42" s="4" t="s">
        <v>470</v>
      </c>
      <c r="E42" s="4" t="s">
        <v>254</v>
      </c>
      <c r="F42" s="4" t="s">
        <v>2244</v>
      </c>
      <c r="G42" s="4" t="s">
        <v>2245</v>
      </c>
      <c r="H42" s="4" t="s">
        <v>26</v>
      </c>
      <c r="I42" s="4" t="s">
        <v>26</v>
      </c>
      <c r="J42" s="4" t="s">
        <v>27</v>
      </c>
      <c r="K42" s="4" t="s">
        <v>28</v>
      </c>
      <c r="L42" s="4" t="s">
        <v>28</v>
      </c>
      <c r="M42" s="4" t="s">
        <v>130</v>
      </c>
      <c r="N42" s="4" t="s">
        <v>28</v>
      </c>
    </row>
    <row r="43" spans="1:14" ht="14.4" thickBot="1" x14ac:dyDescent="0.35">
      <c r="A43" s="4" t="s">
        <v>19</v>
      </c>
      <c r="B43" s="4" t="s">
        <v>460</v>
      </c>
      <c r="C43" s="4" t="s">
        <v>469</v>
      </c>
      <c r="D43" s="4" t="s">
        <v>470</v>
      </c>
      <c r="E43" s="4" t="s">
        <v>254</v>
      </c>
      <c r="F43" s="4" t="s">
        <v>2246</v>
      </c>
      <c r="G43" s="4" t="s">
        <v>2247</v>
      </c>
      <c r="H43" s="4" t="s">
        <v>26</v>
      </c>
      <c r="I43" s="4" t="s">
        <v>26</v>
      </c>
      <c r="J43" s="4" t="s">
        <v>27</v>
      </c>
      <c r="K43" s="4" t="s">
        <v>28</v>
      </c>
      <c r="L43" s="4" t="s">
        <v>28</v>
      </c>
      <c r="M43" s="4" t="s">
        <v>130</v>
      </c>
      <c r="N43" s="4" t="s">
        <v>28</v>
      </c>
    </row>
    <row r="44" spans="1:14" ht="14.4" thickBot="1" x14ac:dyDescent="0.35">
      <c r="A44" s="4" t="s">
        <v>19</v>
      </c>
      <c r="B44" s="4" t="s">
        <v>460</v>
      </c>
      <c r="C44" s="4" t="s">
        <v>469</v>
      </c>
      <c r="D44" s="4" t="s">
        <v>470</v>
      </c>
      <c r="E44" s="4" t="s">
        <v>254</v>
      </c>
      <c r="F44" s="4" t="s">
        <v>2891</v>
      </c>
      <c r="G44" s="4" t="s">
        <v>2892</v>
      </c>
      <c r="H44" s="4" t="s">
        <v>135</v>
      </c>
      <c r="I44" s="4" t="s">
        <v>38</v>
      </c>
      <c r="J44" s="4" t="s">
        <v>28</v>
      </c>
      <c r="K44" s="4" t="s">
        <v>28</v>
      </c>
      <c r="L44" s="4" t="s">
        <v>27</v>
      </c>
      <c r="M44" s="4" t="s">
        <v>34</v>
      </c>
      <c r="N44" s="4" t="s">
        <v>27</v>
      </c>
    </row>
    <row r="45" spans="1:14" ht="14.4" thickBot="1" x14ac:dyDescent="0.35">
      <c r="A45" s="4" t="s">
        <v>19</v>
      </c>
      <c r="B45" s="4" t="s">
        <v>460</v>
      </c>
      <c r="C45" s="4" t="s">
        <v>469</v>
      </c>
      <c r="D45" s="4" t="s">
        <v>470</v>
      </c>
      <c r="E45" s="4" t="s">
        <v>254</v>
      </c>
      <c r="F45" s="4" t="s">
        <v>743</v>
      </c>
      <c r="G45" s="4" t="s">
        <v>2893</v>
      </c>
      <c r="H45" s="4" t="s">
        <v>26</v>
      </c>
      <c r="I45" s="4" t="s">
        <v>26</v>
      </c>
      <c r="J45" s="4" t="s">
        <v>27</v>
      </c>
      <c r="K45" s="4" t="s">
        <v>28</v>
      </c>
      <c r="L45" s="4" t="s">
        <v>28</v>
      </c>
      <c r="M45" s="4" t="s">
        <v>34</v>
      </c>
      <c r="N45" s="4" t="s">
        <v>28</v>
      </c>
    </row>
    <row r="46" spans="1:14" ht="14.4" thickBot="1" x14ac:dyDescent="0.35">
      <c r="A46" s="4" t="s">
        <v>19</v>
      </c>
      <c r="B46" s="4" t="s">
        <v>460</v>
      </c>
      <c r="C46" s="4" t="s">
        <v>469</v>
      </c>
      <c r="D46" s="4" t="s">
        <v>470</v>
      </c>
      <c r="E46" s="4" t="s">
        <v>254</v>
      </c>
      <c r="F46" s="4" t="s">
        <v>2894</v>
      </c>
      <c r="G46" s="4" t="s">
        <v>2895</v>
      </c>
      <c r="H46" s="4" t="s">
        <v>135</v>
      </c>
      <c r="I46" s="4" t="s">
        <v>33</v>
      </c>
      <c r="J46" s="4" t="s">
        <v>27</v>
      </c>
      <c r="K46" s="4" t="s">
        <v>28</v>
      </c>
      <c r="L46" s="4" t="s">
        <v>28</v>
      </c>
      <c r="M46" s="4" t="s">
        <v>34</v>
      </c>
      <c r="N46" s="4" t="s">
        <v>28</v>
      </c>
    </row>
    <row r="47" spans="1:14" ht="14.4" thickBot="1" x14ac:dyDescent="0.35">
      <c r="A47" s="4" t="s">
        <v>19</v>
      </c>
      <c r="B47" s="4" t="s">
        <v>460</v>
      </c>
      <c r="C47" s="4" t="s">
        <v>469</v>
      </c>
      <c r="D47" s="4" t="s">
        <v>470</v>
      </c>
      <c r="E47" s="4" t="s">
        <v>254</v>
      </c>
      <c r="F47" s="4" t="s">
        <v>2896</v>
      </c>
      <c r="G47" s="4" t="s">
        <v>2897</v>
      </c>
      <c r="H47" s="4" t="s">
        <v>69</v>
      </c>
      <c r="I47" s="4" t="s">
        <v>94</v>
      </c>
      <c r="J47" s="4" t="s">
        <v>28</v>
      </c>
      <c r="K47" s="4" t="s">
        <v>27</v>
      </c>
      <c r="L47" s="4" t="s">
        <v>28</v>
      </c>
      <c r="M47" s="4" t="s">
        <v>34</v>
      </c>
      <c r="N47" s="4" t="s">
        <v>28</v>
      </c>
    </row>
    <row r="48" spans="1:14" ht="14.4" thickBot="1" x14ac:dyDescent="0.35">
      <c r="A48" s="4" t="s">
        <v>19</v>
      </c>
      <c r="B48" s="4" t="s">
        <v>460</v>
      </c>
      <c r="C48" s="4" t="s">
        <v>469</v>
      </c>
      <c r="D48" s="4" t="s">
        <v>470</v>
      </c>
      <c r="E48" s="4" t="s">
        <v>254</v>
      </c>
      <c r="F48" s="4" t="s">
        <v>2898</v>
      </c>
      <c r="G48" s="4" t="s">
        <v>2899</v>
      </c>
      <c r="H48" s="4" t="s">
        <v>37</v>
      </c>
      <c r="I48" s="4" t="s">
        <v>38</v>
      </c>
      <c r="J48" s="4" t="s">
        <v>28</v>
      </c>
      <c r="K48" s="4" t="s">
        <v>28</v>
      </c>
      <c r="L48" s="4" t="s">
        <v>27</v>
      </c>
      <c r="M48" s="4" t="s">
        <v>34</v>
      </c>
      <c r="N48" s="4" t="s">
        <v>28</v>
      </c>
    </row>
    <row r="49" spans="1:14" ht="14.4" thickBot="1" x14ac:dyDescent="0.35">
      <c r="A49" s="4" t="s">
        <v>19</v>
      </c>
      <c r="B49" s="4" t="s">
        <v>460</v>
      </c>
      <c r="C49" s="4" t="s">
        <v>469</v>
      </c>
      <c r="D49" s="4" t="s">
        <v>470</v>
      </c>
      <c r="E49" s="4" t="s">
        <v>254</v>
      </c>
      <c r="F49" s="4" t="s">
        <v>2900</v>
      </c>
      <c r="G49" s="4" t="s">
        <v>2901</v>
      </c>
      <c r="H49" s="4" t="s">
        <v>69</v>
      </c>
      <c r="I49" s="4" t="s">
        <v>94</v>
      </c>
      <c r="J49" s="4" t="s">
        <v>28</v>
      </c>
      <c r="K49" s="4" t="s">
        <v>27</v>
      </c>
      <c r="L49" s="4" t="s">
        <v>28</v>
      </c>
      <c r="M49" s="4" t="s">
        <v>34</v>
      </c>
      <c r="N49" s="4" t="s">
        <v>28</v>
      </c>
    </row>
    <row r="50" spans="1:14" ht="14.4" thickBot="1" x14ac:dyDescent="0.35">
      <c r="A50" s="4" t="s">
        <v>19</v>
      </c>
      <c r="B50" s="4" t="s">
        <v>460</v>
      </c>
      <c r="C50" s="4" t="s">
        <v>469</v>
      </c>
      <c r="D50" s="4" t="s">
        <v>470</v>
      </c>
      <c r="E50" s="4" t="s">
        <v>254</v>
      </c>
      <c r="F50" s="4" t="s">
        <v>2902</v>
      </c>
      <c r="G50" s="4" t="s">
        <v>2903</v>
      </c>
      <c r="H50" s="4" t="s">
        <v>26</v>
      </c>
      <c r="I50" s="4" t="s">
        <v>33</v>
      </c>
      <c r="J50" s="4" t="s">
        <v>27</v>
      </c>
      <c r="K50" s="4" t="s">
        <v>28</v>
      </c>
      <c r="L50" s="4" t="s">
        <v>28</v>
      </c>
      <c r="M50" s="4" t="s">
        <v>34</v>
      </c>
      <c r="N50" s="4" t="s">
        <v>28</v>
      </c>
    </row>
    <row r="51" spans="1:14" ht="14.4" thickBot="1" x14ac:dyDescent="0.35">
      <c r="A51" s="4" t="s">
        <v>19</v>
      </c>
      <c r="B51" s="4" t="s">
        <v>460</v>
      </c>
      <c r="C51" s="4" t="s">
        <v>469</v>
      </c>
      <c r="D51" s="4" t="s">
        <v>470</v>
      </c>
      <c r="E51" s="4" t="s">
        <v>254</v>
      </c>
      <c r="F51" s="4" t="s">
        <v>2904</v>
      </c>
      <c r="G51" s="4" t="s">
        <v>2905</v>
      </c>
      <c r="H51" s="4" t="s">
        <v>135</v>
      </c>
      <c r="I51" s="4" t="s">
        <v>33</v>
      </c>
      <c r="J51" s="4" t="s">
        <v>27</v>
      </c>
      <c r="K51" s="4" t="s">
        <v>28</v>
      </c>
      <c r="L51" s="4" t="s">
        <v>28</v>
      </c>
      <c r="M51" s="4" t="s">
        <v>34</v>
      </c>
      <c r="N51" s="4" t="s">
        <v>28</v>
      </c>
    </row>
    <row r="52" spans="1:14" ht="14.4" thickBot="1" x14ac:dyDescent="0.35">
      <c r="A52" s="4" t="s">
        <v>19</v>
      </c>
      <c r="B52" s="4" t="s">
        <v>460</v>
      </c>
      <c r="C52" s="4" t="s">
        <v>469</v>
      </c>
      <c r="D52" s="4" t="s">
        <v>470</v>
      </c>
      <c r="E52" s="4" t="s">
        <v>254</v>
      </c>
      <c r="F52" s="4" t="s">
        <v>2906</v>
      </c>
      <c r="G52" s="4" t="s">
        <v>2907</v>
      </c>
      <c r="H52" s="4" t="s">
        <v>26</v>
      </c>
      <c r="I52" s="4" t="s">
        <v>33</v>
      </c>
      <c r="J52" s="4" t="s">
        <v>27</v>
      </c>
      <c r="K52" s="4" t="s">
        <v>28</v>
      </c>
      <c r="L52" s="4" t="s">
        <v>28</v>
      </c>
      <c r="M52" s="4" t="s">
        <v>34</v>
      </c>
      <c r="N52" s="4" t="s">
        <v>28</v>
      </c>
    </row>
    <row r="53" spans="1:14" ht="14.4" thickBot="1" x14ac:dyDescent="0.35">
      <c r="A53" s="4" t="s">
        <v>19</v>
      </c>
      <c r="B53" s="4" t="s">
        <v>460</v>
      </c>
      <c r="C53" s="4" t="s">
        <v>469</v>
      </c>
      <c r="D53" s="4" t="s">
        <v>470</v>
      </c>
      <c r="E53" s="4" t="s">
        <v>254</v>
      </c>
      <c r="F53" s="4" t="s">
        <v>2908</v>
      </c>
      <c r="G53" s="4" t="s">
        <v>2909</v>
      </c>
      <c r="H53" s="4" t="s">
        <v>135</v>
      </c>
      <c r="I53" s="4" t="s">
        <v>94</v>
      </c>
      <c r="J53" s="4" t="s">
        <v>27</v>
      </c>
      <c r="K53" s="4" t="s">
        <v>28</v>
      </c>
      <c r="L53" s="4" t="s">
        <v>28</v>
      </c>
      <c r="M53" s="4" t="s">
        <v>34</v>
      </c>
      <c r="N53" s="4" t="s">
        <v>28</v>
      </c>
    </row>
    <row r="54" spans="1:14" ht="14.4" thickBot="1" x14ac:dyDescent="0.35">
      <c r="A54" s="4" t="s">
        <v>19</v>
      </c>
      <c r="B54" s="4" t="s">
        <v>460</v>
      </c>
      <c r="C54" s="4" t="s">
        <v>469</v>
      </c>
      <c r="D54" s="4" t="s">
        <v>470</v>
      </c>
      <c r="E54" s="4" t="s">
        <v>254</v>
      </c>
      <c r="F54" s="4" t="s">
        <v>2910</v>
      </c>
      <c r="G54" s="4" t="s">
        <v>2911</v>
      </c>
      <c r="H54" s="4" t="s">
        <v>135</v>
      </c>
      <c r="I54" s="4" t="s">
        <v>33</v>
      </c>
      <c r="J54" s="4" t="s">
        <v>27</v>
      </c>
      <c r="K54" s="4" t="s">
        <v>28</v>
      </c>
      <c r="L54" s="4" t="s">
        <v>28</v>
      </c>
      <c r="M54" s="4" t="s">
        <v>34</v>
      </c>
      <c r="N54" s="4" t="s">
        <v>28</v>
      </c>
    </row>
    <row r="55" spans="1:14" ht="14.4" thickBot="1" x14ac:dyDescent="0.35">
      <c r="A55" s="4" t="s">
        <v>19</v>
      </c>
      <c r="B55" s="4" t="s">
        <v>460</v>
      </c>
      <c r="C55" s="4" t="s">
        <v>469</v>
      </c>
      <c r="D55" s="4" t="s">
        <v>470</v>
      </c>
      <c r="E55" s="4" t="s">
        <v>254</v>
      </c>
      <c r="F55" s="4" t="s">
        <v>2912</v>
      </c>
      <c r="G55" s="4" t="s">
        <v>2913</v>
      </c>
      <c r="H55" s="4" t="s">
        <v>26</v>
      </c>
      <c r="I55" s="4" t="s">
        <v>33</v>
      </c>
      <c r="J55" s="4" t="s">
        <v>27</v>
      </c>
      <c r="K55" s="4" t="s">
        <v>28</v>
      </c>
      <c r="L55" s="4" t="s">
        <v>28</v>
      </c>
      <c r="M55" s="4" t="s">
        <v>34</v>
      </c>
      <c r="N55" s="4" t="s">
        <v>28</v>
      </c>
    </row>
    <row r="56" spans="1:14" ht="14.4" thickBot="1" x14ac:dyDescent="0.35">
      <c r="A56" s="4" t="s">
        <v>19</v>
      </c>
      <c r="B56" s="4" t="s">
        <v>460</v>
      </c>
      <c r="C56" s="4" t="s">
        <v>469</v>
      </c>
      <c r="D56" s="4" t="s">
        <v>470</v>
      </c>
      <c r="E56" s="4" t="s">
        <v>254</v>
      </c>
      <c r="F56" s="4" t="s">
        <v>2914</v>
      </c>
      <c r="G56" s="4" t="s">
        <v>2018</v>
      </c>
      <c r="H56" s="4" t="s">
        <v>135</v>
      </c>
      <c r="I56" s="4" t="s">
        <v>33</v>
      </c>
      <c r="J56" s="4" t="s">
        <v>27</v>
      </c>
      <c r="K56" s="4" t="s">
        <v>28</v>
      </c>
      <c r="L56" s="4" t="s">
        <v>28</v>
      </c>
      <c r="M56" s="4" t="s">
        <v>34</v>
      </c>
      <c r="N56" s="4" t="s">
        <v>28</v>
      </c>
    </row>
    <row r="57" spans="1:14" ht="14.4" thickBot="1" x14ac:dyDescent="0.35">
      <c r="A57" s="4" t="s">
        <v>19</v>
      </c>
      <c r="B57" s="4" t="s">
        <v>460</v>
      </c>
      <c r="C57" s="4" t="s">
        <v>469</v>
      </c>
      <c r="D57" s="4" t="s">
        <v>470</v>
      </c>
      <c r="E57" s="4" t="s">
        <v>254</v>
      </c>
      <c r="F57" s="4" t="s">
        <v>2987</v>
      </c>
      <c r="G57" s="4" t="s">
        <v>2988</v>
      </c>
      <c r="H57" s="4" t="s">
        <v>26</v>
      </c>
      <c r="I57" s="4" t="s">
        <v>94</v>
      </c>
      <c r="J57" s="4" t="s">
        <v>27</v>
      </c>
      <c r="K57" s="4" t="s">
        <v>28</v>
      </c>
      <c r="L57" s="4" t="s">
        <v>28</v>
      </c>
      <c r="M57" s="4" t="s">
        <v>29</v>
      </c>
      <c r="N57" s="4" t="s">
        <v>28</v>
      </c>
    </row>
    <row r="58" spans="1:14" ht="14.4" thickBot="1" x14ac:dyDescent="0.35">
      <c r="A58" s="4" t="s">
        <v>19</v>
      </c>
      <c r="B58" s="4" t="s">
        <v>460</v>
      </c>
      <c r="C58" s="4" t="s">
        <v>469</v>
      </c>
      <c r="D58" s="4" t="s">
        <v>470</v>
      </c>
      <c r="E58" s="4" t="s">
        <v>254</v>
      </c>
      <c r="F58" s="4" t="s">
        <v>2989</v>
      </c>
      <c r="G58" s="4" t="s">
        <v>2990</v>
      </c>
      <c r="H58" s="4" t="s">
        <v>26</v>
      </c>
      <c r="I58" s="4" t="s">
        <v>135</v>
      </c>
      <c r="J58" s="5"/>
      <c r="K58" s="5"/>
      <c r="L58" s="5"/>
      <c r="M58" s="4" t="s">
        <v>29</v>
      </c>
      <c r="N58" s="5"/>
    </row>
    <row r="59" spans="1:14" ht="14.4" thickBot="1" x14ac:dyDescent="0.35">
      <c r="A59" s="4" t="s">
        <v>19</v>
      </c>
      <c r="B59" s="4" t="s">
        <v>460</v>
      </c>
      <c r="C59" s="4" t="s">
        <v>469</v>
      </c>
      <c r="D59" s="4" t="s">
        <v>470</v>
      </c>
      <c r="E59" s="4" t="s">
        <v>254</v>
      </c>
      <c r="F59" s="4" t="s">
        <v>2991</v>
      </c>
      <c r="G59" s="4" t="s">
        <v>2992</v>
      </c>
      <c r="H59" s="4" t="s">
        <v>26</v>
      </c>
      <c r="I59" s="4" t="s">
        <v>94</v>
      </c>
      <c r="J59" s="5"/>
      <c r="K59" s="5"/>
      <c r="L59" s="5"/>
      <c r="M59" s="4" t="s">
        <v>29</v>
      </c>
      <c r="N59" s="5"/>
    </row>
    <row r="60" spans="1:14" ht="14.4" thickBot="1" x14ac:dyDescent="0.35">
      <c r="A60" s="4" t="s">
        <v>19</v>
      </c>
      <c r="B60" s="4" t="s">
        <v>460</v>
      </c>
      <c r="C60" s="4" t="s">
        <v>469</v>
      </c>
      <c r="D60" s="4" t="s">
        <v>470</v>
      </c>
      <c r="E60" s="4" t="s">
        <v>254</v>
      </c>
      <c r="F60" s="4" t="s">
        <v>2993</v>
      </c>
      <c r="G60" s="4" t="s">
        <v>2994</v>
      </c>
      <c r="H60" s="4" t="s">
        <v>26</v>
      </c>
      <c r="I60" s="4" t="s">
        <v>38</v>
      </c>
      <c r="J60" s="4" t="s">
        <v>28</v>
      </c>
      <c r="K60" s="4" t="s">
        <v>28</v>
      </c>
      <c r="L60" s="4" t="s">
        <v>27</v>
      </c>
      <c r="M60" s="4" t="s">
        <v>29</v>
      </c>
      <c r="N60" s="4" t="s">
        <v>28</v>
      </c>
    </row>
    <row r="61" spans="1:14" ht="14.4" thickBot="1" x14ac:dyDescent="0.35">
      <c r="A61" s="4" t="s">
        <v>19</v>
      </c>
      <c r="B61" s="4" t="s">
        <v>460</v>
      </c>
      <c r="C61" s="4" t="s">
        <v>469</v>
      </c>
      <c r="D61" s="4" t="s">
        <v>470</v>
      </c>
      <c r="E61" s="4" t="s">
        <v>254</v>
      </c>
      <c r="F61" s="4" t="s">
        <v>3649</v>
      </c>
      <c r="G61" s="4" t="s">
        <v>3650</v>
      </c>
      <c r="H61" s="4" t="s">
        <v>26</v>
      </c>
      <c r="I61" s="4" t="s">
        <v>94</v>
      </c>
      <c r="J61" s="4" t="s">
        <v>27</v>
      </c>
      <c r="K61" s="4" t="s">
        <v>28</v>
      </c>
      <c r="L61" s="4" t="s">
        <v>28</v>
      </c>
      <c r="M61" s="4" t="s">
        <v>34</v>
      </c>
      <c r="N61" s="4" t="s">
        <v>28</v>
      </c>
    </row>
    <row r="62" spans="1:14" ht="14.4" thickBot="1" x14ac:dyDescent="0.35">
      <c r="A62" s="4" t="s">
        <v>19</v>
      </c>
      <c r="B62" s="4" t="s">
        <v>460</v>
      </c>
      <c r="C62" s="4" t="s">
        <v>469</v>
      </c>
      <c r="D62" s="4" t="s">
        <v>470</v>
      </c>
      <c r="E62" s="4" t="s">
        <v>254</v>
      </c>
      <c r="F62" s="4" t="s">
        <v>3651</v>
      </c>
      <c r="G62" s="4" t="s">
        <v>3652</v>
      </c>
      <c r="H62" s="4" t="s">
        <v>37</v>
      </c>
      <c r="I62" s="4" t="s">
        <v>38</v>
      </c>
      <c r="J62" s="4" t="s">
        <v>28</v>
      </c>
      <c r="K62" s="4" t="s">
        <v>28</v>
      </c>
      <c r="L62" s="4" t="s">
        <v>27</v>
      </c>
      <c r="M62" s="4" t="s">
        <v>34</v>
      </c>
      <c r="N62" s="4" t="s">
        <v>27</v>
      </c>
    </row>
    <row r="63" spans="1:14" ht="14.4" thickBot="1" x14ac:dyDescent="0.35">
      <c r="A63" s="4" t="s">
        <v>19</v>
      </c>
      <c r="B63" s="4" t="s">
        <v>460</v>
      </c>
      <c r="C63" s="4" t="s">
        <v>469</v>
      </c>
      <c r="D63" s="4" t="s">
        <v>470</v>
      </c>
      <c r="E63" s="4" t="s">
        <v>254</v>
      </c>
      <c r="F63" s="4" t="s">
        <v>3653</v>
      </c>
      <c r="G63" s="4" t="s">
        <v>3654</v>
      </c>
      <c r="H63" s="4" t="s">
        <v>26</v>
      </c>
      <c r="I63" s="4" t="s">
        <v>33</v>
      </c>
      <c r="J63" s="4" t="s">
        <v>27</v>
      </c>
      <c r="K63" s="4" t="s">
        <v>28</v>
      </c>
      <c r="L63" s="4" t="s">
        <v>28</v>
      </c>
      <c r="M63" s="4" t="s">
        <v>34</v>
      </c>
      <c r="N63" s="4" t="s">
        <v>28</v>
      </c>
    </row>
    <row r="64" spans="1:14" ht="14.4" thickBot="1" x14ac:dyDescent="0.35">
      <c r="A64" s="4" t="s">
        <v>19</v>
      </c>
      <c r="B64" s="4" t="s">
        <v>460</v>
      </c>
      <c r="C64" s="4" t="s">
        <v>469</v>
      </c>
      <c r="D64" s="4" t="s">
        <v>470</v>
      </c>
      <c r="E64" s="4" t="s">
        <v>254</v>
      </c>
      <c r="F64" s="4" t="s">
        <v>3655</v>
      </c>
      <c r="G64" s="4" t="s">
        <v>3656</v>
      </c>
      <c r="H64" s="4" t="s">
        <v>37</v>
      </c>
      <c r="I64" s="4" t="s">
        <v>38</v>
      </c>
      <c r="J64" s="4" t="s">
        <v>28</v>
      </c>
      <c r="K64" s="4" t="s">
        <v>28</v>
      </c>
      <c r="L64" s="4" t="s">
        <v>27</v>
      </c>
      <c r="M64" s="4" t="s">
        <v>34</v>
      </c>
      <c r="N64" s="4" t="s">
        <v>28</v>
      </c>
    </row>
    <row r="65" spans="1:14" ht="14.4" thickBot="1" x14ac:dyDescent="0.35">
      <c r="A65" s="4" t="s">
        <v>19</v>
      </c>
      <c r="B65" s="4" t="s">
        <v>460</v>
      </c>
      <c r="C65" s="4" t="s">
        <v>469</v>
      </c>
      <c r="D65" s="4" t="s">
        <v>470</v>
      </c>
      <c r="E65" s="4" t="s">
        <v>254</v>
      </c>
      <c r="F65" s="4" t="s">
        <v>2578</v>
      </c>
      <c r="G65" s="4" t="s">
        <v>3657</v>
      </c>
      <c r="H65" s="4" t="s">
        <v>26</v>
      </c>
      <c r="I65" s="4" t="s">
        <v>33</v>
      </c>
      <c r="J65" s="4" t="s">
        <v>27</v>
      </c>
      <c r="K65" s="4" t="s">
        <v>28</v>
      </c>
      <c r="L65" s="4" t="s">
        <v>28</v>
      </c>
      <c r="M65" s="4" t="s">
        <v>34</v>
      </c>
      <c r="N65" s="4" t="s">
        <v>28</v>
      </c>
    </row>
    <row r="66" spans="1:14" ht="14.4" thickBot="1" x14ac:dyDescent="0.35">
      <c r="A66" s="4" t="s">
        <v>19</v>
      </c>
      <c r="B66" s="4" t="s">
        <v>460</v>
      </c>
      <c r="C66" s="4" t="s">
        <v>469</v>
      </c>
      <c r="D66" s="4" t="s">
        <v>470</v>
      </c>
      <c r="E66" s="4" t="s">
        <v>254</v>
      </c>
      <c r="F66" s="4" t="s">
        <v>3658</v>
      </c>
      <c r="G66" s="4" t="s">
        <v>3659</v>
      </c>
      <c r="H66" s="4" t="s">
        <v>135</v>
      </c>
      <c r="I66" s="4" t="s">
        <v>33</v>
      </c>
      <c r="J66" s="4" t="s">
        <v>27</v>
      </c>
      <c r="K66" s="4" t="s">
        <v>28</v>
      </c>
      <c r="L66" s="4" t="s">
        <v>28</v>
      </c>
      <c r="M66" s="4" t="s">
        <v>34</v>
      </c>
      <c r="N66" s="4" t="s">
        <v>28</v>
      </c>
    </row>
    <row r="67" spans="1:14" ht="14.4" thickBot="1" x14ac:dyDescent="0.35">
      <c r="A67" s="4" t="s">
        <v>19</v>
      </c>
      <c r="B67" s="4" t="s">
        <v>460</v>
      </c>
      <c r="C67" s="4" t="s">
        <v>469</v>
      </c>
      <c r="D67" s="4" t="s">
        <v>470</v>
      </c>
      <c r="E67" s="4" t="s">
        <v>254</v>
      </c>
      <c r="F67" s="4" t="s">
        <v>3725</v>
      </c>
      <c r="G67" s="4" t="s">
        <v>3726</v>
      </c>
      <c r="H67" s="4" t="s">
        <v>26</v>
      </c>
      <c r="I67" s="4" t="s">
        <v>38</v>
      </c>
      <c r="J67" s="4" t="s">
        <v>28</v>
      </c>
      <c r="K67" s="4" t="s">
        <v>28</v>
      </c>
      <c r="L67" s="4" t="s">
        <v>27</v>
      </c>
      <c r="M67" s="4" t="s">
        <v>375</v>
      </c>
      <c r="N67" s="4" t="s">
        <v>28</v>
      </c>
    </row>
    <row r="68" spans="1:14" ht="14.4" thickBot="1" x14ac:dyDescent="0.35">
      <c r="A68" s="4" t="s">
        <v>19</v>
      </c>
      <c r="B68" s="4" t="s">
        <v>460</v>
      </c>
      <c r="C68" s="4" t="s">
        <v>469</v>
      </c>
      <c r="D68" s="4" t="s">
        <v>470</v>
      </c>
      <c r="E68" s="4" t="s">
        <v>254</v>
      </c>
      <c r="F68" s="4" t="s">
        <v>3727</v>
      </c>
      <c r="G68" s="4" t="s">
        <v>3728</v>
      </c>
      <c r="H68" s="4" t="s">
        <v>26</v>
      </c>
      <c r="I68" s="4" t="s">
        <v>38</v>
      </c>
      <c r="J68" s="4" t="s">
        <v>28</v>
      </c>
      <c r="K68" s="4" t="s">
        <v>28</v>
      </c>
      <c r="L68" s="4" t="s">
        <v>27</v>
      </c>
      <c r="M68" s="4" t="s">
        <v>29</v>
      </c>
      <c r="N68" s="4" t="s">
        <v>28</v>
      </c>
    </row>
    <row r="69" spans="1:14" ht="14.4" thickBot="1" x14ac:dyDescent="0.35">
      <c r="A69" s="4" t="s">
        <v>19</v>
      </c>
      <c r="B69" s="4" t="s">
        <v>460</v>
      </c>
      <c r="C69" s="4" t="s">
        <v>469</v>
      </c>
      <c r="D69" s="4" t="s">
        <v>470</v>
      </c>
      <c r="E69" s="4" t="s">
        <v>254</v>
      </c>
      <c r="F69" s="4" t="s">
        <v>4421</v>
      </c>
      <c r="G69" s="4" t="s">
        <v>4422</v>
      </c>
      <c r="H69" s="4" t="s">
        <v>26</v>
      </c>
      <c r="I69" s="4" t="s">
        <v>94</v>
      </c>
      <c r="J69" s="4" t="s">
        <v>27</v>
      </c>
      <c r="K69" s="4" t="s">
        <v>28</v>
      </c>
      <c r="L69" s="4" t="s">
        <v>28</v>
      </c>
      <c r="M69" s="4" t="s">
        <v>34</v>
      </c>
      <c r="N69" s="4" t="s">
        <v>28</v>
      </c>
    </row>
    <row r="70" spans="1:14" ht="14.4" thickBot="1" x14ac:dyDescent="0.35">
      <c r="A70" s="4" t="s">
        <v>19</v>
      </c>
      <c r="B70" s="4" t="s">
        <v>460</v>
      </c>
      <c r="C70" s="4" t="s">
        <v>469</v>
      </c>
      <c r="D70" s="4" t="s">
        <v>470</v>
      </c>
      <c r="E70" s="4" t="s">
        <v>254</v>
      </c>
      <c r="F70" s="4" t="s">
        <v>4423</v>
      </c>
      <c r="G70" s="4" t="s">
        <v>4424</v>
      </c>
      <c r="H70" s="4" t="s">
        <v>135</v>
      </c>
      <c r="I70" s="4" t="s">
        <v>33</v>
      </c>
      <c r="J70" s="4" t="s">
        <v>27</v>
      </c>
      <c r="K70" s="4" t="s">
        <v>28</v>
      </c>
      <c r="L70" s="4" t="s">
        <v>28</v>
      </c>
      <c r="M70" s="4" t="s">
        <v>34</v>
      </c>
      <c r="N70" s="4" t="s">
        <v>28</v>
      </c>
    </row>
    <row r="71" spans="1:14" ht="14.4" thickBot="1" x14ac:dyDescent="0.35">
      <c r="A71" s="4" t="s">
        <v>19</v>
      </c>
      <c r="B71" s="4" t="s">
        <v>460</v>
      </c>
      <c r="C71" s="4" t="s">
        <v>469</v>
      </c>
      <c r="D71" s="4" t="s">
        <v>470</v>
      </c>
      <c r="E71" s="4" t="s">
        <v>254</v>
      </c>
      <c r="F71" s="4" t="s">
        <v>4425</v>
      </c>
      <c r="G71" s="4" t="s">
        <v>4426</v>
      </c>
      <c r="H71" s="4" t="s">
        <v>26</v>
      </c>
      <c r="I71" s="4" t="s">
        <v>33</v>
      </c>
      <c r="J71" s="4" t="s">
        <v>27</v>
      </c>
      <c r="K71" s="4" t="s">
        <v>28</v>
      </c>
      <c r="L71" s="4" t="s">
        <v>28</v>
      </c>
      <c r="M71" s="4" t="s">
        <v>34</v>
      </c>
      <c r="N71" s="4" t="s">
        <v>28</v>
      </c>
    </row>
    <row r="72" spans="1:14" ht="14.4" thickBot="1" x14ac:dyDescent="0.35">
      <c r="A72" s="4" t="s">
        <v>19</v>
      </c>
      <c r="B72" s="4" t="s">
        <v>460</v>
      </c>
      <c r="C72" s="4" t="s">
        <v>469</v>
      </c>
      <c r="D72" s="4" t="s">
        <v>470</v>
      </c>
      <c r="E72" s="4" t="s">
        <v>254</v>
      </c>
      <c r="F72" s="4" t="s">
        <v>4427</v>
      </c>
      <c r="G72" s="4" t="s">
        <v>4428</v>
      </c>
      <c r="H72" s="4" t="s">
        <v>69</v>
      </c>
      <c r="I72" s="4" t="s">
        <v>94</v>
      </c>
      <c r="J72" s="4" t="s">
        <v>28</v>
      </c>
      <c r="K72" s="4" t="s">
        <v>27</v>
      </c>
      <c r="L72" s="4" t="s">
        <v>28</v>
      </c>
      <c r="M72" s="4" t="s">
        <v>34</v>
      </c>
      <c r="N72" s="4" t="s">
        <v>28</v>
      </c>
    </row>
    <row r="73" spans="1:14" ht="14.4" thickBot="1" x14ac:dyDescent="0.35">
      <c r="A73" s="4" t="s">
        <v>19</v>
      </c>
      <c r="B73" s="4" t="s">
        <v>460</v>
      </c>
      <c r="C73" s="4" t="s">
        <v>469</v>
      </c>
      <c r="D73" s="4" t="s">
        <v>470</v>
      </c>
      <c r="E73" s="4" t="s">
        <v>254</v>
      </c>
      <c r="F73" s="4" t="s">
        <v>4429</v>
      </c>
      <c r="G73" s="4" t="s">
        <v>4430</v>
      </c>
      <c r="H73" s="4" t="s">
        <v>135</v>
      </c>
      <c r="I73" s="4" t="s">
        <v>33</v>
      </c>
      <c r="J73" s="4" t="s">
        <v>27</v>
      </c>
      <c r="K73" s="4" t="s">
        <v>28</v>
      </c>
      <c r="L73" s="4" t="s">
        <v>28</v>
      </c>
      <c r="M73" s="4" t="s">
        <v>34</v>
      </c>
      <c r="N73" s="4" t="s">
        <v>28</v>
      </c>
    </row>
    <row r="74" spans="1:14" ht="14.4" thickBot="1" x14ac:dyDescent="0.35">
      <c r="A74" s="4" t="s">
        <v>19</v>
      </c>
      <c r="B74" s="4" t="s">
        <v>460</v>
      </c>
      <c r="C74" s="4" t="s">
        <v>469</v>
      </c>
      <c r="D74" s="4" t="s">
        <v>470</v>
      </c>
      <c r="E74" s="4" t="s">
        <v>254</v>
      </c>
      <c r="F74" s="4" t="s">
        <v>4431</v>
      </c>
      <c r="G74" s="4" t="s">
        <v>4432</v>
      </c>
      <c r="H74" s="4" t="s">
        <v>26</v>
      </c>
      <c r="I74" s="4" t="s">
        <v>33</v>
      </c>
      <c r="J74" s="4" t="s">
        <v>27</v>
      </c>
      <c r="K74" s="4" t="s">
        <v>28</v>
      </c>
      <c r="L74" s="4" t="s">
        <v>28</v>
      </c>
      <c r="M74" s="4" t="s">
        <v>34</v>
      </c>
      <c r="N74" s="4" t="s">
        <v>28</v>
      </c>
    </row>
    <row r="75" spans="1:14" ht="14.4" thickBot="1" x14ac:dyDescent="0.35">
      <c r="A75" s="4" t="s">
        <v>19</v>
      </c>
      <c r="B75" s="4" t="s">
        <v>460</v>
      </c>
      <c r="C75" s="4" t="s">
        <v>469</v>
      </c>
      <c r="D75" s="4" t="s">
        <v>470</v>
      </c>
      <c r="E75" s="4" t="s">
        <v>254</v>
      </c>
      <c r="F75" s="4" t="s">
        <v>4433</v>
      </c>
      <c r="G75" s="4" t="s">
        <v>4434</v>
      </c>
      <c r="H75" s="4" t="s">
        <v>69</v>
      </c>
      <c r="I75" s="4" t="s">
        <v>38</v>
      </c>
      <c r="J75" s="4" t="s">
        <v>28</v>
      </c>
      <c r="K75" s="4" t="s">
        <v>28</v>
      </c>
      <c r="L75" s="4" t="s">
        <v>27</v>
      </c>
      <c r="M75" s="4" t="s">
        <v>34</v>
      </c>
      <c r="N75" s="4" t="s">
        <v>28</v>
      </c>
    </row>
    <row r="76" spans="1:14" ht="14.4" thickBot="1" x14ac:dyDescent="0.35">
      <c r="A76" s="4" t="s">
        <v>19</v>
      </c>
      <c r="B76" s="4" t="s">
        <v>460</v>
      </c>
      <c r="C76" s="4" t="s">
        <v>469</v>
      </c>
      <c r="D76" s="4" t="s">
        <v>470</v>
      </c>
      <c r="E76" s="4" t="s">
        <v>254</v>
      </c>
      <c r="F76" s="4" t="s">
        <v>4511</v>
      </c>
      <c r="G76" s="4" t="s">
        <v>4512</v>
      </c>
      <c r="H76" s="4" t="s">
        <v>26</v>
      </c>
      <c r="I76" s="4" t="s">
        <v>26</v>
      </c>
      <c r="J76" s="5"/>
      <c r="K76" s="5"/>
      <c r="L76" s="5"/>
      <c r="M76" s="4" t="s">
        <v>29</v>
      </c>
      <c r="N76" s="5"/>
    </row>
    <row r="77" spans="1:14" ht="14.4" thickBot="1" x14ac:dyDescent="0.35">
      <c r="A77" s="4" t="s">
        <v>19</v>
      </c>
      <c r="B77" s="4" t="s">
        <v>460</v>
      </c>
      <c r="C77" s="4" t="s">
        <v>469</v>
      </c>
      <c r="D77" s="4" t="s">
        <v>470</v>
      </c>
      <c r="E77" s="4" t="s">
        <v>254</v>
      </c>
      <c r="F77" s="4" t="s">
        <v>5116</v>
      </c>
      <c r="G77" s="4" t="s">
        <v>5117</v>
      </c>
      <c r="H77" s="4" t="s">
        <v>26</v>
      </c>
      <c r="I77" s="4" t="s">
        <v>33</v>
      </c>
      <c r="J77" s="4" t="s">
        <v>27</v>
      </c>
      <c r="K77" s="4" t="s">
        <v>28</v>
      </c>
      <c r="L77" s="4" t="s">
        <v>28</v>
      </c>
      <c r="M77" s="4" t="s">
        <v>34</v>
      </c>
      <c r="N77" s="4" t="s">
        <v>28</v>
      </c>
    </row>
    <row r="78" spans="1:14" ht="14.4" thickBot="1" x14ac:dyDescent="0.35">
      <c r="A78" s="4" t="s">
        <v>19</v>
      </c>
      <c r="B78" s="4" t="s">
        <v>460</v>
      </c>
      <c r="C78" s="4" t="s">
        <v>469</v>
      </c>
      <c r="D78" s="4" t="s">
        <v>470</v>
      </c>
      <c r="E78" s="4" t="s">
        <v>254</v>
      </c>
      <c r="F78" s="4" t="s">
        <v>5118</v>
      </c>
      <c r="G78" s="4" t="s">
        <v>5119</v>
      </c>
      <c r="H78" s="4" t="s">
        <v>69</v>
      </c>
      <c r="I78" s="4" t="s">
        <v>94</v>
      </c>
      <c r="J78" s="4" t="s">
        <v>28</v>
      </c>
      <c r="K78" s="4" t="s">
        <v>27</v>
      </c>
      <c r="L78" s="4" t="s">
        <v>28</v>
      </c>
      <c r="M78" s="4" t="s">
        <v>34</v>
      </c>
      <c r="N78" s="4" t="s">
        <v>28</v>
      </c>
    </row>
    <row r="79" spans="1:14" ht="14.4" thickBot="1" x14ac:dyDescent="0.35">
      <c r="A79" s="4" t="s">
        <v>19</v>
      </c>
      <c r="B79" s="4" t="s">
        <v>460</v>
      </c>
      <c r="C79" s="4" t="s">
        <v>469</v>
      </c>
      <c r="D79" s="4" t="s">
        <v>470</v>
      </c>
      <c r="E79" s="4" t="s">
        <v>254</v>
      </c>
      <c r="F79" s="4" t="s">
        <v>5120</v>
      </c>
      <c r="G79" s="4" t="s">
        <v>5121</v>
      </c>
      <c r="H79" s="4" t="s">
        <v>26</v>
      </c>
      <c r="I79" s="4" t="s">
        <v>33</v>
      </c>
      <c r="J79" s="4" t="s">
        <v>27</v>
      </c>
      <c r="K79" s="4" t="s">
        <v>28</v>
      </c>
      <c r="L79" s="4" t="s">
        <v>28</v>
      </c>
      <c r="M79" s="4" t="s">
        <v>34</v>
      </c>
      <c r="N79" s="4" t="s">
        <v>28</v>
      </c>
    </row>
    <row r="80" spans="1:14" ht="14.4" thickBot="1" x14ac:dyDescent="0.35">
      <c r="A80" s="4" t="s">
        <v>19</v>
      </c>
      <c r="B80" s="4" t="s">
        <v>460</v>
      </c>
      <c r="C80" s="4" t="s">
        <v>469</v>
      </c>
      <c r="D80" s="4" t="s">
        <v>470</v>
      </c>
      <c r="E80" s="4" t="s">
        <v>254</v>
      </c>
      <c r="F80" s="4" t="s">
        <v>5122</v>
      </c>
      <c r="G80" s="4" t="s">
        <v>5123</v>
      </c>
      <c r="H80" s="4" t="s">
        <v>37</v>
      </c>
      <c r="I80" s="4" t="s">
        <v>38</v>
      </c>
      <c r="J80" s="4" t="s">
        <v>28</v>
      </c>
      <c r="K80" s="4" t="s">
        <v>28</v>
      </c>
      <c r="L80" s="4" t="s">
        <v>27</v>
      </c>
      <c r="M80" s="4" t="s">
        <v>34</v>
      </c>
      <c r="N80" s="4" t="s">
        <v>28</v>
      </c>
    </row>
    <row r="81" spans="1:14" ht="14.4" thickBot="1" x14ac:dyDescent="0.35">
      <c r="A81" s="4" t="s">
        <v>19</v>
      </c>
      <c r="B81" s="4" t="s">
        <v>460</v>
      </c>
      <c r="C81" s="4" t="s">
        <v>469</v>
      </c>
      <c r="D81" s="4" t="s">
        <v>470</v>
      </c>
      <c r="E81" s="4" t="s">
        <v>254</v>
      </c>
      <c r="F81" s="4" t="s">
        <v>5124</v>
      </c>
      <c r="G81" s="4" t="s">
        <v>5125</v>
      </c>
      <c r="H81" s="4" t="s">
        <v>26</v>
      </c>
      <c r="I81" s="4" t="s">
        <v>33</v>
      </c>
      <c r="J81" s="4" t="s">
        <v>27</v>
      </c>
      <c r="K81" s="4" t="s">
        <v>28</v>
      </c>
      <c r="L81" s="4" t="s">
        <v>28</v>
      </c>
      <c r="M81" s="4" t="s">
        <v>34</v>
      </c>
      <c r="N81" s="4" t="s">
        <v>28</v>
      </c>
    </row>
    <row r="82" spans="1:14" ht="14.4" thickBot="1" x14ac:dyDescent="0.35">
      <c r="A82" s="4" t="s">
        <v>19</v>
      </c>
      <c r="B82" s="4" t="s">
        <v>460</v>
      </c>
      <c r="C82" s="4" t="s">
        <v>469</v>
      </c>
      <c r="D82" s="4" t="s">
        <v>470</v>
      </c>
      <c r="E82" s="4" t="s">
        <v>254</v>
      </c>
      <c r="F82" s="4" t="s">
        <v>5126</v>
      </c>
      <c r="G82" s="4" t="s">
        <v>5127</v>
      </c>
      <c r="H82" s="4" t="s">
        <v>69</v>
      </c>
      <c r="I82" s="4" t="s">
        <v>94</v>
      </c>
      <c r="J82" s="4" t="s">
        <v>28</v>
      </c>
      <c r="K82" s="4" t="s">
        <v>27</v>
      </c>
      <c r="L82" s="4" t="s">
        <v>28</v>
      </c>
      <c r="M82" s="4" t="s">
        <v>34</v>
      </c>
      <c r="N82" s="4" t="s">
        <v>28</v>
      </c>
    </row>
    <row r="83" spans="1:14" ht="14.4" thickBot="1" x14ac:dyDescent="0.35">
      <c r="A83" s="4" t="s">
        <v>19</v>
      </c>
      <c r="B83" s="4" t="s">
        <v>460</v>
      </c>
      <c r="C83" s="4" t="s">
        <v>469</v>
      </c>
      <c r="D83" s="4" t="s">
        <v>470</v>
      </c>
      <c r="E83" s="4" t="s">
        <v>254</v>
      </c>
      <c r="F83" s="4" t="s">
        <v>5128</v>
      </c>
      <c r="G83" s="4" t="s">
        <v>1420</v>
      </c>
      <c r="H83" s="4" t="s">
        <v>135</v>
      </c>
      <c r="I83" s="4" t="s">
        <v>33</v>
      </c>
      <c r="J83" s="4" t="s">
        <v>27</v>
      </c>
      <c r="K83" s="4" t="s">
        <v>28</v>
      </c>
      <c r="L83" s="4" t="s">
        <v>28</v>
      </c>
      <c r="M83" s="4" t="s">
        <v>34</v>
      </c>
      <c r="N83" s="4" t="s">
        <v>28</v>
      </c>
    </row>
    <row r="84" spans="1:14" ht="14.4" thickBot="1" x14ac:dyDescent="0.35">
      <c r="A84" s="4" t="s">
        <v>19</v>
      </c>
      <c r="B84" s="4" t="s">
        <v>460</v>
      </c>
      <c r="C84" s="4" t="s">
        <v>469</v>
      </c>
      <c r="D84" s="4" t="s">
        <v>470</v>
      </c>
      <c r="E84" s="4" t="s">
        <v>254</v>
      </c>
      <c r="F84" s="4" t="s">
        <v>5129</v>
      </c>
      <c r="G84" s="4" t="s">
        <v>5130</v>
      </c>
      <c r="H84" s="4" t="s">
        <v>26</v>
      </c>
      <c r="I84" s="4" t="s">
        <v>33</v>
      </c>
      <c r="J84" s="4" t="s">
        <v>27</v>
      </c>
      <c r="K84" s="4" t="s">
        <v>28</v>
      </c>
      <c r="L84" s="4" t="s">
        <v>28</v>
      </c>
      <c r="M84" s="4" t="s">
        <v>34</v>
      </c>
      <c r="N84" s="4" t="s">
        <v>28</v>
      </c>
    </row>
    <row r="85" spans="1:14" ht="14.4" thickBot="1" x14ac:dyDescent="0.35">
      <c r="A85" s="4" t="s">
        <v>19</v>
      </c>
      <c r="B85" s="4" t="s">
        <v>460</v>
      </c>
      <c r="C85" s="4" t="s">
        <v>469</v>
      </c>
      <c r="D85" s="4" t="s">
        <v>470</v>
      </c>
      <c r="E85" s="4" t="s">
        <v>254</v>
      </c>
      <c r="F85" s="4" t="s">
        <v>5131</v>
      </c>
      <c r="G85" s="4" t="s">
        <v>4662</v>
      </c>
      <c r="H85" s="4" t="s">
        <v>26</v>
      </c>
      <c r="I85" s="4" t="s">
        <v>33</v>
      </c>
      <c r="J85" s="4" t="s">
        <v>27</v>
      </c>
      <c r="K85" s="4" t="s">
        <v>28</v>
      </c>
      <c r="L85" s="4" t="s">
        <v>28</v>
      </c>
      <c r="M85" s="4" t="s">
        <v>34</v>
      </c>
      <c r="N85" s="4" t="s">
        <v>28</v>
      </c>
    </row>
    <row r="86" spans="1:14" ht="14.4" thickBot="1" x14ac:dyDescent="0.35">
      <c r="A86" s="4" t="s">
        <v>19</v>
      </c>
      <c r="B86" s="4" t="s">
        <v>460</v>
      </c>
      <c r="C86" s="4" t="s">
        <v>469</v>
      </c>
      <c r="D86" s="4" t="s">
        <v>470</v>
      </c>
      <c r="E86" s="4" t="s">
        <v>254</v>
      </c>
      <c r="F86" s="4" t="s">
        <v>5190</v>
      </c>
      <c r="G86" s="4" t="s">
        <v>5191</v>
      </c>
      <c r="H86" s="4" t="s">
        <v>26</v>
      </c>
      <c r="I86" s="4" t="s">
        <v>26</v>
      </c>
      <c r="J86" s="4" t="s">
        <v>27</v>
      </c>
      <c r="K86" s="4" t="s">
        <v>28</v>
      </c>
      <c r="L86" s="4" t="s">
        <v>28</v>
      </c>
      <c r="M86" s="4" t="s">
        <v>130</v>
      </c>
      <c r="N86" s="4" t="s">
        <v>28</v>
      </c>
    </row>
    <row r="87" spans="1:14" ht="14.4" thickBot="1" x14ac:dyDescent="0.35">
      <c r="A87" s="4" t="s">
        <v>19</v>
      </c>
      <c r="B87" s="4" t="s">
        <v>460</v>
      </c>
      <c r="C87" s="4" t="s">
        <v>469</v>
      </c>
      <c r="D87" s="4" t="s">
        <v>470</v>
      </c>
      <c r="E87" s="4" t="s">
        <v>254</v>
      </c>
      <c r="F87" s="4" t="s">
        <v>5192</v>
      </c>
      <c r="G87" s="4" t="s">
        <v>5193</v>
      </c>
      <c r="H87" s="4" t="s">
        <v>38</v>
      </c>
      <c r="I87" s="4" t="s">
        <v>38</v>
      </c>
      <c r="J87" s="4" t="s">
        <v>28</v>
      </c>
      <c r="K87" s="4" t="s">
        <v>28</v>
      </c>
      <c r="L87" s="4" t="s">
        <v>27</v>
      </c>
      <c r="M87" s="4" t="s">
        <v>375</v>
      </c>
      <c r="N87" s="4" t="s">
        <v>28</v>
      </c>
    </row>
    <row r="88" spans="1:14" ht="14.4" thickBot="1" x14ac:dyDescent="0.35">
      <c r="A88" s="4" t="s">
        <v>19</v>
      </c>
      <c r="B88" s="4" t="s">
        <v>460</v>
      </c>
      <c r="C88" s="4" t="s">
        <v>469</v>
      </c>
      <c r="D88" s="4" t="s">
        <v>470</v>
      </c>
      <c r="E88" s="4" t="s">
        <v>254</v>
      </c>
      <c r="F88" s="4" t="s">
        <v>5194</v>
      </c>
      <c r="G88" s="4" t="s">
        <v>5195</v>
      </c>
      <c r="H88" s="4" t="s">
        <v>26</v>
      </c>
      <c r="I88" s="4" t="s">
        <v>135</v>
      </c>
      <c r="J88" s="5"/>
      <c r="K88" s="5"/>
      <c r="L88" s="5"/>
      <c r="M88" s="4" t="s">
        <v>29</v>
      </c>
      <c r="N88" s="5"/>
    </row>
    <row r="89" spans="1:14" ht="14.4" thickBot="1" x14ac:dyDescent="0.35">
      <c r="A89" s="4" t="s">
        <v>19</v>
      </c>
      <c r="B89" s="4" t="s">
        <v>460</v>
      </c>
      <c r="C89" s="4" t="s">
        <v>469</v>
      </c>
      <c r="D89" s="4" t="s">
        <v>470</v>
      </c>
      <c r="E89" s="4" t="s">
        <v>254</v>
      </c>
      <c r="F89" s="4" t="s">
        <v>5789</v>
      </c>
      <c r="G89" s="4" t="s">
        <v>5790</v>
      </c>
      <c r="H89" s="4" t="s">
        <v>135</v>
      </c>
      <c r="I89" s="4" t="s">
        <v>38</v>
      </c>
      <c r="J89" s="4" t="s">
        <v>28</v>
      </c>
      <c r="K89" s="4" t="s">
        <v>28</v>
      </c>
      <c r="L89" s="4" t="s">
        <v>27</v>
      </c>
      <c r="M89" s="4" t="s">
        <v>34</v>
      </c>
      <c r="N89" s="4" t="s">
        <v>28</v>
      </c>
    </row>
    <row r="90" spans="1:14" ht="14.4" thickBot="1" x14ac:dyDescent="0.35">
      <c r="A90" s="4" t="s">
        <v>19</v>
      </c>
      <c r="B90" s="4" t="s">
        <v>460</v>
      </c>
      <c r="C90" s="4" t="s">
        <v>469</v>
      </c>
      <c r="D90" s="4" t="s">
        <v>470</v>
      </c>
      <c r="E90" s="4" t="s">
        <v>254</v>
      </c>
      <c r="F90" s="4" t="s">
        <v>5791</v>
      </c>
      <c r="G90" s="4" t="s">
        <v>5792</v>
      </c>
      <c r="H90" s="4" t="s">
        <v>135</v>
      </c>
      <c r="I90" s="4" t="s">
        <v>38</v>
      </c>
      <c r="J90" s="4" t="s">
        <v>28</v>
      </c>
      <c r="K90" s="4" t="s">
        <v>28</v>
      </c>
      <c r="L90" s="4" t="s">
        <v>27</v>
      </c>
      <c r="M90" s="4" t="s">
        <v>34</v>
      </c>
      <c r="N90" s="4" t="s">
        <v>27</v>
      </c>
    </row>
    <row r="91" spans="1:14" ht="14.4" thickBot="1" x14ac:dyDescent="0.35">
      <c r="A91" s="4" t="s">
        <v>19</v>
      </c>
      <c r="B91" s="4" t="s">
        <v>460</v>
      </c>
      <c r="C91" s="4" t="s">
        <v>469</v>
      </c>
      <c r="D91" s="4" t="s">
        <v>470</v>
      </c>
      <c r="E91" s="4" t="s">
        <v>254</v>
      </c>
      <c r="F91" s="4" t="s">
        <v>5793</v>
      </c>
      <c r="G91" s="4" t="s">
        <v>5794</v>
      </c>
      <c r="H91" s="4" t="s">
        <v>26</v>
      </c>
      <c r="I91" s="4" t="s">
        <v>33</v>
      </c>
      <c r="J91" s="4" t="s">
        <v>27</v>
      </c>
      <c r="K91" s="4" t="s">
        <v>28</v>
      </c>
      <c r="L91" s="4" t="s">
        <v>28</v>
      </c>
      <c r="M91" s="4" t="s">
        <v>34</v>
      </c>
      <c r="N91" s="4" t="s">
        <v>28</v>
      </c>
    </row>
    <row r="92" spans="1:14" ht="14.4" thickBot="1" x14ac:dyDescent="0.35">
      <c r="A92" s="4" t="s">
        <v>19</v>
      </c>
      <c r="B92" s="4" t="s">
        <v>460</v>
      </c>
      <c r="C92" s="4" t="s">
        <v>469</v>
      </c>
      <c r="D92" s="4" t="s">
        <v>470</v>
      </c>
      <c r="E92" s="4" t="s">
        <v>254</v>
      </c>
      <c r="F92" s="4" t="s">
        <v>5795</v>
      </c>
      <c r="G92" s="4" t="s">
        <v>5796</v>
      </c>
      <c r="H92" s="4" t="s">
        <v>135</v>
      </c>
      <c r="I92" s="4" t="s">
        <v>33</v>
      </c>
      <c r="J92" s="4" t="s">
        <v>27</v>
      </c>
      <c r="K92" s="4" t="s">
        <v>28</v>
      </c>
      <c r="L92" s="4" t="s">
        <v>28</v>
      </c>
      <c r="M92" s="4" t="s">
        <v>34</v>
      </c>
      <c r="N92" s="4" t="s">
        <v>28</v>
      </c>
    </row>
    <row r="93" spans="1:14" ht="14.4" thickBot="1" x14ac:dyDescent="0.35">
      <c r="A93" s="4" t="s">
        <v>19</v>
      </c>
      <c r="B93" s="4" t="s">
        <v>460</v>
      </c>
      <c r="C93" s="4" t="s">
        <v>469</v>
      </c>
      <c r="D93" s="4" t="s">
        <v>470</v>
      </c>
      <c r="E93" s="4" t="s">
        <v>254</v>
      </c>
      <c r="F93" s="4" t="s">
        <v>5797</v>
      </c>
      <c r="G93" s="4" t="s">
        <v>5798</v>
      </c>
      <c r="H93" s="4" t="s">
        <v>69</v>
      </c>
      <c r="I93" s="4" t="s">
        <v>94</v>
      </c>
      <c r="J93" s="4" t="s">
        <v>28</v>
      </c>
      <c r="K93" s="4" t="s">
        <v>27</v>
      </c>
      <c r="L93" s="4" t="s">
        <v>28</v>
      </c>
      <c r="M93" s="4" t="s">
        <v>34</v>
      </c>
      <c r="N93" s="4" t="s">
        <v>28</v>
      </c>
    </row>
    <row r="94" spans="1:14" ht="14.4" thickBot="1" x14ac:dyDescent="0.35">
      <c r="A94" s="4" t="s">
        <v>19</v>
      </c>
      <c r="B94" s="4" t="s">
        <v>460</v>
      </c>
      <c r="C94" s="4" t="s">
        <v>469</v>
      </c>
      <c r="D94" s="4" t="s">
        <v>470</v>
      </c>
      <c r="E94" s="4" t="s">
        <v>254</v>
      </c>
      <c r="F94" s="4" t="s">
        <v>827</v>
      </c>
      <c r="G94" s="4" t="s">
        <v>5799</v>
      </c>
      <c r="H94" s="4" t="s">
        <v>69</v>
      </c>
      <c r="I94" s="4" t="s">
        <v>94</v>
      </c>
      <c r="J94" s="4" t="s">
        <v>28</v>
      </c>
      <c r="K94" s="4" t="s">
        <v>27</v>
      </c>
      <c r="L94" s="4" t="s">
        <v>28</v>
      </c>
      <c r="M94" s="4" t="s">
        <v>34</v>
      </c>
      <c r="N94" s="4" t="s">
        <v>28</v>
      </c>
    </row>
    <row r="95" spans="1:14" ht="14.4" thickBot="1" x14ac:dyDescent="0.35">
      <c r="A95" s="4" t="s">
        <v>19</v>
      </c>
      <c r="B95" s="4" t="s">
        <v>460</v>
      </c>
      <c r="C95" s="4" t="s">
        <v>469</v>
      </c>
      <c r="D95" s="4" t="s">
        <v>470</v>
      </c>
      <c r="E95" s="4" t="s">
        <v>254</v>
      </c>
      <c r="F95" s="4" t="s">
        <v>5867</v>
      </c>
      <c r="G95" s="4" t="s">
        <v>5868</v>
      </c>
      <c r="H95" s="4" t="s">
        <v>26</v>
      </c>
      <c r="I95" s="4" t="s">
        <v>38</v>
      </c>
      <c r="J95" s="4" t="s">
        <v>28</v>
      </c>
      <c r="K95" s="4" t="s">
        <v>28</v>
      </c>
      <c r="L95" s="4" t="s">
        <v>27</v>
      </c>
      <c r="M95" s="4" t="s">
        <v>29</v>
      </c>
      <c r="N95" s="4" t="s">
        <v>28</v>
      </c>
    </row>
    <row r="96" spans="1:14" ht="14.4" thickBot="1" x14ac:dyDescent="0.35">
      <c r="A96" s="4" t="s">
        <v>19</v>
      </c>
      <c r="B96" s="4" t="s">
        <v>460</v>
      </c>
      <c r="C96" s="4" t="s">
        <v>469</v>
      </c>
      <c r="D96" s="4" t="s">
        <v>470</v>
      </c>
      <c r="E96" s="4" t="s">
        <v>254</v>
      </c>
      <c r="F96" s="4" t="s">
        <v>5869</v>
      </c>
      <c r="G96" s="4" t="s">
        <v>5870</v>
      </c>
      <c r="H96" s="4" t="s">
        <v>26</v>
      </c>
      <c r="I96" s="4" t="s">
        <v>26</v>
      </c>
      <c r="J96" s="4" t="s">
        <v>27</v>
      </c>
      <c r="K96" s="4" t="s">
        <v>28</v>
      </c>
      <c r="L96" s="4" t="s">
        <v>28</v>
      </c>
      <c r="M96" s="4" t="s">
        <v>130</v>
      </c>
      <c r="N96" s="4" t="s">
        <v>28</v>
      </c>
    </row>
    <row r="97" spans="1:14" ht="14.4" thickBot="1" x14ac:dyDescent="0.35">
      <c r="A97" s="4" t="s">
        <v>19</v>
      </c>
      <c r="B97" s="4" t="s">
        <v>460</v>
      </c>
      <c r="C97" s="4" t="s">
        <v>469</v>
      </c>
      <c r="D97" s="4" t="s">
        <v>470</v>
      </c>
      <c r="E97" s="4" t="s">
        <v>254</v>
      </c>
      <c r="F97" s="4" t="s">
        <v>5871</v>
      </c>
      <c r="G97" s="4" t="s">
        <v>5872</v>
      </c>
      <c r="H97" s="4" t="s">
        <v>26</v>
      </c>
      <c r="I97" s="4" t="s">
        <v>135</v>
      </c>
      <c r="J97" s="5"/>
      <c r="K97" s="5"/>
      <c r="L97" s="5"/>
      <c r="M97" s="4" t="s">
        <v>29</v>
      </c>
      <c r="N97" s="5"/>
    </row>
    <row r="98" spans="1:14" ht="14.4" thickBot="1" x14ac:dyDescent="0.35">
      <c r="A98" s="4" t="s">
        <v>19</v>
      </c>
      <c r="B98" s="4" t="s">
        <v>460</v>
      </c>
      <c r="C98" s="4" t="s">
        <v>469</v>
      </c>
      <c r="D98" s="4" t="s">
        <v>470</v>
      </c>
      <c r="E98" s="4" t="s">
        <v>254</v>
      </c>
      <c r="F98" s="4" t="s">
        <v>5873</v>
      </c>
      <c r="G98" s="4" t="s">
        <v>5874</v>
      </c>
      <c r="H98" s="4" t="s">
        <v>37</v>
      </c>
      <c r="I98" s="4" t="s">
        <v>38</v>
      </c>
      <c r="J98" s="5"/>
      <c r="K98" s="5"/>
      <c r="L98" s="5"/>
      <c r="M98" s="4" t="s">
        <v>29</v>
      </c>
      <c r="N98" s="5"/>
    </row>
    <row r="99" spans="1:14" ht="14.4" thickBot="1" x14ac:dyDescent="0.35">
      <c r="A99" s="4" t="s">
        <v>19</v>
      </c>
      <c r="B99" s="4" t="s">
        <v>460</v>
      </c>
      <c r="C99" s="4" t="s">
        <v>1646</v>
      </c>
      <c r="D99" s="4" t="s">
        <v>1647</v>
      </c>
      <c r="E99" s="4" t="s">
        <v>254</v>
      </c>
      <c r="F99" s="4" t="s">
        <v>1648</v>
      </c>
      <c r="G99" s="4" t="s">
        <v>1649</v>
      </c>
      <c r="H99" s="4" t="s">
        <v>135</v>
      </c>
      <c r="I99" s="4" t="s">
        <v>33</v>
      </c>
      <c r="J99" s="4" t="s">
        <v>27</v>
      </c>
      <c r="K99" s="4" t="s">
        <v>28</v>
      </c>
      <c r="L99" s="4" t="s">
        <v>28</v>
      </c>
      <c r="M99" s="4" t="s">
        <v>34</v>
      </c>
      <c r="N99" s="4" t="s">
        <v>28</v>
      </c>
    </row>
    <row r="100" spans="1:14" ht="14.4" thickBot="1" x14ac:dyDescent="0.35">
      <c r="A100" s="4" t="s">
        <v>19</v>
      </c>
      <c r="B100" s="4" t="s">
        <v>460</v>
      </c>
      <c r="C100" s="4" t="s">
        <v>1646</v>
      </c>
      <c r="D100" s="4" t="s">
        <v>1647</v>
      </c>
      <c r="E100" s="4" t="s">
        <v>254</v>
      </c>
      <c r="F100" s="4" t="s">
        <v>1650</v>
      </c>
      <c r="G100" s="4" t="s">
        <v>1651</v>
      </c>
      <c r="H100" s="4" t="s">
        <v>69</v>
      </c>
      <c r="I100" s="4" t="s">
        <v>94</v>
      </c>
      <c r="J100" s="4" t="s">
        <v>28</v>
      </c>
      <c r="K100" s="4" t="s">
        <v>27</v>
      </c>
      <c r="L100" s="4" t="s">
        <v>28</v>
      </c>
      <c r="M100" s="4" t="s">
        <v>34</v>
      </c>
      <c r="N100" s="4" t="s">
        <v>28</v>
      </c>
    </row>
    <row r="101" spans="1:14" ht="14.4" thickBot="1" x14ac:dyDescent="0.35">
      <c r="A101" s="4" t="s">
        <v>19</v>
      </c>
      <c r="B101" s="4" t="s">
        <v>460</v>
      </c>
      <c r="C101" s="4" t="s">
        <v>1646</v>
      </c>
      <c r="D101" s="4" t="s">
        <v>1647</v>
      </c>
      <c r="E101" s="4" t="s">
        <v>254</v>
      </c>
      <c r="F101" s="4" t="s">
        <v>1652</v>
      </c>
      <c r="G101" s="4" t="s">
        <v>1653</v>
      </c>
      <c r="H101" s="4" t="s">
        <v>37</v>
      </c>
      <c r="I101" s="4" t="s">
        <v>38</v>
      </c>
      <c r="J101" s="4" t="s">
        <v>28</v>
      </c>
      <c r="K101" s="4" t="s">
        <v>28</v>
      </c>
      <c r="L101" s="4" t="s">
        <v>27</v>
      </c>
      <c r="M101" s="4" t="s">
        <v>34</v>
      </c>
      <c r="N101" s="4" t="s">
        <v>28</v>
      </c>
    </row>
    <row r="102" spans="1:14" ht="14.4" thickBot="1" x14ac:dyDescent="0.35">
      <c r="A102" s="4" t="s">
        <v>19</v>
      </c>
      <c r="B102" s="4" t="s">
        <v>460</v>
      </c>
      <c r="C102" s="4" t="s">
        <v>1646</v>
      </c>
      <c r="D102" s="4" t="s">
        <v>1647</v>
      </c>
      <c r="E102" s="4" t="s">
        <v>254</v>
      </c>
      <c r="F102" s="4" t="s">
        <v>1654</v>
      </c>
      <c r="G102" s="4" t="s">
        <v>1655</v>
      </c>
      <c r="H102" s="4" t="s">
        <v>135</v>
      </c>
      <c r="I102" s="4" t="s">
        <v>33</v>
      </c>
      <c r="J102" s="4" t="s">
        <v>27</v>
      </c>
      <c r="K102" s="4" t="s">
        <v>28</v>
      </c>
      <c r="L102" s="4" t="s">
        <v>28</v>
      </c>
      <c r="M102" s="4" t="s">
        <v>34</v>
      </c>
      <c r="N102" s="4" t="s">
        <v>28</v>
      </c>
    </row>
    <row r="103" spans="1:14" ht="14.4" thickBot="1" x14ac:dyDescent="0.35">
      <c r="A103" s="4" t="s">
        <v>19</v>
      </c>
      <c r="B103" s="4" t="s">
        <v>460</v>
      </c>
      <c r="C103" s="4" t="s">
        <v>1646</v>
      </c>
      <c r="D103" s="4" t="s">
        <v>1647</v>
      </c>
      <c r="E103" s="4" t="s">
        <v>254</v>
      </c>
      <c r="F103" s="4" t="s">
        <v>469</v>
      </c>
      <c r="G103" s="4" t="s">
        <v>2339</v>
      </c>
      <c r="H103" s="4" t="s">
        <v>69</v>
      </c>
      <c r="I103" s="4" t="s">
        <v>94</v>
      </c>
      <c r="J103" s="4" t="s">
        <v>28</v>
      </c>
      <c r="K103" s="4" t="s">
        <v>27</v>
      </c>
      <c r="L103" s="4" t="s">
        <v>28</v>
      </c>
      <c r="M103" s="4" t="s">
        <v>34</v>
      </c>
      <c r="N103" s="4" t="s">
        <v>28</v>
      </c>
    </row>
    <row r="104" spans="1:14" ht="14.4" thickBot="1" x14ac:dyDescent="0.35">
      <c r="A104" s="4" t="s">
        <v>19</v>
      </c>
      <c r="B104" s="4" t="s">
        <v>460</v>
      </c>
      <c r="C104" s="4" t="s">
        <v>1646</v>
      </c>
      <c r="D104" s="4" t="s">
        <v>1647</v>
      </c>
      <c r="E104" s="4" t="s">
        <v>254</v>
      </c>
      <c r="F104" s="4" t="s">
        <v>3102</v>
      </c>
      <c r="G104" s="4" t="s">
        <v>397</v>
      </c>
      <c r="H104" s="4" t="s">
        <v>135</v>
      </c>
      <c r="I104" s="4" t="s">
        <v>33</v>
      </c>
      <c r="J104" s="4" t="s">
        <v>27</v>
      </c>
      <c r="K104" s="4" t="s">
        <v>28</v>
      </c>
      <c r="L104" s="4" t="s">
        <v>28</v>
      </c>
      <c r="M104" s="4" t="s">
        <v>34</v>
      </c>
      <c r="N104" s="4" t="s">
        <v>28</v>
      </c>
    </row>
    <row r="105" spans="1:14" ht="14.4" thickBot="1" x14ac:dyDescent="0.35">
      <c r="A105" s="4" t="s">
        <v>19</v>
      </c>
      <c r="B105" s="4" t="s">
        <v>460</v>
      </c>
      <c r="C105" s="4" t="s">
        <v>1646</v>
      </c>
      <c r="D105" s="4" t="s">
        <v>1647</v>
      </c>
      <c r="E105" s="4" t="s">
        <v>254</v>
      </c>
      <c r="F105" s="4" t="s">
        <v>3103</v>
      </c>
      <c r="G105" s="4" t="s">
        <v>3104</v>
      </c>
      <c r="H105" s="4" t="s">
        <v>37</v>
      </c>
      <c r="I105" s="4" t="s">
        <v>38</v>
      </c>
      <c r="J105" s="4" t="s">
        <v>28</v>
      </c>
      <c r="K105" s="4" t="s">
        <v>28</v>
      </c>
      <c r="L105" s="4" t="s">
        <v>27</v>
      </c>
      <c r="M105" s="4" t="s">
        <v>34</v>
      </c>
      <c r="N105" s="4" t="s">
        <v>28</v>
      </c>
    </row>
    <row r="106" spans="1:14" ht="14.4" thickBot="1" x14ac:dyDescent="0.35">
      <c r="A106" s="4" t="s">
        <v>19</v>
      </c>
      <c r="B106" s="4" t="s">
        <v>460</v>
      </c>
      <c r="C106" s="4" t="s">
        <v>1646</v>
      </c>
      <c r="D106" s="4" t="s">
        <v>1647</v>
      </c>
      <c r="E106" s="4" t="s">
        <v>254</v>
      </c>
      <c r="F106" s="4" t="s">
        <v>3232</v>
      </c>
      <c r="G106" s="4" t="s">
        <v>3233</v>
      </c>
      <c r="H106" s="4" t="s">
        <v>26</v>
      </c>
      <c r="I106" s="4" t="s">
        <v>26</v>
      </c>
      <c r="J106" s="4" t="s">
        <v>27</v>
      </c>
      <c r="K106" s="4" t="s">
        <v>28</v>
      </c>
      <c r="L106" s="4" t="s">
        <v>28</v>
      </c>
      <c r="M106" s="4" t="s">
        <v>29</v>
      </c>
      <c r="N106" s="4" t="s">
        <v>28</v>
      </c>
    </row>
    <row r="107" spans="1:14" ht="14.4" thickBot="1" x14ac:dyDescent="0.35">
      <c r="A107" s="4" t="s">
        <v>19</v>
      </c>
      <c r="B107" s="4" t="s">
        <v>460</v>
      </c>
      <c r="C107" s="4" t="s">
        <v>1646</v>
      </c>
      <c r="D107" s="4" t="s">
        <v>1647</v>
      </c>
      <c r="E107" s="4" t="s">
        <v>254</v>
      </c>
      <c r="F107" s="4" t="s">
        <v>3897</v>
      </c>
      <c r="G107" s="4" t="s">
        <v>3898</v>
      </c>
      <c r="H107" s="4" t="s">
        <v>26</v>
      </c>
      <c r="I107" s="4" t="s">
        <v>26</v>
      </c>
      <c r="J107" s="4" t="s">
        <v>27</v>
      </c>
      <c r="K107" s="4" t="s">
        <v>28</v>
      </c>
      <c r="L107" s="4" t="s">
        <v>28</v>
      </c>
      <c r="M107" s="4" t="s">
        <v>34</v>
      </c>
      <c r="N107" s="4" t="s">
        <v>28</v>
      </c>
    </row>
    <row r="108" spans="1:14" ht="14.4" thickBot="1" x14ac:dyDescent="0.35">
      <c r="A108" s="4" t="s">
        <v>19</v>
      </c>
      <c r="B108" s="4" t="s">
        <v>460</v>
      </c>
      <c r="C108" s="4" t="s">
        <v>1646</v>
      </c>
      <c r="D108" s="4" t="s">
        <v>1647</v>
      </c>
      <c r="E108" s="4" t="s">
        <v>254</v>
      </c>
      <c r="F108" s="4" t="s">
        <v>4621</v>
      </c>
      <c r="G108" s="4" t="s">
        <v>4622</v>
      </c>
      <c r="H108" s="4" t="s">
        <v>26</v>
      </c>
      <c r="I108" s="4" t="s">
        <v>33</v>
      </c>
      <c r="J108" s="4" t="s">
        <v>27</v>
      </c>
      <c r="K108" s="4" t="s">
        <v>28</v>
      </c>
      <c r="L108" s="4" t="s">
        <v>28</v>
      </c>
      <c r="M108" s="4" t="s">
        <v>34</v>
      </c>
      <c r="N108" s="4" t="s">
        <v>28</v>
      </c>
    </row>
    <row r="109" spans="1:14" ht="14.4" thickBot="1" x14ac:dyDescent="0.35">
      <c r="A109" s="4" t="s">
        <v>19</v>
      </c>
      <c r="B109" s="4" t="s">
        <v>460</v>
      </c>
      <c r="C109" s="4" t="s">
        <v>1646</v>
      </c>
      <c r="D109" s="4" t="s">
        <v>1647</v>
      </c>
      <c r="E109" s="4" t="s">
        <v>254</v>
      </c>
      <c r="F109" s="4" t="s">
        <v>4623</v>
      </c>
      <c r="G109" s="4" t="s">
        <v>4624</v>
      </c>
      <c r="H109" s="4" t="s">
        <v>26</v>
      </c>
      <c r="I109" s="4" t="s">
        <v>33</v>
      </c>
      <c r="J109" s="4" t="s">
        <v>27</v>
      </c>
      <c r="K109" s="4" t="s">
        <v>28</v>
      </c>
      <c r="L109" s="4" t="s">
        <v>28</v>
      </c>
      <c r="M109" s="4" t="s">
        <v>34</v>
      </c>
      <c r="N109" s="4" t="s">
        <v>28</v>
      </c>
    </row>
    <row r="110" spans="1:14" ht="14.4" thickBot="1" x14ac:dyDescent="0.35">
      <c r="A110" s="4" t="s">
        <v>19</v>
      </c>
      <c r="B110" s="4" t="s">
        <v>460</v>
      </c>
      <c r="C110" s="4" t="s">
        <v>1646</v>
      </c>
      <c r="D110" s="4" t="s">
        <v>1647</v>
      </c>
      <c r="E110" s="4" t="s">
        <v>254</v>
      </c>
      <c r="F110" s="4" t="s">
        <v>4625</v>
      </c>
      <c r="G110" s="4" t="s">
        <v>4626</v>
      </c>
      <c r="H110" s="4" t="s">
        <v>26</v>
      </c>
      <c r="I110" s="4" t="s">
        <v>33</v>
      </c>
      <c r="J110" s="4" t="s">
        <v>27</v>
      </c>
      <c r="K110" s="4" t="s">
        <v>28</v>
      </c>
      <c r="L110" s="4" t="s">
        <v>28</v>
      </c>
      <c r="M110" s="4" t="s">
        <v>34</v>
      </c>
      <c r="N110" s="4" t="s">
        <v>28</v>
      </c>
    </row>
    <row r="111" spans="1:14" ht="14.4" thickBot="1" x14ac:dyDescent="0.35">
      <c r="A111" s="4" t="s">
        <v>19</v>
      </c>
      <c r="B111" s="4" t="s">
        <v>460</v>
      </c>
      <c r="C111" s="4" t="s">
        <v>1646</v>
      </c>
      <c r="D111" s="4" t="s">
        <v>1647</v>
      </c>
      <c r="E111" s="4" t="s">
        <v>254</v>
      </c>
      <c r="F111" s="4" t="s">
        <v>6007</v>
      </c>
      <c r="G111" s="4" t="s">
        <v>6008</v>
      </c>
      <c r="H111" s="4" t="s">
        <v>135</v>
      </c>
      <c r="I111" s="4" t="s">
        <v>33</v>
      </c>
      <c r="J111" s="4" t="s">
        <v>27</v>
      </c>
      <c r="K111" s="4" t="s">
        <v>28</v>
      </c>
      <c r="L111" s="4" t="s">
        <v>28</v>
      </c>
      <c r="M111" s="4" t="s">
        <v>34</v>
      </c>
      <c r="N111" s="4" t="s">
        <v>28</v>
      </c>
    </row>
    <row r="112" spans="1:14" ht="14.4" thickBot="1" x14ac:dyDescent="0.35">
      <c r="A112" s="4" t="s">
        <v>19</v>
      </c>
      <c r="B112" s="4" t="s">
        <v>460</v>
      </c>
      <c r="C112" s="4" t="s">
        <v>1646</v>
      </c>
      <c r="D112" s="4" t="s">
        <v>1647</v>
      </c>
      <c r="E112" s="4" t="s">
        <v>254</v>
      </c>
      <c r="F112" s="4" t="s">
        <v>6009</v>
      </c>
      <c r="G112" s="4" t="s">
        <v>6010</v>
      </c>
      <c r="H112" s="4" t="s">
        <v>26</v>
      </c>
      <c r="I112" s="4" t="s">
        <v>26</v>
      </c>
      <c r="J112" s="4" t="s">
        <v>27</v>
      </c>
      <c r="K112" s="4" t="s">
        <v>28</v>
      </c>
      <c r="L112" s="4" t="s">
        <v>28</v>
      </c>
      <c r="M112" s="4" t="s">
        <v>34</v>
      </c>
      <c r="N112" s="4" t="s">
        <v>28</v>
      </c>
    </row>
    <row r="113" spans="1:14" ht="14.4" thickBot="1" x14ac:dyDescent="0.35">
      <c r="A113" s="4" t="s">
        <v>19</v>
      </c>
      <c r="B113" s="4" t="s">
        <v>460</v>
      </c>
      <c r="C113" s="4" t="s">
        <v>1646</v>
      </c>
      <c r="D113" s="4" t="s">
        <v>1647</v>
      </c>
      <c r="E113" s="4" t="s">
        <v>254</v>
      </c>
      <c r="F113" s="4" t="s">
        <v>6132</v>
      </c>
      <c r="G113" s="4" t="s">
        <v>6133</v>
      </c>
      <c r="H113" s="4" t="s">
        <v>26</v>
      </c>
      <c r="I113" s="4" t="s">
        <v>26</v>
      </c>
      <c r="J113" s="4" t="s">
        <v>27</v>
      </c>
      <c r="K113" s="4" t="s">
        <v>28</v>
      </c>
      <c r="L113" s="4" t="s">
        <v>28</v>
      </c>
      <c r="M113" s="4" t="s">
        <v>130</v>
      </c>
      <c r="N113" s="5"/>
    </row>
    <row r="114" spans="1:14" ht="14.4" thickBot="1" x14ac:dyDescent="0.35">
      <c r="A114" s="4" t="s">
        <v>19</v>
      </c>
      <c r="B114" s="4" t="s">
        <v>460</v>
      </c>
      <c r="C114" s="4" t="s">
        <v>473</v>
      </c>
      <c r="D114" s="4" t="s">
        <v>474</v>
      </c>
      <c r="E114" s="4" t="s">
        <v>254</v>
      </c>
      <c r="F114" s="4" t="s">
        <v>475</v>
      </c>
      <c r="G114" s="4" t="s">
        <v>476</v>
      </c>
      <c r="H114" s="4" t="s">
        <v>26</v>
      </c>
      <c r="I114" s="4" t="s">
        <v>33</v>
      </c>
      <c r="J114" s="4" t="s">
        <v>27</v>
      </c>
      <c r="K114" s="4" t="s">
        <v>28</v>
      </c>
      <c r="L114" s="4" t="s">
        <v>28</v>
      </c>
      <c r="M114" s="4" t="s">
        <v>34</v>
      </c>
      <c r="N114" s="4" t="s">
        <v>28</v>
      </c>
    </row>
    <row r="115" spans="1:14" ht="14.4" thickBot="1" x14ac:dyDescent="0.35">
      <c r="A115" s="4" t="s">
        <v>19</v>
      </c>
      <c r="B115" s="4" t="s">
        <v>460</v>
      </c>
      <c r="C115" s="4" t="s">
        <v>473</v>
      </c>
      <c r="D115" s="4" t="s">
        <v>474</v>
      </c>
      <c r="E115" s="4" t="s">
        <v>254</v>
      </c>
      <c r="F115" s="4" t="s">
        <v>579</v>
      </c>
      <c r="G115" s="4" t="s">
        <v>580</v>
      </c>
      <c r="H115" s="4" t="s">
        <v>26</v>
      </c>
      <c r="I115" s="4" t="s">
        <v>486</v>
      </c>
      <c r="J115" s="5"/>
      <c r="K115" s="5"/>
      <c r="L115" s="5"/>
      <c r="M115" s="4" t="s">
        <v>29</v>
      </c>
      <c r="N115" s="5"/>
    </row>
    <row r="116" spans="1:14" ht="14.4" thickBot="1" x14ac:dyDescent="0.35">
      <c r="A116" s="4" t="s">
        <v>19</v>
      </c>
      <c r="B116" s="4" t="s">
        <v>460</v>
      </c>
      <c r="C116" s="4" t="s">
        <v>473</v>
      </c>
      <c r="D116" s="4" t="s">
        <v>474</v>
      </c>
      <c r="E116" s="4" t="s">
        <v>254</v>
      </c>
      <c r="F116" s="4" t="s">
        <v>1397</v>
      </c>
      <c r="G116" s="4" t="s">
        <v>1398</v>
      </c>
      <c r="H116" s="4" t="s">
        <v>135</v>
      </c>
      <c r="I116" s="4" t="s">
        <v>94</v>
      </c>
      <c r="J116" s="4" t="s">
        <v>27</v>
      </c>
      <c r="K116" s="4" t="s">
        <v>28</v>
      </c>
      <c r="L116" s="4" t="s">
        <v>28</v>
      </c>
      <c r="M116" s="4" t="s">
        <v>34</v>
      </c>
      <c r="N116" s="4" t="s">
        <v>27</v>
      </c>
    </row>
    <row r="117" spans="1:14" ht="14.4" thickBot="1" x14ac:dyDescent="0.35">
      <c r="A117" s="4" t="s">
        <v>19</v>
      </c>
      <c r="B117" s="4" t="s">
        <v>460</v>
      </c>
      <c r="C117" s="4" t="s">
        <v>473</v>
      </c>
      <c r="D117" s="4" t="s">
        <v>474</v>
      </c>
      <c r="E117" s="4" t="s">
        <v>254</v>
      </c>
      <c r="F117" s="4" t="s">
        <v>1399</v>
      </c>
      <c r="G117" s="4" t="s">
        <v>1400</v>
      </c>
      <c r="H117" s="4" t="s">
        <v>26</v>
      </c>
      <c r="I117" s="4" t="s">
        <v>26</v>
      </c>
      <c r="J117" s="4" t="s">
        <v>27</v>
      </c>
      <c r="K117" s="4" t="s">
        <v>28</v>
      </c>
      <c r="L117" s="4" t="s">
        <v>28</v>
      </c>
      <c r="M117" s="4" t="s">
        <v>34</v>
      </c>
      <c r="N117" s="4" t="s">
        <v>28</v>
      </c>
    </row>
    <row r="118" spans="1:14" ht="14.4" thickBot="1" x14ac:dyDescent="0.35">
      <c r="A118" s="4" t="s">
        <v>19</v>
      </c>
      <c r="B118" s="4" t="s">
        <v>460</v>
      </c>
      <c r="C118" s="4" t="s">
        <v>473</v>
      </c>
      <c r="D118" s="4" t="s">
        <v>474</v>
      </c>
      <c r="E118" s="4" t="s">
        <v>254</v>
      </c>
      <c r="F118" s="4" t="s">
        <v>1401</v>
      </c>
      <c r="G118" s="4" t="s">
        <v>1402</v>
      </c>
      <c r="H118" s="4" t="s">
        <v>37</v>
      </c>
      <c r="I118" s="4" t="s">
        <v>38</v>
      </c>
      <c r="J118" s="4" t="s">
        <v>28</v>
      </c>
      <c r="K118" s="4" t="s">
        <v>28</v>
      </c>
      <c r="L118" s="4" t="s">
        <v>27</v>
      </c>
      <c r="M118" s="4" t="s">
        <v>34</v>
      </c>
      <c r="N118" s="4" t="s">
        <v>28</v>
      </c>
    </row>
    <row r="119" spans="1:14" ht="14.4" thickBot="1" x14ac:dyDescent="0.35">
      <c r="A119" s="4" t="s">
        <v>19</v>
      </c>
      <c r="B119" s="4" t="s">
        <v>460</v>
      </c>
      <c r="C119" s="4" t="s">
        <v>473</v>
      </c>
      <c r="D119" s="4" t="s">
        <v>474</v>
      </c>
      <c r="E119" s="4" t="s">
        <v>254</v>
      </c>
      <c r="F119" s="4" t="s">
        <v>1517</v>
      </c>
      <c r="G119" s="4" t="s">
        <v>1518</v>
      </c>
      <c r="H119" s="4" t="s">
        <v>26</v>
      </c>
      <c r="I119" s="4" t="s">
        <v>116</v>
      </c>
      <c r="J119" s="4" t="s">
        <v>27</v>
      </c>
      <c r="K119" s="4" t="s">
        <v>28</v>
      </c>
      <c r="L119" s="4" t="s">
        <v>28</v>
      </c>
      <c r="M119" s="4" t="s">
        <v>29</v>
      </c>
      <c r="N119" s="4" t="s">
        <v>28</v>
      </c>
    </row>
    <row r="120" spans="1:14" ht="14.4" thickBot="1" x14ac:dyDescent="0.35">
      <c r="A120" s="4" t="s">
        <v>19</v>
      </c>
      <c r="B120" s="4" t="s">
        <v>460</v>
      </c>
      <c r="C120" s="4" t="s">
        <v>473</v>
      </c>
      <c r="D120" s="4" t="s">
        <v>474</v>
      </c>
      <c r="E120" s="4" t="s">
        <v>254</v>
      </c>
      <c r="F120" s="4" t="s">
        <v>1519</v>
      </c>
      <c r="G120" s="4" t="s">
        <v>1520</v>
      </c>
      <c r="H120" s="4" t="s">
        <v>26</v>
      </c>
      <c r="I120" s="4" t="s">
        <v>38</v>
      </c>
      <c r="J120" s="5"/>
      <c r="K120" s="5"/>
      <c r="L120" s="5"/>
      <c r="M120" s="4" t="s">
        <v>29</v>
      </c>
      <c r="N120" s="5"/>
    </row>
    <row r="121" spans="1:14" ht="14.4" thickBot="1" x14ac:dyDescent="0.35">
      <c r="A121" s="4" t="s">
        <v>19</v>
      </c>
      <c r="B121" s="4" t="s">
        <v>460</v>
      </c>
      <c r="C121" s="4" t="s">
        <v>473</v>
      </c>
      <c r="D121" s="4" t="s">
        <v>474</v>
      </c>
      <c r="E121" s="4" t="s">
        <v>254</v>
      </c>
      <c r="F121" s="4" t="s">
        <v>2175</v>
      </c>
      <c r="G121" s="4" t="s">
        <v>2176</v>
      </c>
      <c r="H121" s="4" t="s">
        <v>26</v>
      </c>
      <c r="I121" s="4" t="s">
        <v>33</v>
      </c>
      <c r="J121" s="4" t="s">
        <v>27</v>
      </c>
      <c r="K121" s="4" t="s">
        <v>28</v>
      </c>
      <c r="L121" s="4" t="s">
        <v>28</v>
      </c>
      <c r="M121" s="4" t="s">
        <v>34</v>
      </c>
      <c r="N121" s="4" t="s">
        <v>28</v>
      </c>
    </row>
    <row r="122" spans="1:14" ht="14.4" thickBot="1" x14ac:dyDescent="0.35">
      <c r="A122" s="4" t="s">
        <v>19</v>
      </c>
      <c r="B122" s="4" t="s">
        <v>460</v>
      </c>
      <c r="C122" s="4" t="s">
        <v>473</v>
      </c>
      <c r="D122" s="4" t="s">
        <v>474</v>
      </c>
      <c r="E122" s="4" t="s">
        <v>254</v>
      </c>
      <c r="F122" s="4" t="s">
        <v>2177</v>
      </c>
      <c r="G122" s="4" t="s">
        <v>2178</v>
      </c>
      <c r="H122" s="4" t="s">
        <v>26</v>
      </c>
      <c r="I122" s="4" t="s">
        <v>33</v>
      </c>
      <c r="J122" s="4" t="s">
        <v>27</v>
      </c>
      <c r="K122" s="4" t="s">
        <v>28</v>
      </c>
      <c r="L122" s="4" t="s">
        <v>28</v>
      </c>
      <c r="M122" s="4" t="s">
        <v>34</v>
      </c>
      <c r="N122" s="4" t="s">
        <v>28</v>
      </c>
    </row>
    <row r="123" spans="1:14" ht="14.4" thickBot="1" x14ac:dyDescent="0.35">
      <c r="A123" s="4" t="s">
        <v>19</v>
      </c>
      <c r="B123" s="4" t="s">
        <v>460</v>
      </c>
      <c r="C123" s="4" t="s">
        <v>473</v>
      </c>
      <c r="D123" s="4" t="s">
        <v>474</v>
      </c>
      <c r="E123" s="4" t="s">
        <v>254</v>
      </c>
      <c r="F123" s="4" t="s">
        <v>2179</v>
      </c>
      <c r="G123" s="4" t="s">
        <v>2180</v>
      </c>
      <c r="H123" s="4" t="s">
        <v>26</v>
      </c>
      <c r="I123" s="4" t="s">
        <v>94</v>
      </c>
      <c r="J123" s="4" t="s">
        <v>27</v>
      </c>
      <c r="K123" s="4" t="s">
        <v>28</v>
      </c>
      <c r="L123" s="4" t="s">
        <v>28</v>
      </c>
      <c r="M123" s="4" t="s">
        <v>34</v>
      </c>
      <c r="N123" s="4" t="s">
        <v>27</v>
      </c>
    </row>
    <row r="124" spans="1:14" ht="14.4" thickBot="1" x14ac:dyDescent="0.35">
      <c r="A124" s="4" t="s">
        <v>19</v>
      </c>
      <c r="B124" s="4" t="s">
        <v>460</v>
      </c>
      <c r="C124" s="4" t="s">
        <v>473</v>
      </c>
      <c r="D124" s="4" t="s">
        <v>474</v>
      </c>
      <c r="E124" s="4" t="s">
        <v>254</v>
      </c>
      <c r="F124" s="4" t="s">
        <v>2915</v>
      </c>
      <c r="G124" s="4" t="s">
        <v>2916</v>
      </c>
      <c r="H124" s="4" t="s">
        <v>26</v>
      </c>
      <c r="I124" s="4" t="s">
        <v>33</v>
      </c>
      <c r="J124" s="4" t="s">
        <v>27</v>
      </c>
      <c r="K124" s="4" t="s">
        <v>28</v>
      </c>
      <c r="L124" s="4" t="s">
        <v>28</v>
      </c>
      <c r="M124" s="4" t="s">
        <v>34</v>
      </c>
      <c r="N124" s="4" t="s">
        <v>28</v>
      </c>
    </row>
    <row r="125" spans="1:14" ht="14.4" thickBot="1" x14ac:dyDescent="0.35">
      <c r="A125" s="4" t="s">
        <v>19</v>
      </c>
      <c r="B125" s="4" t="s">
        <v>460</v>
      </c>
      <c r="C125" s="4" t="s">
        <v>473</v>
      </c>
      <c r="D125" s="4" t="s">
        <v>474</v>
      </c>
      <c r="E125" s="4" t="s">
        <v>254</v>
      </c>
      <c r="F125" s="4" t="s">
        <v>2917</v>
      </c>
      <c r="G125" s="4" t="s">
        <v>2918</v>
      </c>
      <c r="H125" s="4" t="s">
        <v>37</v>
      </c>
      <c r="I125" s="4" t="s">
        <v>38</v>
      </c>
      <c r="J125" s="4" t="s">
        <v>28</v>
      </c>
      <c r="K125" s="4" t="s">
        <v>28</v>
      </c>
      <c r="L125" s="4" t="s">
        <v>27</v>
      </c>
      <c r="M125" s="4" t="s">
        <v>34</v>
      </c>
      <c r="N125" s="4" t="s">
        <v>28</v>
      </c>
    </row>
    <row r="126" spans="1:14" ht="14.4" thickBot="1" x14ac:dyDescent="0.35">
      <c r="A126" s="4" t="s">
        <v>19</v>
      </c>
      <c r="B126" s="4" t="s">
        <v>460</v>
      </c>
      <c r="C126" s="4" t="s">
        <v>473</v>
      </c>
      <c r="D126" s="4" t="s">
        <v>474</v>
      </c>
      <c r="E126" s="4" t="s">
        <v>254</v>
      </c>
      <c r="F126" s="4" t="s">
        <v>2919</v>
      </c>
      <c r="G126" s="4" t="s">
        <v>2920</v>
      </c>
      <c r="H126" s="4" t="s">
        <v>69</v>
      </c>
      <c r="I126" s="4" t="s">
        <v>94</v>
      </c>
      <c r="J126" s="4" t="s">
        <v>28</v>
      </c>
      <c r="K126" s="4" t="s">
        <v>27</v>
      </c>
      <c r="L126" s="4" t="s">
        <v>28</v>
      </c>
      <c r="M126" s="4" t="s">
        <v>34</v>
      </c>
      <c r="N126" s="4" t="s">
        <v>28</v>
      </c>
    </row>
    <row r="127" spans="1:14" ht="14.4" thickBot="1" x14ac:dyDescent="0.35">
      <c r="A127" s="4" t="s">
        <v>19</v>
      </c>
      <c r="B127" s="4" t="s">
        <v>460</v>
      </c>
      <c r="C127" s="4" t="s">
        <v>473</v>
      </c>
      <c r="D127" s="4" t="s">
        <v>474</v>
      </c>
      <c r="E127" s="4" t="s">
        <v>254</v>
      </c>
      <c r="F127" s="4" t="s">
        <v>2921</v>
      </c>
      <c r="G127" s="4" t="s">
        <v>2922</v>
      </c>
      <c r="H127" s="4" t="s">
        <v>26</v>
      </c>
      <c r="I127" s="4" t="s">
        <v>33</v>
      </c>
      <c r="J127" s="4" t="s">
        <v>27</v>
      </c>
      <c r="K127" s="4" t="s">
        <v>28</v>
      </c>
      <c r="L127" s="4" t="s">
        <v>28</v>
      </c>
      <c r="M127" s="4" t="s">
        <v>34</v>
      </c>
      <c r="N127" s="4" t="s">
        <v>28</v>
      </c>
    </row>
    <row r="128" spans="1:14" ht="14.4" thickBot="1" x14ac:dyDescent="0.35">
      <c r="A128" s="4" t="s">
        <v>19</v>
      </c>
      <c r="B128" s="4" t="s">
        <v>460</v>
      </c>
      <c r="C128" s="4" t="s">
        <v>473</v>
      </c>
      <c r="D128" s="4" t="s">
        <v>474</v>
      </c>
      <c r="E128" s="4" t="s">
        <v>254</v>
      </c>
      <c r="F128" s="4" t="s">
        <v>2923</v>
      </c>
      <c r="G128" s="4" t="s">
        <v>2924</v>
      </c>
      <c r="H128" s="4" t="s">
        <v>69</v>
      </c>
      <c r="I128" s="4" t="s">
        <v>38</v>
      </c>
      <c r="J128" s="4" t="s">
        <v>28</v>
      </c>
      <c r="K128" s="4" t="s">
        <v>28</v>
      </c>
      <c r="L128" s="4" t="s">
        <v>27</v>
      </c>
      <c r="M128" s="4" t="s">
        <v>34</v>
      </c>
      <c r="N128" s="4" t="s">
        <v>28</v>
      </c>
    </row>
    <row r="129" spans="1:14" ht="14.4" thickBot="1" x14ac:dyDescent="0.35">
      <c r="A129" s="4" t="s">
        <v>19</v>
      </c>
      <c r="B129" s="4" t="s">
        <v>460</v>
      </c>
      <c r="C129" s="4" t="s">
        <v>473</v>
      </c>
      <c r="D129" s="4" t="s">
        <v>474</v>
      </c>
      <c r="E129" s="4" t="s">
        <v>254</v>
      </c>
      <c r="F129" s="4" t="s">
        <v>3660</v>
      </c>
      <c r="G129" s="4" t="s">
        <v>3661</v>
      </c>
      <c r="H129" s="4" t="s">
        <v>37</v>
      </c>
      <c r="I129" s="4" t="s">
        <v>38</v>
      </c>
      <c r="J129" s="4" t="s">
        <v>28</v>
      </c>
      <c r="K129" s="4" t="s">
        <v>28</v>
      </c>
      <c r="L129" s="4" t="s">
        <v>27</v>
      </c>
      <c r="M129" s="4" t="s">
        <v>34</v>
      </c>
      <c r="N129" s="4" t="s">
        <v>28</v>
      </c>
    </row>
    <row r="130" spans="1:14" ht="14.4" thickBot="1" x14ac:dyDescent="0.35">
      <c r="A130" s="4" t="s">
        <v>19</v>
      </c>
      <c r="B130" s="4" t="s">
        <v>460</v>
      </c>
      <c r="C130" s="4" t="s">
        <v>473</v>
      </c>
      <c r="D130" s="4" t="s">
        <v>474</v>
      </c>
      <c r="E130" s="4" t="s">
        <v>254</v>
      </c>
      <c r="F130" s="4" t="s">
        <v>3662</v>
      </c>
      <c r="G130" s="4" t="s">
        <v>3663</v>
      </c>
      <c r="H130" s="4" t="s">
        <v>26</v>
      </c>
      <c r="I130" s="4" t="s">
        <v>33</v>
      </c>
      <c r="J130" s="4" t="s">
        <v>27</v>
      </c>
      <c r="K130" s="4" t="s">
        <v>28</v>
      </c>
      <c r="L130" s="4" t="s">
        <v>28</v>
      </c>
      <c r="M130" s="4" t="s">
        <v>34</v>
      </c>
      <c r="N130" s="4" t="s">
        <v>28</v>
      </c>
    </row>
    <row r="131" spans="1:14" ht="14.4" thickBot="1" x14ac:dyDescent="0.35">
      <c r="A131" s="4" t="s">
        <v>19</v>
      </c>
      <c r="B131" s="4" t="s">
        <v>460</v>
      </c>
      <c r="C131" s="4" t="s">
        <v>473</v>
      </c>
      <c r="D131" s="4" t="s">
        <v>474</v>
      </c>
      <c r="E131" s="4" t="s">
        <v>254</v>
      </c>
      <c r="F131" s="4" t="s">
        <v>3664</v>
      </c>
      <c r="G131" s="4" t="s">
        <v>3665</v>
      </c>
      <c r="H131" s="4" t="s">
        <v>69</v>
      </c>
      <c r="I131" s="4" t="s">
        <v>94</v>
      </c>
      <c r="J131" s="4" t="s">
        <v>28</v>
      </c>
      <c r="K131" s="4" t="s">
        <v>27</v>
      </c>
      <c r="L131" s="4" t="s">
        <v>28</v>
      </c>
      <c r="M131" s="4" t="s">
        <v>34</v>
      </c>
      <c r="N131" s="4" t="s">
        <v>28</v>
      </c>
    </row>
    <row r="132" spans="1:14" ht="14.4" thickBot="1" x14ac:dyDescent="0.35">
      <c r="A132" s="4" t="s">
        <v>19</v>
      </c>
      <c r="B132" s="4" t="s">
        <v>460</v>
      </c>
      <c r="C132" s="4" t="s">
        <v>473</v>
      </c>
      <c r="D132" s="4" t="s">
        <v>474</v>
      </c>
      <c r="E132" s="4" t="s">
        <v>254</v>
      </c>
      <c r="F132" s="4" t="s">
        <v>3666</v>
      </c>
      <c r="G132" s="4" t="s">
        <v>3667</v>
      </c>
      <c r="H132" s="4" t="s">
        <v>26</v>
      </c>
      <c r="I132" s="4" t="s">
        <v>33</v>
      </c>
      <c r="J132" s="4" t="s">
        <v>27</v>
      </c>
      <c r="K132" s="4" t="s">
        <v>28</v>
      </c>
      <c r="L132" s="4" t="s">
        <v>28</v>
      </c>
      <c r="M132" s="4" t="s">
        <v>34</v>
      </c>
      <c r="N132" s="4" t="s">
        <v>28</v>
      </c>
    </row>
    <row r="133" spans="1:14" ht="14.4" thickBot="1" x14ac:dyDescent="0.35">
      <c r="A133" s="4" t="s">
        <v>19</v>
      </c>
      <c r="B133" s="4" t="s">
        <v>460</v>
      </c>
      <c r="C133" s="4" t="s">
        <v>473</v>
      </c>
      <c r="D133" s="4" t="s">
        <v>474</v>
      </c>
      <c r="E133" s="4" t="s">
        <v>254</v>
      </c>
      <c r="F133" s="4" t="s">
        <v>3729</v>
      </c>
      <c r="G133" s="4" t="s">
        <v>3730</v>
      </c>
      <c r="H133" s="4" t="s">
        <v>26</v>
      </c>
      <c r="I133" s="4" t="s">
        <v>33</v>
      </c>
      <c r="J133" s="4" t="s">
        <v>27</v>
      </c>
      <c r="K133" s="4" t="s">
        <v>28</v>
      </c>
      <c r="L133" s="4" t="s">
        <v>28</v>
      </c>
      <c r="M133" s="4" t="s">
        <v>29</v>
      </c>
      <c r="N133" s="4" t="s">
        <v>28</v>
      </c>
    </row>
    <row r="134" spans="1:14" ht="14.4" thickBot="1" x14ac:dyDescent="0.35">
      <c r="A134" s="4" t="s">
        <v>19</v>
      </c>
      <c r="B134" s="4" t="s">
        <v>460</v>
      </c>
      <c r="C134" s="4" t="s">
        <v>473</v>
      </c>
      <c r="D134" s="4" t="s">
        <v>474</v>
      </c>
      <c r="E134" s="4" t="s">
        <v>254</v>
      </c>
      <c r="F134" s="4" t="s">
        <v>4435</v>
      </c>
      <c r="G134" s="4" t="s">
        <v>4436</v>
      </c>
      <c r="H134" s="4" t="s">
        <v>135</v>
      </c>
      <c r="I134" s="4" t="s">
        <v>94</v>
      </c>
      <c r="J134" s="4" t="s">
        <v>27</v>
      </c>
      <c r="K134" s="4" t="s">
        <v>28</v>
      </c>
      <c r="L134" s="4" t="s">
        <v>28</v>
      </c>
      <c r="M134" s="4" t="s">
        <v>34</v>
      </c>
      <c r="N134" s="4" t="s">
        <v>27</v>
      </c>
    </row>
    <row r="135" spans="1:14" ht="14.4" thickBot="1" x14ac:dyDescent="0.35">
      <c r="A135" s="4" t="s">
        <v>19</v>
      </c>
      <c r="B135" s="4" t="s">
        <v>460</v>
      </c>
      <c r="C135" s="4" t="s">
        <v>473</v>
      </c>
      <c r="D135" s="4" t="s">
        <v>474</v>
      </c>
      <c r="E135" s="4" t="s">
        <v>254</v>
      </c>
      <c r="F135" s="4" t="s">
        <v>4513</v>
      </c>
      <c r="G135" s="4" t="s">
        <v>4514</v>
      </c>
      <c r="H135" s="4" t="s">
        <v>37</v>
      </c>
      <c r="I135" s="4" t="s">
        <v>38</v>
      </c>
      <c r="J135" s="4" t="s">
        <v>28</v>
      </c>
      <c r="K135" s="4" t="s">
        <v>28</v>
      </c>
      <c r="L135" s="4" t="s">
        <v>27</v>
      </c>
      <c r="M135" s="4" t="s">
        <v>29</v>
      </c>
      <c r="N135" s="4" t="s">
        <v>28</v>
      </c>
    </row>
    <row r="136" spans="1:14" ht="14.4" thickBot="1" x14ac:dyDescent="0.35">
      <c r="A136" s="4" t="s">
        <v>19</v>
      </c>
      <c r="B136" s="4" t="s">
        <v>460</v>
      </c>
      <c r="C136" s="4" t="s">
        <v>473</v>
      </c>
      <c r="D136" s="4" t="s">
        <v>474</v>
      </c>
      <c r="E136" s="4" t="s">
        <v>254</v>
      </c>
      <c r="F136" s="4" t="s">
        <v>5132</v>
      </c>
      <c r="G136" s="4" t="s">
        <v>5133</v>
      </c>
      <c r="H136" s="4" t="s">
        <v>69</v>
      </c>
      <c r="I136" s="4" t="s">
        <v>94</v>
      </c>
      <c r="J136" s="4" t="s">
        <v>28</v>
      </c>
      <c r="K136" s="4" t="s">
        <v>27</v>
      </c>
      <c r="L136" s="4" t="s">
        <v>28</v>
      </c>
      <c r="M136" s="4" t="s">
        <v>34</v>
      </c>
      <c r="N136" s="4" t="s">
        <v>28</v>
      </c>
    </row>
    <row r="137" spans="1:14" ht="14.4" thickBot="1" x14ac:dyDescent="0.35">
      <c r="A137" s="4" t="s">
        <v>19</v>
      </c>
      <c r="B137" s="4" t="s">
        <v>460</v>
      </c>
      <c r="C137" s="4" t="s">
        <v>473</v>
      </c>
      <c r="D137" s="4" t="s">
        <v>474</v>
      </c>
      <c r="E137" s="4" t="s">
        <v>254</v>
      </c>
      <c r="F137" s="4" t="s">
        <v>5134</v>
      </c>
      <c r="G137" s="4" t="s">
        <v>5135</v>
      </c>
      <c r="H137" s="4" t="s">
        <v>135</v>
      </c>
      <c r="I137" s="4" t="s">
        <v>94</v>
      </c>
      <c r="J137" s="4" t="s">
        <v>27</v>
      </c>
      <c r="K137" s="4" t="s">
        <v>28</v>
      </c>
      <c r="L137" s="4" t="s">
        <v>28</v>
      </c>
      <c r="M137" s="4" t="s">
        <v>34</v>
      </c>
      <c r="N137" s="4" t="s">
        <v>27</v>
      </c>
    </row>
    <row r="138" spans="1:14" ht="14.4" thickBot="1" x14ac:dyDescent="0.35">
      <c r="A138" s="4" t="s">
        <v>19</v>
      </c>
      <c r="B138" s="4" t="s">
        <v>460</v>
      </c>
      <c r="C138" s="4" t="s">
        <v>473</v>
      </c>
      <c r="D138" s="4" t="s">
        <v>474</v>
      </c>
      <c r="E138" s="4" t="s">
        <v>254</v>
      </c>
      <c r="F138" s="4" t="s">
        <v>5136</v>
      </c>
      <c r="G138" s="4" t="s">
        <v>5137</v>
      </c>
      <c r="H138" s="4" t="s">
        <v>26</v>
      </c>
      <c r="I138" s="4" t="s">
        <v>33</v>
      </c>
      <c r="J138" s="4" t="s">
        <v>27</v>
      </c>
      <c r="K138" s="4" t="s">
        <v>28</v>
      </c>
      <c r="L138" s="4" t="s">
        <v>28</v>
      </c>
      <c r="M138" s="4" t="s">
        <v>34</v>
      </c>
      <c r="N138" s="4" t="s">
        <v>28</v>
      </c>
    </row>
    <row r="139" spans="1:14" ht="14.4" thickBot="1" x14ac:dyDescent="0.35">
      <c r="A139" s="4" t="s">
        <v>19</v>
      </c>
      <c r="B139" s="4" t="s">
        <v>460</v>
      </c>
      <c r="C139" s="4" t="s">
        <v>473</v>
      </c>
      <c r="D139" s="4" t="s">
        <v>474</v>
      </c>
      <c r="E139" s="4" t="s">
        <v>254</v>
      </c>
      <c r="F139" s="4" t="s">
        <v>5800</v>
      </c>
      <c r="G139" s="4" t="s">
        <v>5801</v>
      </c>
      <c r="H139" s="4" t="s">
        <v>26</v>
      </c>
      <c r="I139" s="4" t="s">
        <v>33</v>
      </c>
      <c r="J139" s="4" t="s">
        <v>27</v>
      </c>
      <c r="K139" s="4" t="s">
        <v>28</v>
      </c>
      <c r="L139" s="4" t="s">
        <v>28</v>
      </c>
      <c r="M139" s="4" t="s">
        <v>34</v>
      </c>
      <c r="N139" s="4" t="s">
        <v>28</v>
      </c>
    </row>
    <row r="140" spans="1:14" ht="14.4" thickBot="1" x14ac:dyDescent="0.35">
      <c r="A140" s="4" t="s">
        <v>19</v>
      </c>
      <c r="B140" s="4" t="s">
        <v>460</v>
      </c>
      <c r="C140" s="4" t="s">
        <v>473</v>
      </c>
      <c r="D140" s="4" t="s">
        <v>474</v>
      </c>
      <c r="E140" s="4" t="s">
        <v>254</v>
      </c>
      <c r="F140" s="4" t="s">
        <v>5802</v>
      </c>
      <c r="G140" s="4" t="s">
        <v>5803</v>
      </c>
      <c r="H140" s="4" t="s">
        <v>69</v>
      </c>
      <c r="I140" s="4" t="s">
        <v>94</v>
      </c>
      <c r="J140" s="4" t="s">
        <v>28</v>
      </c>
      <c r="K140" s="4" t="s">
        <v>27</v>
      </c>
      <c r="L140" s="4" t="s">
        <v>28</v>
      </c>
      <c r="M140" s="4" t="s">
        <v>34</v>
      </c>
      <c r="N140" s="4" t="s">
        <v>28</v>
      </c>
    </row>
    <row r="141" spans="1:14" ht="14.4" thickBot="1" x14ac:dyDescent="0.35">
      <c r="A141" s="4" t="s">
        <v>19</v>
      </c>
      <c r="B141" s="4" t="s">
        <v>460</v>
      </c>
      <c r="C141" s="4" t="s">
        <v>473</v>
      </c>
      <c r="D141" s="4" t="s">
        <v>474</v>
      </c>
      <c r="E141" s="4" t="s">
        <v>254</v>
      </c>
      <c r="F141" s="4" t="s">
        <v>5804</v>
      </c>
      <c r="G141" s="4" t="s">
        <v>5805</v>
      </c>
      <c r="H141" s="4" t="s">
        <v>37</v>
      </c>
      <c r="I141" s="4" t="s">
        <v>38</v>
      </c>
      <c r="J141" s="4" t="s">
        <v>28</v>
      </c>
      <c r="K141" s="4" t="s">
        <v>28</v>
      </c>
      <c r="L141" s="4" t="s">
        <v>27</v>
      </c>
      <c r="M141" s="4" t="s">
        <v>34</v>
      </c>
      <c r="N141" s="4" t="s">
        <v>27</v>
      </c>
    </row>
    <row r="142" spans="1:14" ht="14.4" thickBot="1" x14ac:dyDescent="0.35">
      <c r="A142" s="4" t="s">
        <v>19</v>
      </c>
      <c r="B142" s="4" t="s">
        <v>460</v>
      </c>
      <c r="C142" s="4" t="s">
        <v>473</v>
      </c>
      <c r="D142" s="4" t="s">
        <v>474</v>
      </c>
      <c r="E142" s="4" t="s">
        <v>254</v>
      </c>
      <c r="F142" s="4" t="s">
        <v>5806</v>
      </c>
      <c r="G142" s="4" t="s">
        <v>5807</v>
      </c>
      <c r="H142" s="4" t="s">
        <v>69</v>
      </c>
      <c r="I142" s="4" t="s">
        <v>94</v>
      </c>
      <c r="J142" s="4" t="s">
        <v>28</v>
      </c>
      <c r="K142" s="4" t="s">
        <v>27</v>
      </c>
      <c r="L142" s="4" t="s">
        <v>28</v>
      </c>
      <c r="M142" s="4" t="s">
        <v>34</v>
      </c>
      <c r="N142" s="4" t="s">
        <v>28</v>
      </c>
    </row>
    <row r="143" spans="1:14" ht="14.4" thickBot="1" x14ac:dyDescent="0.35">
      <c r="A143" s="4" t="s">
        <v>19</v>
      </c>
      <c r="B143" s="4" t="s">
        <v>460</v>
      </c>
      <c r="C143" s="4" t="s">
        <v>473</v>
      </c>
      <c r="D143" s="4" t="s">
        <v>474</v>
      </c>
      <c r="E143" s="4" t="s">
        <v>254</v>
      </c>
      <c r="F143" s="4" t="s">
        <v>5808</v>
      </c>
      <c r="G143" s="4" t="s">
        <v>5809</v>
      </c>
      <c r="H143" s="4" t="s">
        <v>26</v>
      </c>
      <c r="I143" s="4" t="s">
        <v>33</v>
      </c>
      <c r="J143" s="4" t="s">
        <v>27</v>
      </c>
      <c r="K143" s="4" t="s">
        <v>28</v>
      </c>
      <c r="L143" s="4" t="s">
        <v>28</v>
      </c>
      <c r="M143" s="4" t="s">
        <v>34</v>
      </c>
      <c r="N143" s="4" t="s">
        <v>28</v>
      </c>
    </row>
    <row r="144" spans="1:14" ht="14.4" thickBot="1" x14ac:dyDescent="0.35">
      <c r="A144" s="4" t="s">
        <v>19</v>
      </c>
      <c r="B144" s="4" t="s">
        <v>460</v>
      </c>
      <c r="C144" s="4" t="s">
        <v>473</v>
      </c>
      <c r="D144" s="4" t="s">
        <v>474</v>
      </c>
      <c r="E144" s="4" t="s">
        <v>254</v>
      </c>
      <c r="F144" s="4" t="s">
        <v>5810</v>
      </c>
      <c r="G144" s="4" t="s">
        <v>5811</v>
      </c>
      <c r="H144" s="4" t="s">
        <v>26</v>
      </c>
      <c r="I144" s="4" t="s">
        <v>33</v>
      </c>
      <c r="J144" s="4" t="s">
        <v>27</v>
      </c>
      <c r="K144" s="4" t="s">
        <v>28</v>
      </c>
      <c r="L144" s="4" t="s">
        <v>28</v>
      </c>
      <c r="M144" s="4" t="s">
        <v>34</v>
      </c>
      <c r="N144" s="4" t="s">
        <v>28</v>
      </c>
    </row>
    <row r="145" spans="1:14" ht="14.4" thickBot="1" x14ac:dyDescent="0.35">
      <c r="A145" s="4" t="s">
        <v>19</v>
      </c>
      <c r="B145" s="4" t="s">
        <v>460</v>
      </c>
      <c r="C145" s="4" t="s">
        <v>473</v>
      </c>
      <c r="D145" s="4" t="s">
        <v>474</v>
      </c>
      <c r="E145" s="4" t="s">
        <v>254</v>
      </c>
      <c r="F145" s="4" t="s">
        <v>5812</v>
      </c>
      <c r="G145" s="4" t="s">
        <v>3951</v>
      </c>
      <c r="H145" s="4" t="s">
        <v>26</v>
      </c>
      <c r="I145" s="4" t="s">
        <v>69</v>
      </c>
      <c r="J145" s="4" t="s">
        <v>27</v>
      </c>
      <c r="K145" s="4" t="s">
        <v>28</v>
      </c>
      <c r="L145" s="4" t="s">
        <v>28</v>
      </c>
      <c r="M145" s="4" t="s">
        <v>34</v>
      </c>
      <c r="N145" s="4" t="s">
        <v>28</v>
      </c>
    </row>
    <row r="146" spans="1:14" ht="14.4" thickBot="1" x14ac:dyDescent="0.35">
      <c r="A146" s="4" t="s">
        <v>19</v>
      </c>
      <c r="B146" s="4" t="s">
        <v>460</v>
      </c>
      <c r="C146" s="4" t="s">
        <v>473</v>
      </c>
      <c r="D146" s="4" t="s">
        <v>474</v>
      </c>
      <c r="E146" s="4" t="s">
        <v>254</v>
      </c>
      <c r="F146" s="4" t="s">
        <v>5875</v>
      </c>
      <c r="G146" s="4" t="s">
        <v>5876</v>
      </c>
      <c r="H146" s="4" t="s">
        <v>26</v>
      </c>
      <c r="I146" s="4" t="s">
        <v>26</v>
      </c>
      <c r="J146" s="4" t="s">
        <v>27</v>
      </c>
      <c r="K146" s="4" t="s">
        <v>28</v>
      </c>
      <c r="L146" s="4" t="s">
        <v>28</v>
      </c>
      <c r="M146" s="4" t="s">
        <v>130</v>
      </c>
      <c r="N146" s="4" t="s">
        <v>28</v>
      </c>
    </row>
    <row r="147" spans="1:14" ht="14.4" thickBot="1" x14ac:dyDescent="0.35">
      <c r="A147" s="4" t="s">
        <v>19</v>
      </c>
      <c r="B147" s="4" t="s">
        <v>460</v>
      </c>
      <c r="C147" s="4" t="s">
        <v>473</v>
      </c>
      <c r="D147" s="4" t="s">
        <v>474</v>
      </c>
      <c r="E147" s="4" t="s">
        <v>254</v>
      </c>
      <c r="F147" s="4" t="s">
        <v>5877</v>
      </c>
      <c r="G147" s="4" t="s">
        <v>5878</v>
      </c>
      <c r="H147" s="4" t="s">
        <v>26</v>
      </c>
      <c r="I147" s="4" t="s">
        <v>94</v>
      </c>
      <c r="J147" s="5"/>
      <c r="K147" s="5"/>
      <c r="L147" s="5"/>
      <c r="M147" s="4" t="s">
        <v>29</v>
      </c>
      <c r="N147" s="5"/>
    </row>
    <row r="148" spans="1:14" ht="14.4" thickBot="1" x14ac:dyDescent="0.35">
      <c r="A148" s="4" t="s">
        <v>19</v>
      </c>
      <c r="B148" s="4" t="s">
        <v>460</v>
      </c>
      <c r="C148" s="4" t="s">
        <v>473</v>
      </c>
      <c r="D148" s="4" t="s">
        <v>474</v>
      </c>
      <c r="E148" s="4" t="s">
        <v>254</v>
      </c>
      <c r="F148" s="4" t="s">
        <v>5879</v>
      </c>
      <c r="G148" s="4" t="s">
        <v>5880</v>
      </c>
      <c r="H148" s="4" t="s">
        <v>454</v>
      </c>
      <c r="I148" s="4" t="s">
        <v>38</v>
      </c>
      <c r="J148" s="4" t="s">
        <v>28</v>
      </c>
      <c r="K148" s="4" t="s">
        <v>28</v>
      </c>
      <c r="L148" s="4" t="s">
        <v>27</v>
      </c>
      <c r="M148" s="4" t="s">
        <v>181</v>
      </c>
      <c r="N148" s="4" t="s">
        <v>28</v>
      </c>
    </row>
    <row r="149" spans="1:14" ht="14.4" thickBot="1" x14ac:dyDescent="0.35">
      <c r="A149" s="4" t="s">
        <v>19</v>
      </c>
      <c r="B149" s="4" t="s">
        <v>460</v>
      </c>
      <c r="C149" s="4" t="s">
        <v>477</v>
      </c>
      <c r="D149" s="4" t="s">
        <v>478</v>
      </c>
      <c r="E149" s="4" t="s">
        <v>23</v>
      </c>
      <c r="F149" s="4" t="s">
        <v>479</v>
      </c>
      <c r="G149" s="4" t="s">
        <v>232</v>
      </c>
      <c r="H149" s="4" t="s">
        <v>135</v>
      </c>
      <c r="I149" s="4" t="s">
        <v>32</v>
      </c>
      <c r="J149" s="4" t="s">
        <v>27</v>
      </c>
      <c r="K149" s="4" t="s">
        <v>28</v>
      </c>
      <c r="L149" s="4" t="s">
        <v>28</v>
      </c>
      <c r="M149" s="4" t="s">
        <v>34</v>
      </c>
      <c r="N149" s="4" t="s">
        <v>28</v>
      </c>
    </row>
    <row r="150" spans="1:14" ht="14.4" thickBot="1" x14ac:dyDescent="0.35">
      <c r="A150" s="4" t="s">
        <v>19</v>
      </c>
      <c r="B150" s="4" t="s">
        <v>460</v>
      </c>
      <c r="C150" s="4" t="s">
        <v>477</v>
      </c>
      <c r="D150" s="4" t="s">
        <v>478</v>
      </c>
      <c r="E150" s="4" t="s">
        <v>23</v>
      </c>
      <c r="F150" s="4" t="s">
        <v>581</v>
      </c>
      <c r="G150" s="4" t="s">
        <v>582</v>
      </c>
      <c r="H150" s="4" t="s">
        <v>135</v>
      </c>
      <c r="I150" s="4" t="s">
        <v>38</v>
      </c>
      <c r="J150" s="4" t="s">
        <v>28</v>
      </c>
      <c r="K150" s="4" t="s">
        <v>28</v>
      </c>
      <c r="L150" s="4" t="s">
        <v>27</v>
      </c>
      <c r="M150" s="4" t="s">
        <v>29</v>
      </c>
      <c r="N150" s="4" t="s">
        <v>28</v>
      </c>
    </row>
    <row r="151" spans="1:14" ht="14.4" thickBot="1" x14ac:dyDescent="0.35">
      <c r="A151" s="4" t="s">
        <v>19</v>
      </c>
      <c r="B151" s="4" t="s">
        <v>460</v>
      </c>
      <c r="C151" s="4" t="s">
        <v>477</v>
      </c>
      <c r="D151" s="4" t="s">
        <v>478</v>
      </c>
      <c r="E151" s="4" t="s">
        <v>23</v>
      </c>
      <c r="F151" s="4" t="s">
        <v>1403</v>
      </c>
      <c r="G151" s="4" t="s">
        <v>1404</v>
      </c>
      <c r="H151" s="4" t="s">
        <v>454</v>
      </c>
      <c r="I151" s="4" t="s">
        <v>69</v>
      </c>
      <c r="J151" s="4" t="s">
        <v>27</v>
      </c>
      <c r="K151" s="4" t="s">
        <v>28</v>
      </c>
      <c r="L151" s="4" t="s">
        <v>28</v>
      </c>
      <c r="M151" s="4" t="s">
        <v>34</v>
      </c>
      <c r="N151" s="4" t="s">
        <v>28</v>
      </c>
    </row>
    <row r="152" spans="1:14" ht="14.4" thickBot="1" x14ac:dyDescent="0.35">
      <c r="A152" s="4" t="s">
        <v>19</v>
      </c>
      <c r="B152" s="4" t="s">
        <v>460</v>
      </c>
      <c r="C152" s="4" t="s">
        <v>477</v>
      </c>
      <c r="D152" s="4" t="s">
        <v>478</v>
      </c>
      <c r="E152" s="4" t="s">
        <v>23</v>
      </c>
      <c r="F152" s="4" t="s">
        <v>2181</v>
      </c>
      <c r="G152" s="4" t="s">
        <v>2182</v>
      </c>
      <c r="H152" s="4" t="s">
        <v>37</v>
      </c>
      <c r="I152" s="4" t="s">
        <v>38</v>
      </c>
      <c r="J152" s="4" t="s">
        <v>28</v>
      </c>
      <c r="K152" s="4" t="s">
        <v>28</v>
      </c>
      <c r="L152" s="4" t="s">
        <v>27</v>
      </c>
      <c r="M152" s="4" t="s">
        <v>34</v>
      </c>
      <c r="N152" s="4" t="s">
        <v>28</v>
      </c>
    </row>
    <row r="153" spans="1:14" ht="14.4" thickBot="1" x14ac:dyDescent="0.35">
      <c r="A153" s="4" t="s">
        <v>19</v>
      </c>
      <c r="B153" s="4" t="s">
        <v>460</v>
      </c>
      <c r="C153" s="4" t="s">
        <v>477</v>
      </c>
      <c r="D153" s="4" t="s">
        <v>478</v>
      </c>
      <c r="E153" s="4" t="s">
        <v>23</v>
      </c>
      <c r="F153" s="4" t="s">
        <v>4437</v>
      </c>
      <c r="G153" s="4" t="s">
        <v>4438</v>
      </c>
      <c r="H153" s="4" t="s">
        <v>26</v>
      </c>
      <c r="I153" s="4" t="s">
        <v>26</v>
      </c>
      <c r="J153" s="4" t="s">
        <v>27</v>
      </c>
      <c r="K153" s="4" t="s">
        <v>28</v>
      </c>
      <c r="L153" s="4" t="s">
        <v>28</v>
      </c>
      <c r="M153" s="4" t="s">
        <v>34</v>
      </c>
      <c r="N153" s="4" t="s">
        <v>28</v>
      </c>
    </row>
    <row r="154" spans="1:14" ht="14.4" thickBot="1" x14ac:dyDescent="0.35">
      <c r="A154" s="4" t="s">
        <v>19</v>
      </c>
      <c r="B154" s="4" t="s">
        <v>460</v>
      </c>
      <c r="C154" s="4" t="s">
        <v>477</v>
      </c>
      <c r="D154" s="4" t="s">
        <v>478</v>
      </c>
      <c r="E154" s="4" t="s">
        <v>23</v>
      </c>
      <c r="F154" s="4" t="s">
        <v>5813</v>
      </c>
      <c r="G154" s="4" t="s">
        <v>5814</v>
      </c>
      <c r="H154" s="4" t="s">
        <v>122</v>
      </c>
      <c r="I154" s="4" t="s">
        <v>94</v>
      </c>
      <c r="J154" s="4" t="s">
        <v>28</v>
      </c>
      <c r="K154" s="4" t="s">
        <v>27</v>
      </c>
      <c r="L154" s="4" t="s">
        <v>28</v>
      </c>
      <c r="M154" s="4" t="s">
        <v>34</v>
      </c>
      <c r="N154" s="4" t="s">
        <v>28</v>
      </c>
    </row>
    <row r="155" spans="1:14" ht="14.4" thickBot="1" x14ac:dyDescent="0.35">
      <c r="A155" s="4" t="s">
        <v>19</v>
      </c>
      <c r="B155" s="4" t="s">
        <v>460</v>
      </c>
      <c r="C155" s="4" t="s">
        <v>477</v>
      </c>
      <c r="D155" s="4" t="s">
        <v>478</v>
      </c>
      <c r="E155" s="4" t="s">
        <v>23</v>
      </c>
      <c r="F155" s="4" t="s">
        <v>5881</v>
      </c>
      <c r="G155" s="4" t="s">
        <v>5882</v>
      </c>
      <c r="H155" s="4" t="s">
        <v>26</v>
      </c>
      <c r="I155" s="4" t="s">
        <v>26</v>
      </c>
      <c r="J155" s="4" t="s">
        <v>27</v>
      </c>
      <c r="K155" s="4" t="s">
        <v>28</v>
      </c>
      <c r="L155" s="4" t="s">
        <v>28</v>
      </c>
      <c r="M155" s="4" t="s">
        <v>29</v>
      </c>
      <c r="N155" s="4" t="s">
        <v>28</v>
      </c>
    </row>
    <row r="156" spans="1:14" ht="14.4" thickBot="1" x14ac:dyDescent="0.35">
      <c r="A156" s="4" t="s">
        <v>19</v>
      </c>
      <c r="B156" s="4" t="s">
        <v>460</v>
      </c>
      <c r="C156" s="4" t="s">
        <v>1405</v>
      </c>
      <c r="D156" s="4" t="s">
        <v>1406</v>
      </c>
      <c r="E156" s="4" t="s">
        <v>48</v>
      </c>
      <c r="F156" s="4" t="s">
        <v>1407</v>
      </c>
      <c r="G156" s="4" t="s">
        <v>1408</v>
      </c>
      <c r="H156" s="4" t="s">
        <v>69</v>
      </c>
      <c r="I156" s="4" t="s">
        <v>94</v>
      </c>
      <c r="J156" s="4" t="s">
        <v>28</v>
      </c>
      <c r="K156" s="4" t="s">
        <v>27</v>
      </c>
      <c r="L156" s="4" t="s">
        <v>28</v>
      </c>
      <c r="M156" s="4" t="s">
        <v>34</v>
      </c>
      <c r="N156" s="4" t="s">
        <v>28</v>
      </c>
    </row>
    <row r="157" spans="1:14" ht="14.4" thickBot="1" x14ac:dyDescent="0.35">
      <c r="A157" s="4" t="s">
        <v>19</v>
      </c>
      <c r="B157" s="4" t="s">
        <v>460</v>
      </c>
      <c r="C157" s="4" t="s">
        <v>1405</v>
      </c>
      <c r="D157" s="4" t="s">
        <v>1406</v>
      </c>
      <c r="E157" s="4" t="s">
        <v>48</v>
      </c>
      <c r="F157" s="4" t="s">
        <v>2183</v>
      </c>
      <c r="G157" s="4" t="s">
        <v>2184</v>
      </c>
      <c r="H157" s="4" t="s">
        <v>26</v>
      </c>
      <c r="I157" s="4" t="s">
        <v>33</v>
      </c>
      <c r="J157" s="4" t="s">
        <v>27</v>
      </c>
      <c r="K157" s="4" t="s">
        <v>28</v>
      </c>
      <c r="L157" s="4" t="s">
        <v>28</v>
      </c>
      <c r="M157" s="4" t="s">
        <v>34</v>
      </c>
      <c r="N157" s="4" t="s">
        <v>28</v>
      </c>
    </row>
    <row r="158" spans="1:14" ht="14.4" thickBot="1" x14ac:dyDescent="0.35">
      <c r="A158" s="4" t="s">
        <v>19</v>
      </c>
      <c r="B158" s="4" t="s">
        <v>460</v>
      </c>
      <c r="C158" s="4" t="s">
        <v>1405</v>
      </c>
      <c r="D158" s="4" t="s">
        <v>1406</v>
      </c>
      <c r="E158" s="4" t="s">
        <v>48</v>
      </c>
      <c r="F158" s="4" t="s">
        <v>2925</v>
      </c>
      <c r="G158" s="4" t="s">
        <v>2926</v>
      </c>
      <c r="H158" s="4" t="s">
        <v>37</v>
      </c>
      <c r="I158" s="4" t="s">
        <v>38</v>
      </c>
      <c r="J158" s="4" t="s">
        <v>28</v>
      </c>
      <c r="K158" s="4" t="s">
        <v>28</v>
      </c>
      <c r="L158" s="4" t="s">
        <v>27</v>
      </c>
      <c r="M158" s="4" t="s">
        <v>34</v>
      </c>
      <c r="N158" s="4" t="s">
        <v>28</v>
      </c>
    </row>
    <row r="159" spans="1:14" ht="14.4" thickBot="1" x14ac:dyDescent="0.35">
      <c r="A159" s="4" t="s">
        <v>19</v>
      </c>
      <c r="B159" s="4" t="s">
        <v>460</v>
      </c>
      <c r="C159" s="4" t="s">
        <v>1405</v>
      </c>
      <c r="D159" s="4" t="s">
        <v>1406</v>
      </c>
      <c r="E159" s="4" t="s">
        <v>48</v>
      </c>
      <c r="F159" s="4" t="s">
        <v>2995</v>
      </c>
      <c r="G159" s="4" t="s">
        <v>2996</v>
      </c>
      <c r="H159" s="4" t="s">
        <v>26</v>
      </c>
      <c r="I159" s="4" t="s">
        <v>26</v>
      </c>
      <c r="J159" s="4" t="s">
        <v>27</v>
      </c>
      <c r="K159" s="4" t="s">
        <v>28</v>
      </c>
      <c r="L159" s="4" t="s">
        <v>28</v>
      </c>
      <c r="M159" s="4" t="s">
        <v>29</v>
      </c>
      <c r="N159" s="4" t="s">
        <v>28</v>
      </c>
    </row>
    <row r="160" spans="1:14" ht="14.4" thickBot="1" x14ac:dyDescent="0.35">
      <c r="A160" s="4" t="s">
        <v>19</v>
      </c>
      <c r="B160" s="4" t="s">
        <v>460</v>
      </c>
      <c r="C160" s="4" t="s">
        <v>1405</v>
      </c>
      <c r="D160" s="4" t="s">
        <v>1406</v>
      </c>
      <c r="E160" s="4" t="s">
        <v>48</v>
      </c>
      <c r="F160" s="4" t="s">
        <v>3668</v>
      </c>
      <c r="G160" s="4" t="s">
        <v>3669</v>
      </c>
      <c r="H160" s="4" t="s">
        <v>37</v>
      </c>
      <c r="I160" s="4" t="s">
        <v>38</v>
      </c>
      <c r="J160" s="4" t="s">
        <v>28</v>
      </c>
      <c r="K160" s="4" t="s">
        <v>28</v>
      </c>
      <c r="L160" s="4" t="s">
        <v>27</v>
      </c>
      <c r="M160" s="4" t="s">
        <v>34</v>
      </c>
      <c r="N160" s="4" t="s">
        <v>28</v>
      </c>
    </row>
    <row r="161" spans="1:14" ht="14.4" thickBot="1" x14ac:dyDescent="0.35">
      <c r="A161" s="4" t="s">
        <v>19</v>
      </c>
      <c r="B161" s="4" t="s">
        <v>460</v>
      </c>
      <c r="C161" s="4" t="s">
        <v>743</v>
      </c>
      <c r="D161" s="4" t="s">
        <v>744</v>
      </c>
      <c r="E161" s="4" t="s">
        <v>254</v>
      </c>
      <c r="F161" s="4" t="s">
        <v>745</v>
      </c>
      <c r="G161" s="4" t="s">
        <v>746</v>
      </c>
      <c r="H161" s="4" t="s">
        <v>190</v>
      </c>
      <c r="I161" s="4" t="s">
        <v>26</v>
      </c>
      <c r="J161" s="4" t="s">
        <v>27</v>
      </c>
      <c r="K161" s="4" t="s">
        <v>28</v>
      </c>
      <c r="L161" s="4" t="s">
        <v>28</v>
      </c>
      <c r="M161" s="4" t="s">
        <v>34</v>
      </c>
      <c r="N161" s="4" t="s">
        <v>28</v>
      </c>
    </row>
    <row r="162" spans="1:14" ht="14.4" thickBot="1" x14ac:dyDescent="0.35">
      <c r="A162" s="4" t="s">
        <v>19</v>
      </c>
      <c r="B162" s="4" t="s">
        <v>460</v>
      </c>
      <c r="C162" s="4" t="s">
        <v>743</v>
      </c>
      <c r="D162" s="4" t="s">
        <v>744</v>
      </c>
      <c r="E162" s="4" t="s">
        <v>254</v>
      </c>
      <c r="F162" s="4" t="s">
        <v>747</v>
      </c>
      <c r="G162" s="4" t="s">
        <v>748</v>
      </c>
      <c r="H162" s="4" t="s">
        <v>26</v>
      </c>
      <c r="I162" s="4" t="s">
        <v>122</v>
      </c>
      <c r="J162" s="4" t="s">
        <v>27</v>
      </c>
      <c r="K162" s="4" t="s">
        <v>28</v>
      </c>
      <c r="L162" s="4" t="s">
        <v>28</v>
      </c>
      <c r="M162" s="4" t="s">
        <v>34</v>
      </c>
      <c r="N162" s="4" t="s">
        <v>28</v>
      </c>
    </row>
    <row r="163" spans="1:14" ht="14.4" thickBot="1" x14ac:dyDescent="0.35">
      <c r="A163" s="4" t="s">
        <v>19</v>
      </c>
      <c r="B163" s="4" t="s">
        <v>460</v>
      </c>
      <c r="C163" s="4" t="s">
        <v>743</v>
      </c>
      <c r="D163" s="4" t="s">
        <v>744</v>
      </c>
      <c r="E163" s="4" t="s">
        <v>254</v>
      </c>
      <c r="F163" s="4" t="s">
        <v>934</v>
      </c>
      <c r="G163" s="4" t="s">
        <v>935</v>
      </c>
      <c r="H163" s="4" t="s">
        <v>26</v>
      </c>
      <c r="I163" s="4" t="s">
        <v>94</v>
      </c>
      <c r="J163" s="4" t="s">
        <v>27</v>
      </c>
      <c r="K163" s="4" t="s">
        <v>28</v>
      </c>
      <c r="L163" s="4" t="s">
        <v>28</v>
      </c>
      <c r="M163" s="4" t="s">
        <v>29</v>
      </c>
      <c r="N163" s="5"/>
    </row>
    <row r="164" spans="1:14" ht="14.4" thickBot="1" x14ac:dyDescent="0.35">
      <c r="A164" s="4" t="s">
        <v>19</v>
      </c>
      <c r="B164" s="4" t="s">
        <v>460</v>
      </c>
      <c r="C164" s="4" t="s">
        <v>743</v>
      </c>
      <c r="D164" s="4" t="s">
        <v>744</v>
      </c>
      <c r="E164" s="4" t="s">
        <v>254</v>
      </c>
      <c r="F164" s="4" t="s">
        <v>1656</v>
      </c>
      <c r="G164" s="4" t="s">
        <v>1657</v>
      </c>
      <c r="H164" s="4" t="s">
        <v>26</v>
      </c>
      <c r="I164" s="4" t="s">
        <v>94</v>
      </c>
      <c r="J164" s="4" t="s">
        <v>27</v>
      </c>
      <c r="K164" s="4" t="s">
        <v>28</v>
      </c>
      <c r="L164" s="4" t="s">
        <v>28</v>
      </c>
      <c r="M164" s="4" t="s">
        <v>34</v>
      </c>
      <c r="N164" s="4" t="s">
        <v>28</v>
      </c>
    </row>
    <row r="165" spans="1:14" ht="14.4" thickBot="1" x14ac:dyDescent="0.35">
      <c r="A165" s="4" t="s">
        <v>19</v>
      </c>
      <c r="B165" s="4" t="s">
        <v>460</v>
      </c>
      <c r="C165" s="4" t="s">
        <v>743</v>
      </c>
      <c r="D165" s="4" t="s">
        <v>744</v>
      </c>
      <c r="E165" s="4" t="s">
        <v>254</v>
      </c>
      <c r="F165" s="4" t="s">
        <v>1658</v>
      </c>
      <c r="G165" s="4" t="s">
        <v>1659</v>
      </c>
      <c r="H165" s="4" t="s">
        <v>26</v>
      </c>
      <c r="I165" s="4" t="s">
        <v>33</v>
      </c>
      <c r="J165" s="4" t="s">
        <v>27</v>
      </c>
      <c r="K165" s="4" t="s">
        <v>28</v>
      </c>
      <c r="L165" s="4" t="s">
        <v>28</v>
      </c>
      <c r="M165" s="4" t="s">
        <v>34</v>
      </c>
      <c r="N165" s="4" t="s">
        <v>28</v>
      </c>
    </row>
    <row r="166" spans="1:14" ht="14.4" thickBot="1" x14ac:dyDescent="0.35">
      <c r="A166" s="4" t="s">
        <v>19</v>
      </c>
      <c r="B166" s="4" t="s">
        <v>460</v>
      </c>
      <c r="C166" s="4" t="s">
        <v>743</v>
      </c>
      <c r="D166" s="4" t="s">
        <v>744</v>
      </c>
      <c r="E166" s="4" t="s">
        <v>254</v>
      </c>
      <c r="F166" s="4" t="s">
        <v>1660</v>
      </c>
      <c r="G166" s="4" t="s">
        <v>1661</v>
      </c>
      <c r="H166" s="4" t="s">
        <v>69</v>
      </c>
      <c r="I166" s="4" t="s">
        <v>94</v>
      </c>
      <c r="J166" s="4" t="s">
        <v>28</v>
      </c>
      <c r="K166" s="4" t="s">
        <v>27</v>
      </c>
      <c r="L166" s="4" t="s">
        <v>28</v>
      </c>
      <c r="M166" s="4" t="s">
        <v>34</v>
      </c>
      <c r="N166" s="4" t="s">
        <v>28</v>
      </c>
    </row>
    <row r="167" spans="1:14" ht="14.4" thickBot="1" x14ac:dyDescent="0.35">
      <c r="A167" s="4" t="s">
        <v>19</v>
      </c>
      <c r="B167" s="4" t="s">
        <v>460</v>
      </c>
      <c r="C167" s="4" t="s">
        <v>743</v>
      </c>
      <c r="D167" s="4" t="s">
        <v>744</v>
      </c>
      <c r="E167" s="4" t="s">
        <v>254</v>
      </c>
      <c r="F167" s="4" t="s">
        <v>1800</v>
      </c>
      <c r="G167" s="4" t="s">
        <v>1801</v>
      </c>
      <c r="H167" s="4" t="s">
        <v>26</v>
      </c>
      <c r="I167" s="4" t="s">
        <v>94</v>
      </c>
      <c r="J167" s="4" t="s">
        <v>27</v>
      </c>
      <c r="K167" s="4" t="s">
        <v>28</v>
      </c>
      <c r="L167" s="4" t="s">
        <v>28</v>
      </c>
      <c r="M167" s="4" t="s">
        <v>29</v>
      </c>
      <c r="N167" s="4" t="s">
        <v>28</v>
      </c>
    </row>
    <row r="168" spans="1:14" ht="14.4" thickBot="1" x14ac:dyDescent="0.35">
      <c r="A168" s="4" t="s">
        <v>19</v>
      </c>
      <c r="B168" s="4" t="s">
        <v>460</v>
      </c>
      <c r="C168" s="4" t="s">
        <v>743</v>
      </c>
      <c r="D168" s="4" t="s">
        <v>744</v>
      </c>
      <c r="E168" s="4" t="s">
        <v>254</v>
      </c>
      <c r="F168" s="4" t="s">
        <v>1802</v>
      </c>
      <c r="G168" s="4" t="s">
        <v>1803</v>
      </c>
      <c r="H168" s="4" t="s">
        <v>26</v>
      </c>
      <c r="I168" s="4" t="s">
        <v>26</v>
      </c>
      <c r="J168" s="4" t="s">
        <v>27</v>
      </c>
      <c r="K168" s="4" t="s">
        <v>28</v>
      </c>
      <c r="L168" s="4" t="s">
        <v>28</v>
      </c>
      <c r="M168" s="4" t="s">
        <v>130</v>
      </c>
      <c r="N168" s="4" t="s">
        <v>28</v>
      </c>
    </row>
    <row r="169" spans="1:14" ht="14.4" thickBot="1" x14ac:dyDescent="0.35">
      <c r="A169" s="4" t="s">
        <v>19</v>
      </c>
      <c r="B169" s="4" t="s">
        <v>460</v>
      </c>
      <c r="C169" s="4" t="s">
        <v>743</v>
      </c>
      <c r="D169" s="4" t="s">
        <v>744</v>
      </c>
      <c r="E169" s="4" t="s">
        <v>254</v>
      </c>
      <c r="F169" s="4" t="s">
        <v>1804</v>
      </c>
      <c r="G169" s="4" t="s">
        <v>1805</v>
      </c>
      <c r="H169" s="4" t="s">
        <v>26</v>
      </c>
      <c r="I169" s="4" t="s">
        <v>135</v>
      </c>
      <c r="J169" s="5"/>
      <c r="K169" s="5"/>
      <c r="L169" s="5"/>
      <c r="M169" s="4" t="s">
        <v>29</v>
      </c>
      <c r="N169" s="5"/>
    </row>
    <row r="170" spans="1:14" ht="14.4" thickBot="1" x14ac:dyDescent="0.35">
      <c r="A170" s="4" t="s">
        <v>19</v>
      </c>
      <c r="B170" s="4" t="s">
        <v>460</v>
      </c>
      <c r="C170" s="4" t="s">
        <v>743</v>
      </c>
      <c r="D170" s="4" t="s">
        <v>744</v>
      </c>
      <c r="E170" s="4" t="s">
        <v>254</v>
      </c>
      <c r="F170" s="4" t="s">
        <v>2340</v>
      </c>
      <c r="G170" s="4" t="s">
        <v>2341</v>
      </c>
      <c r="H170" s="4" t="s">
        <v>190</v>
      </c>
      <c r="I170" s="4" t="s">
        <v>26</v>
      </c>
      <c r="J170" s="4" t="s">
        <v>27</v>
      </c>
      <c r="K170" s="4" t="s">
        <v>28</v>
      </c>
      <c r="L170" s="4" t="s">
        <v>28</v>
      </c>
      <c r="M170" s="4" t="s">
        <v>34</v>
      </c>
      <c r="N170" s="4" t="s">
        <v>28</v>
      </c>
    </row>
    <row r="171" spans="1:14" ht="14.4" thickBot="1" x14ac:dyDescent="0.35">
      <c r="A171" s="4" t="s">
        <v>19</v>
      </c>
      <c r="B171" s="4" t="s">
        <v>460</v>
      </c>
      <c r="C171" s="4" t="s">
        <v>743</v>
      </c>
      <c r="D171" s="4" t="s">
        <v>744</v>
      </c>
      <c r="E171" s="4" t="s">
        <v>254</v>
      </c>
      <c r="F171" s="4" t="s">
        <v>2466</v>
      </c>
      <c r="G171" s="4" t="s">
        <v>2467</v>
      </c>
      <c r="H171" s="4" t="s">
        <v>26</v>
      </c>
      <c r="I171" s="4" t="s">
        <v>26</v>
      </c>
      <c r="J171" s="4" t="s">
        <v>27</v>
      </c>
      <c r="K171" s="4" t="s">
        <v>28</v>
      </c>
      <c r="L171" s="4" t="s">
        <v>28</v>
      </c>
      <c r="M171" s="4" t="s">
        <v>130</v>
      </c>
      <c r="N171" s="4" t="s">
        <v>28</v>
      </c>
    </row>
    <row r="172" spans="1:14" ht="14.4" thickBot="1" x14ac:dyDescent="0.35">
      <c r="A172" s="4" t="s">
        <v>19</v>
      </c>
      <c r="B172" s="4" t="s">
        <v>460</v>
      </c>
      <c r="C172" s="4" t="s">
        <v>743</v>
      </c>
      <c r="D172" s="4" t="s">
        <v>744</v>
      </c>
      <c r="E172" s="4" t="s">
        <v>254</v>
      </c>
      <c r="F172" s="4" t="s">
        <v>3105</v>
      </c>
      <c r="G172" s="4" t="s">
        <v>3106</v>
      </c>
      <c r="H172" s="4" t="s">
        <v>26</v>
      </c>
      <c r="I172" s="4" t="s">
        <v>122</v>
      </c>
      <c r="J172" s="4" t="s">
        <v>27</v>
      </c>
      <c r="K172" s="4" t="s">
        <v>28</v>
      </c>
      <c r="L172" s="4" t="s">
        <v>28</v>
      </c>
      <c r="M172" s="4" t="s">
        <v>34</v>
      </c>
      <c r="N172" s="4" t="s">
        <v>28</v>
      </c>
    </row>
    <row r="173" spans="1:14" ht="14.4" thickBot="1" x14ac:dyDescent="0.35">
      <c r="A173" s="4" t="s">
        <v>19</v>
      </c>
      <c r="B173" s="4" t="s">
        <v>460</v>
      </c>
      <c r="C173" s="4" t="s">
        <v>743</v>
      </c>
      <c r="D173" s="4" t="s">
        <v>744</v>
      </c>
      <c r="E173" s="4" t="s">
        <v>254</v>
      </c>
      <c r="F173" s="4" t="s">
        <v>3899</v>
      </c>
      <c r="G173" s="4" t="s">
        <v>3900</v>
      </c>
      <c r="H173" s="4" t="s">
        <v>26</v>
      </c>
      <c r="I173" s="4" t="s">
        <v>94</v>
      </c>
      <c r="J173" s="4" t="s">
        <v>27</v>
      </c>
      <c r="K173" s="4" t="s">
        <v>28</v>
      </c>
      <c r="L173" s="4" t="s">
        <v>28</v>
      </c>
      <c r="M173" s="4" t="s">
        <v>34</v>
      </c>
      <c r="N173" s="4" t="s">
        <v>28</v>
      </c>
    </row>
    <row r="174" spans="1:14" ht="14.4" thickBot="1" x14ac:dyDescent="0.35">
      <c r="A174" s="4" t="s">
        <v>19</v>
      </c>
      <c r="B174" s="4" t="s">
        <v>460</v>
      </c>
      <c r="C174" s="4" t="s">
        <v>743</v>
      </c>
      <c r="D174" s="4" t="s">
        <v>744</v>
      </c>
      <c r="E174" s="4" t="s">
        <v>254</v>
      </c>
      <c r="F174" s="4" t="s">
        <v>3901</v>
      </c>
      <c r="G174" s="4" t="s">
        <v>3902</v>
      </c>
      <c r="H174" s="4" t="s">
        <v>26</v>
      </c>
      <c r="I174" s="4" t="s">
        <v>69</v>
      </c>
      <c r="J174" s="4" t="s">
        <v>27</v>
      </c>
      <c r="K174" s="4" t="s">
        <v>28</v>
      </c>
      <c r="L174" s="4" t="s">
        <v>28</v>
      </c>
      <c r="M174" s="4" t="s">
        <v>34</v>
      </c>
      <c r="N174" s="4" t="s">
        <v>28</v>
      </c>
    </row>
    <row r="175" spans="1:14" ht="14.4" thickBot="1" x14ac:dyDescent="0.35">
      <c r="A175" s="4" t="s">
        <v>19</v>
      </c>
      <c r="B175" s="4" t="s">
        <v>460</v>
      </c>
      <c r="C175" s="4" t="s">
        <v>743</v>
      </c>
      <c r="D175" s="4" t="s">
        <v>744</v>
      </c>
      <c r="E175" s="4" t="s">
        <v>254</v>
      </c>
      <c r="F175" s="4" t="s">
        <v>3903</v>
      </c>
      <c r="G175" s="4" t="s">
        <v>3904</v>
      </c>
      <c r="H175" s="4" t="s">
        <v>26</v>
      </c>
      <c r="I175" s="4" t="s">
        <v>94</v>
      </c>
      <c r="J175" s="4" t="s">
        <v>27</v>
      </c>
      <c r="K175" s="4" t="s">
        <v>28</v>
      </c>
      <c r="L175" s="4" t="s">
        <v>28</v>
      </c>
      <c r="M175" s="4" t="s">
        <v>34</v>
      </c>
      <c r="N175" s="4" t="s">
        <v>28</v>
      </c>
    </row>
    <row r="176" spans="1:14" ht="14.4" thickBot="1" x14ac:dyDescent="0.35">
      <c r="A176" s="4" t="s">
        <v>19</v>
      </c>
      <c r="B176" s="4" t="s">
        <v>460</v>
      </c>
      <c r="C176" s="4" t="s">
        <v>743</v>
      </c>
      <c r="D176" s="4" t="s">
        <v>744</v>
      </c>
      <c r="E176" s="4" t="s">
        <v>254</v>
      </c>
      <c r="F176" s="4" t="s">
        <v>4039</v>
      </c>
      <c r="G176" s="4" t="s">
        <v>4040</v>
      </c>
      <c r="H176" s="4" t="s">
        <v>26</v>
      </c>
      <c r="I176" s="4" t="s">
        <v>26</v>
      </c>
      <c r="J176" s="5"/>
      <c r="K176" s="5"/>
      <c r="L176" s="5"/>
      <c r="M176" s="4" t="s">
        <v>29</v>
      </c>
      <c r="N176" s="5"/>
    </row>
    <row r="177" spans="1:14" ht="14.4" thickBot="1" x14ac:dyDescent="0.35">
      <c r="A177" s="4" t="s">
        <v>19</v>
      </c>
      <c r="B177" s="4" t="s">
        <v>460</v>
      </c>
      <c r="C177" s="4" t="s">
        <v>743</v>
      </c>
      <c r="D177" s="4" t="s">
        <v>744</v>
      </c>
      <c r="E177" s="4" t="s">
        <v>254</v>
      </c>
      <c r="F177" s="4" t="s">
        <v>4627</v>
      </c>
      <c r="G177" s="4" t="s">
        <v>4628</v>
      </c>
      <c r="H177" s="4" t="s">
        <v>37</v>
      </c>
      <c r="I177" s="4" t="s">
        <v>38</v>
      </c>
      <c r="J177" s="4" t="s">
        <v>28</v>
      </c>
      <c r="K177" s="4" t="s">
        <v>28</v>
      </c>
      <c r="L177" s="4" t="s">
        <v>27</v>
      </c>
      <c r="M177" s="4" t="s">
        <v>34</v>
      </c>
      <c r="N177" s="4" t="s">
        <v>28</v>
      </c>
    </row>
    <row r="178" spans="1:14" ht="14.4" thickBot="1" x14ac:dyDescent="0.35">
      <c r="A178" s="4" t="s">
        <v>19</v>
      </c>
      <c r="B178" s="4" t="s">
        <v>460</v>
      </c>
      <c r="C178" s="4" t="s">
        <v>743</v>
      </c>
      <c r="D178" s="4" t="s">
        <v>744</v>
      </c>
      <c r="E178" s="4" t="s">
        <v>254</v>
      </c>
      <c r="F178" s="4" t="s">
        <v>4629</v>
      </c>
      <c r="G178" s="4" t="s">
        <v>4630</v>
      </c>
      <c r="H178" s="4" t="s">
        <v>26</v>
      </c>
      <c r="I178" s="4" t="s">
        <v>122</v>
      </c>
      <c r="J178" s="4" t="s">
        <v>27</v>
      </c>
      <c r="K178" s="4" t="s">
        <v>28</v>
      </c>
      <c r="L178" s="4" t="s">
        <v>28</v>
      </c>
      <c r="M178" s="4" t="s">
        <v>34</v>
      </c>
      <c r="N178" s="4" t="s">
        <v>28</v>
      </c>
    </row>
    <row r="179" spans="1:14" ht="14.4" thickBot="1" x14ac:dyDescent="0.35">
      <c r="A179" s="4" t="s">
        <v>19</v>
      </c>
      <c r="B179" s="4" t="s">
        <v>460</v>
      </c>
      <c r="C179" s="4" t="s">
        <v>743</v>
      </c>
      <c r="D179" s="4" t="s">
        <v>744</v>
      </c>
      <c r="E179" s="4" t="s">
        <v>254</v>
      </c>
      <c r="F179" s="4" t="s">
        <v>4631</v>
      </c>
      <c r="G179" s="4" t="s">
        <v>762</v>
      </c>
      <c r="H179" s="4" t="s">
        <v>26</v>
      </c>
      <c r="I179" s="4" t="s">
        <v>33</v>
      </c>
      <c r="J179" s="4" t="s">
        <v>27</v>
      </c>
      <c r="K179" s="4" t="s">
        <v>28</v>
      </c>
      <c r="L179" s="4" t="s">
        <v>28</v>
      </c>
      <c r="M179" s="4" t="s">
        <v>34</v>
      </c>
      <c r="N179" s="4" t="s">
        <v>28</v>
      </c>
    </row>
    <row r="180" spans="1:14" ht="14.4" thickBot="1" x14ac:dyDescent="0.35">
      <c r="A180" s="4" t="s">
        <v>19</v>
      </c>
      <c r="B180" s="4" t="s">
        <v>460</v>
      </c>
      <c r="C180" s="4" t="s">
        <v>743</v>
      </c>
      <c r="D180" s="4" t="s">
        <v>744</v>
      </c>
      <c r="E180" s="4" t="s">
        <v>254</v>
      </c>
      <c r="F180" s="4" t="s">
        <v>4740</v>
      </c>
      <c r="G180" s="4" t="s">
        <v>4741</v>
      </c>
      <c r="H180" s="4" t="s">
        <v>26</v>
      </c>
      <c r="I180" s="4" t="s">
        <v>94</v>
      </c>
      <c r="J180" s="5"/>
      <c r="K180" s="5"/>
      <c r="L180" s="5"/>
      <c r="M180" s="4" t="s">
        <v>29</v>
      </c>
      <c r="N180" s="5"/>
    </row>
    <row r="181" spans="1:14" ht="14.4" thickBot="1" x14ac:dyDescent="0.35">
      <c r="A181" s="4" t="s">
        <v>19</v>
      </c>
      <c r="B181" s="4" t="s">
        <v>460</v>
      </c>
      <c r="C181" s="4" t="s">
        <v>743</v>
      </c>
      <c r="D181" s="4" t="s">
        <v>744</v>
      </c>
      <c r="E181" s="4" t="s">
        <v>254</v>
      </c>
      <c r="F181" s="4" t="s">
        <v>5297</v>
      </c>
      <c r="G181" s="4" t="s">
        <v>5298</v>
      </c>
      <c r="H181" s="4" t="s">
        <v>116</v>
      </c>
      <c r="I181" s="4" t="s">
        <v>94</v>
      </c>
      <c r="J181" s="4" t="s">
        <v>27</v>
      </c>
      <c r="K181" s="4" t="s">
        <v>28</v>
      </c>
      <c r="L181" s="4" t="s">
        <v>28</v>
      </c>
      <c r="M181" s="4" t="s">
        <v>34</v>
      </c>
      <c r="N181" s="4" t="s">
        <v>28</v>
      </c>
    </row>
    <row r="182" spans="1:14" ht="14.4" thickBot="1" x14ac:dyDescent="0.35">
      <c r="A182" s="4" t="s">
        <v>19</v>
      </c>
      <c r="B182" s="4" t="s">
        <v>460</v>
      </c>
      <c r="C182" s="4" t="s">
        <v>743</v>
      </c>
      <c r="D182" s="4" t="s">
        <v>744</v>
      </c>
      <c r="E182" s="4" t="s">
        <v>254</v>
      </c>
      <c r="F182" s="4" t="s">
        <v>5299</v>
      </c>
      <c r="G182" s="4" t="s">
        <v>5300</v>
      </c>
      <c r="H182" s="4" t="s">
        <v>26</v>
      </c>
      <c r="I182" s="4" t="s">
        <v>33</v>
      </c>
      <c r="J182" s="4" t="s">
        <v>27</v>
      </c>
      <c r="K182" s="4" t="s">
        <v>28</v>
      </c>
      <c r="L182" s="4" t="s">
        <v>28</v>
      </c>
      <c r="M182" s="4" t="s">
        <v>34</v>
      </c>
      <c r="N182" s="4" t="s">
        <v>28</v>
      </c>
    </row>
    <row r="183" spans="1:14" ht="14.4" thickBot="1" x14ac:dyDescent="0.35">
      <c r="A183" s="4" t="s">
        <v>19</v>
      </c>
      <c r="B183" s="4" t="s">
        <v>460</v>
      </c>
      <c r="C183" s="4" t="s">
        <v>743</v>
      </c>
      <c r="D183" s="4" t="s">
        <v>744</v>
      </c>
      <c r="E183" s="4" t="s">
        <v>254</v>
      </c>
      <c r="F183" s="4" t="s">
        <v>5301</v>
      </c>
      <c r="G183" s="4" t="s">
        <v>5302</v>
      </c>
      <c r="H183" s="4" t="s">
        <v>26</v>
      </c>
      <c r="I183" s="4" t="s">
        <v>33</v>
      </c>
      <c r="J183" s="4" t="s">
        <v>27</v>
      </c>
      <c r="K183" s="4" t="s">
        <v>28</v>
      </c>
      <c r="L183" s="4" t="s">
        <v>28</v>
      </c>
      <c r="M183" s="4" t="s">
        <v>34</v>
      </c>
      <c r="N183" s="4" t="s">
        <v>28</v>
      </c>
    </row>
    <row r="184" spans="1:14" ht="14.4" thickBot="1" x14ac:dyDescent="0.35">
      <c r="A184" s="4" t="s">
        <v>19</v>
      </c>
      <c r="B184" s="4" t="s">
        <v>460</v>
      </c>
      <c r="C184" s="4" t="s">
        <v>743</v>
      </c>
      <c r="D184" s="4" t="s">
        <v>744</v>
      </c>
      <c r="E184" s="4" t="s">
        <v>254</v>
      </c>
      <c r="F184" s="4" t="s">
        <v>6011</v>
      </c>
      <c r="G184" s="4" t="s">
        <v>6012</v>
      </c>
      <c r="H184" s="4" t="s">
        <v>69</v>
      </c>
      <c r="I184" s="4" t="s">
        <v>94</v>
      </c>
      <c r="J184" s="4" t="s">
        <v>28</v>
      </c>
      <c r="K184" s="4" t="s">
        <v>27</v>
      </c>
      <c r="L184" s="4" t="s">
        <v>28</v>
      </c>
      <c r="M184" s="4" t="s">
        <v>34</v>
      </c>
      <c r="N184" s="4" t="s">
        <v>28</v>
      </c>
    </row>
    <row r="185" spans="1:14" ht="14.4" thickBot="1" x14ac:dyDescent="0.35">
      <c r="A185" s="4" t="s">
        <v>19</v>
      </c>
      <c r="B185" s="4" t="s">
        <v>460</v>
      </c>
      <c r="C185" s="4" t="s">
        <v>743</v>
      </c>
      <c r="D185" s="4" t="s">
        <v>744</v>
      </c>
      <c r="E185" s="4" t="s">
        <v>254</v>
      </c>
      <c r="F185" s="4" t="s">
        <v>6013</v>
      </c>
      <c r="G185" s="4" t="s">
        <v>714</v>
      </c>
      <c r="H185" s="4" t="s">
        <v>26</v>
      </c>
      <c r="I185" s="4" t="s">
        <v>33</v>
      </c>
      <c r="J185" s="4" t="s">
        <v>27</v>
      </c>
      <c r="K185" s="4" t="s">
        <v>28</v>
      </c>
      <c r="L185" s="4" t="s">
        <v>28</v>
      </c>
      <c r="M185" s="4" t="s">
        <v>34</v>
      </c>
      <c r="N185" s="4" t="s">
        <v>28</v>
      </c>
    </row>
    <row r="186" spans="1:14" ht="14.4" thickBot="1" x14ac:dyDescent="0.35">
      <c r="A186" s="4" t="s">
        <v>19</v>
      </c>
      <c r="B186" s="4" t="s">
        <v>460</v>
      </c>
      <c r="C186" s="4" t="s">
        <v>743</v>
      </c>
      <c r="D186" s="4" t="s">
        <v>744</v>
      </c>
      <c r="E186" s="4" t="s">
        <v>254</v>
      </c>
      <c r="F186" s="4" t="s">
        <v>6014</v>
      </c>
      <c r="G186" s="4" t="s">
        <v>6015</v>
      </c>
      <c r="H186" s="4" t="s">
        <v>37</v>
      </c>
      <c r="I186" s="4" t="s">
        <v>38</v>
      </c>
      <c r="J186" s="4" t="s">
        <v>28</v>
      </c>
      <c r="K186" s="4" t="s">
        <v>28</v>
      </c>
      <c r="L186" s="4" t="s">
        <v>27</v>
      </c>
      <c r="M186" s="4" t="s">
        <v>34</v>
      </c>
      <c r="N186" s="4" t="s">
        <v>28</v>
      </c>
    </row>
    <row r="187" spans="1:14" ht="14.4" thickBot="1" x14ac:dyDescent="0.35">
      <c r="A187" s="4" t="s">
        <v>19</v>
      </c>
      <c r="B187" s="4" t="s">
        <v>460</v>
      </c>
      <c r="C187" s="4" t="s">
        <v>743</v>
      </c>
      <c r="D187" s="4" t="s">
        <v>744</v>
      </c>
      <c r="E187" s="4" t="s">
        <v>254</v>
      </c>
      <c r="F187" s="4" t="s">
        <v>6016</v>
      </c>
      <c r="G187" s="4" t="s">
        <v>6017</v>
      </c>
      <c r="H187" s="4" t="s">
        <v>26</v>
      </c>
      <c r="I187" s="4" t="s">
        <v>26</v>
      </c>
      <c r="J187" s="4" t="s">
        <v>27</v>
      </c>
      <c r="K187" s="4" t="s">
        <v>28</v>
      </c>
      <c r="L187" s="4" t="s">
        <v>28</v>
      </c>
      <c r="M187" s="4" t="s">
        <v>34</v>
      </c>
      <c r="N187" s="4" t="s">
        <v>28</v>
      </c>
    </row>
    <row r="188" spans="1:14" ht="14.4" thickBot="1" x14ac:dyDescent="0.35">
      <c r="A188" s="4" t="s">
        <v>19</v>
      </c>
      <c r="B188" s="4" t="s">
        <v>460</v>
      </c>
      <c r="C188" s="4" t="s">
        <v>743</v>
      </c>
      <c r="D188" s="4" t="s">
        <v>744</v>
      </c>
      <c r="E188" s="4" t="s">
        <v>254</v>
      </c>
      <c r="F188" s="4" t="s">
        <v>6134</v>
      </c>
      <c r="G188" s="4" t="s">
        <v>6135</v>
      </c>
      <c r="H188" s="4" t="s">
        <v>26</v>
      </c>
      <c r="I188" s="4" t="s">
        <v>38</v>
      </c>
      <c r="J188" s="5"/>
      <c r="K188" s="5"/>
      <c r="L188" s="5"/>
      <c r="M188" s="4" t="s">
        <v>29</v>
      </c>
      <c r="N188" s="5"/>
    </row>
    <row r="189" spans="1:14" ht="14.4" thickBot="1" x14ac:dyDescent="0.35">
      <c r="A189" s="4" t="s">
        <v>19</v>
      </c>
      <c r="B189" s="4" t="s">
        <v>1521</v>
      </c>
      <c r="C189" s="4" t="s">
        <v>1522</v>
      </c>
      <c r="D189" s="4" t="s">
        <v>1523</v>
      </c>
      <c r="E189" s="4" t="s">
        <v>42</v>
      </c>
      <c r="F189" s="4" t="s">
        <v>1524</v>
      </c>
      <c r="G189" s="4" t="s">
        <v>1525</v>
      </c>
      <c r="H189" s="4" t="s">
        <v>26</v>
      </c>
      <c r="I189" s="4" t="s">
        <v>26</v>
      </c>
      <c r="J189" s="5"/>
      <c r="K189" s="5"/>
      <c r="L189" s="5"/>
      <c r="M189" s="4" t="s">
        <v>29</v>
      </c>
      <c r="N189" s="5"/>
    </row>
    <row r="190" spans="1:14" ht="14.4" thickBot="1" x14ac:dyDescent="0.35">
      <c r="A190" s="4" t="s">
        <v>19</v>
      </c>
      <c r="B190" s="4" t="s">
        <v>1521</v>
      </c>
      <c r="C190" s="4" t="s">
        <v>1522</v>
      </c>
      <c r="D190" s="4" t="s">
        <v>1523</v>
      </c>
      <c r="E190" s="4" t="s">
        <v>42</v>
      </c>
      <c r="F190" s="4" t="s">
        <v>1526</v>
      </c>
      <c r="G190" s="4" t="s">
        <v>1527</v>
      </c>
      <c r="H190" s="4" t="s">
        <v>26</v>
      </c>
      <c r="I190" s="4" t="s">
        <v>32</v>
      </c>
      <c r="J190" s="5"/>
      <c r="K190" s="5"/>
      <c r="L190" s="5"/>
      <c r="M190" s="4" t="s">
        <v>29</v>
      </c>
      <c r="N190" s="5"/>
    </row>
    <row r="191" spans="1:14" ht="14.4" thickBot="1" x14ac:dyDescent="0.35">
      <c r="A191" s="4" t="s">
        <v>19</v>
      </c>
      <c r="B191" s="4" t="s">
        <v>1521</v>
      </c>
      <c r="C191" s="4" t="s">
        <v>1522</v>
      </c>
      <c r="D191" s="4" t="s">
        <v>1523</v>
      </c>
      <c r="E191" s="4" t="s">
        <v>42</v>
      </c>
      <c r="F191" s="4" t="s">
        <v>2248</v>
      </c>
      <c r="G191" s="4" t="s">
        <v>2249</v>
      </c>
      <c r="H191" s="4" t="s">
        <v>26</v>
      </c>
      <c r="I191" s="4" t="s">
        <v>94</v>
      </c>
      <c r="J191" s="4" t="s">
        <v>27</v>
      </c>
      <c r="K191" s="4" t="s">
        <v>28</v>
      </c>
      <c r="L191" s="4" t="s">
        <v>28</v>
      </c>
      <c r="M191" s="4" t="s">
        <v>29</v>
      </c>
      <c r="N191" s="4" t="s">
        <v>28</v>
      </c>
    </row>
    <row r="192" spans="1:14" ht="14.4" thickBot="1" x14ac:dyDescent="0.35">
      <c r="A192" s="4" t="s">
        <v>19</v>
      </c>
      <c r="B192" s="4" t="s">
        <v>1521</v>
      </c>
      <c r="C192" s="4" t="s">
        <v>1522</v>
      </c>
      <c r="D192" s="4" t="s">
        <v>1523</v>
      </c>
      <c r="E192" s="4" t="s">
        <v>42</v>
      </c>
      <c r="F192" s="4" t="s">
        <v>2250</v>
      </c>
      <c r="G192" s="4" t="s">
        <v>2251</v>
      </c>
      <c r="H192" s="4" t="s">
        <v>26</v>
      </c>
      <c r="I192" s="4" t="s">
        <v>26</v>
      </c>
      <c r="J192" s="4" t="s">
        <v>27</v>
      </c>
      <c r="K192" s="4" t="s">
        <v>28</v>
      </c>
      <c r="L192" s="4" t="s">
        <v>28</v>
      </c>
      <c r="M192" s="4" t="s">
        <v>130</v>
      </c>
      <c r="N192" s="4" t="s">
        <v>28</v>
      </c>
    </row>
    <row r="193" spans="1:14" ht="14.4" thickBot="1" x14ac:dyDescent="0.35">
      <c r="A193" s="4" t="s">
        <v>19</v>
      </c>
      <c r="B193" s="4" t="s">
        <v>1521</v>
      </c>
      <c r="C193" s="4" t="s">
        <v>1522</v>
      </c>
      <c r="D193" s="4" t="s">
        <v>1523</v>
      </c>
      <c r="E193" s="4" t="s">
        <v>42</v>
      </c>
      <c r="F193" s="4" t="s">
        <v>2997</v>
      </c>
      <c r="G193" s="4" t="s">
        <v>2998</v>
      </c>
      <c r="H193" s="4" t="s">
        <v>26</v>
      </c>
      <c r="I193" s="4" t="s">
        <v>26</v>
      </c>
      <c r="J193" s="5"/>
      <c r="K193" s="5"/>
      <c r="L193" s="5"/>
      <c r="M193" s="4" t="s">
        <v>130</v>
      </c>
      <c r="N193" s="5"/>
    </row>
    <row r="194" spans="1:14" ht="14.4" thickBot="1" x14ac:dyDescent="0.35">
      <c r="A194" s="4" t="s">
        <v>19</v>
      </c>
      <c r="B194" s="4" t="s">
        <v>1521</v>
      </c>
      <c r="C194" s="4" t="s">
        <v>1522</v>
      </c>
      <c r="D194" s="4" t="s">
        <v>1523</v>
      </c>
      <c r="E194" s="4" t="s">
        <v>42</v>
      </c>
      <c r="F194" s="4" t="s">
        <v>3731</v>
      </c>
      <c r="G194" s="4" t="s">
        <v>3732</v>
      </c>
      <c r="H194" s="4" t="s">
        <v>26</v>
      </c>
      <c r="I194" s="4" t="s">
        <v>26</v>
      </c>
      <c r="J194" s="5"/>
      <c r="K194" s="5"/>
      <c r="L194" s="5"/>
      <c r="M194" s="4" t="s">
        <v>130</v>
      </c>
      <c r="N194" s="5"/>
    </row>
    <row r="195" spans="1:14" ht="14.4" thickBot="1" x14ac:dyDescent="0.35">
      <c r="A195" s="4" t="s">
        <v>19</v>
      </c>
      <c r="B195" s="4" t="s">
        <v>1521</v>
      </c>
      <c r="C195" s="4" t="s">
        <v>1522</v>
      </c>
      <c r="D195" s="4" t="s">
        <v>1523</v>
      </c>
      <c r="E195" s="4" t="s">
        <v>42</v>
      </c>
      <c r="F195" s="4" t="s">
        <v>4439</v>
      </c>
      <c r="G195" s="4" t="s">
        <v>4440</v>
      </c>
      <c r="H195" s="4" t="s">
        <v>32</v>
      </c>
      <c r="I195" s="4" t="s">
        <v>33</v>
      </c>
      <c r="J195" s="4" t="s">
        <v>27</v>
      </c>
      <c r="K195" s="4" t="s">
        <v>28</v>
      </c>
      <c r="L195" s="4" t="s">
        <v>28</v>
      </c>
      <c r="M195" s="4" t="s">
        <v>34</v>
      </c>
      <c r="N195" s="4" t="s">
        <v>28</v>
      </c>
    </row>
    <row r="196" spans="1:14" ht="14.4" thickBot="1" x14ac:dyDescent="0.35">
      <c r="A196" s="4" t="s">
        <v>19</v>
      </c>
      <c r="B196" s="4" t="s">
        <v>1521</v>
      </c>
      <c r="C196" s="4" t="s">
        <v>1522</v>
      </c>
      <c r="D196" s="4" t="s">
        <v>1523</v>
      </c>
      <c r="E196" s="4" t="s">
        <v>42</v>
      </c>
      <c r="F196" s="4" t="s">
        <v>4441</v>
      </c>
      <c r="G196" s="4" t="s">
        <v>4442</v>
      </c>
      <c r="H196" s="4" t="s">
        <v>69</v>
      </c>
      <c r="I196" s="4" t="s">
        <v>94</v>
      </c>
      <c r="J196" s="4" t="s">
        <v>28</v>
      </c>
      <c r="K196" s="4" t="s">
        <v>27</v>
      </c>
      <c r="L196" s="4" t="s">
        <v>28</v>
      </c>
      <c r="M196" s="4" t="s">
        <v>34</v>
      </c>
      <c r="N196" s="4" t="s">
        <v>28</v>
      </c>
    </row>
    <row r="197" spans="1:14" ht="14.4" thickBot="1" x14ac:dyDescent="0.35">
      <c r="A197" s="4" t="s">
        <v>19</v>
      </c>
      <c r="B197" s="4" t="s">
        <v>1521</v>
      </c>
      <c r="C197" s="4" t="s">
        <v>1522</v>
      </c>
      <c r="D197" s="4" t="s">
        <v>1523</v>
      </c>
      <c r="E197" s="4" t="s">
        <v>42</v>
      </c>
      <c r="F197" s="4" t="s">
        <v>3639</v>
      </c>
      <c r="G197" s="4" t="s">
        <v>5138</v>
      </c>
      <c r="H197" s="4" t="s">
        <v>116</v>
      </c>
      <c r="I197" s="4" t="s">
        <v>38</v>
      </c>
      <c r="J197" s="4" t="s">
        <v>28</v>
      </c>
      <c r="K197" s="4" t="s">
        <v>28</v>
      </c>
      <c r="L197" s="4" t="s">
        <v>27</v>
      </c>
      <c r="M197" s="4" t="s">
        <v>34</v>
      </c>
      <c r="N197" s="4" t="s">
        <v>28</v>
      </c>
    </row>
    <row r="198" spans="1:14" ht="14.4" thickBot="1" x14ac:dyDescent="0.35">
      <c r="A198" s="4" t="s">
        <v>19</v>
      </c>
      <c r="B198" s="4" t="s">
        <v>1521</v>
      </c>
      <c r="C198" s="4" t="s">
        <v>1522</v>
      </c>
      <c r="D198" s="4" t="s">
        <v>1523</v>
      </c>
      <c r="E198" s="4" t="s">
        <v>42</v>
      </c>
      <c r="F198" s="4" t="s">
        <v>5139</v>
      </c>
      <c r="G198" s="4" t="s">
        <v>5140</v>
      </c>
      <c r="H198" s="4" t="s">
        <v>116</v>
      </c>
      <c r="I198" s="4" t="s">
        <v>61</v>
      </c>
      <c r="J198" s="4" t="s">
        <v>27</v>
      </c>
      <c r="K198" s="4" t="s">
        <v>28</v>
      </c>
      <c r="L198" s="4" t="s">
        <v>28</v>
      </c>
      <c r="M198" s="4" t="s">
        <v>34</v>
      </c>
      <c r="N198" s="4" t="s">
        <v>28</v>
      </c>
    </row>
    <row r="199" spans="1:14" ht="14.4" thickBot="1" x14ac:dyDescent="0.35">
      <c r="A199" s="4" t="s">
        <v>19</v>
      </c>
      <c r="B199" s="4" t="s">
        <v>1521</v>
      </c>
      <c r="C199" s="4" t="s">
        <v>1522</v>
      </c>
      <c r="D199" s="4" t="s">
        <v>1523</v>
      </c>
      <c r="E199" s="4" t="s">
        <v>42</v>
      </c>
      <c r="F199" s="4" t="s">
        <v>5141</v>
      </c>
      <c r="G199" s="4" t="s">
        <v>5142</v>
      </c>
      <c r="H199" s="4" t="s">
        <v>37</v>
      </c>
      <c r="I199" s="4" t="s">
        <v>38</v>
      </c>
      <c r="J199" s="4" t="s">
        <v>28</v>
      </c>
      <c r="K199" s="4" t="s">
        <v>28</v>
      </c>
      <c r="L199" s="4" t="s">
        <v>27</v>
      </c>
      <c r="M199" s="4" t="s">
        <v>34</v>
      </c>
      <c r="N199" s="4" t="s">
        <v>28</v>
      </c>
    </row>
    <row r="200" spans="1:14" ht="14.4" thickBot="1" x14ac:dyDescent="0.35">
      <c r="A200" s="4" t="s">
        <v>19</v>
      </c>
      <c r="B200" s="4" t="s">
        <v>1521</v>
      </c>
      <c r="C200" s="4" t="s">
        <v>1522</v>
      </c>
      <c r="D200" s="4" t="s">
        <v>1523</v>
      </c>
      <c r="E200" s="4" t="s">
        <v>42</v>
      </c>
      <c r="F200" s="4" t="s">
        <v>5196</v>
      </c>
      <c r="G200" s="4" t="s">
        <v>5197</v>
      </c>
      <c r="H200" s="4" t="s">
        <v>26</v>
      </c>
      <c r="I200" s="4" t="s">
        <v>26</v>
      </c>
      <c r="J200" s="4" t="s">
        <v>27</v>
      </c>
      <c r="K200" s="4" t="s">
        <v>28</v>
      </c>
      <c r="L200" s="4" t="s">
        <v>28</v>
      </c>
      <c r="M200" s="4" t="s">
        <v>130</v>
      </c>
      <c r="N200" s="5"/>
    </row>
    <row r="201" spans="1:14" ht="14.4" thickBot="1" x14ac:dyDescent="0.35">
      <c r="A201" s="4" t="s">
        <v>19</v>
      </c>
      <c r="B201" s="4" t="s">
        <v>1521</v>
      </c>
      <c r="C201" s="4" t="s">
        <v>1522</v>
      </c>
      <c r="D201" s="4" t="s">
        <v>1523</v>
      </c>
      <c r="E201" s="4" t="s">
        <v>42</v>
      </c>
      <c r="F201" s="4" t="s">
        <v>5198</v>
      </c>
      <c r="G201" s="4" t="s">
        <v>5199</v>
      </c>
      <c r="H201" s="4" t="s">
        <v>26</v>
      </c>
      <c r="I201" s="4" t="s">
        <v>26</v>
      </c>
      <c r="J201" s="4" t="s">
        <v>27</v>
      </c>
      <c r="K201" s="4" t="s">
        <v>28</v>
      </c>
      <c r="L201" s="4" t="s">
        <v>28</v>
      </c>
      <c r="M201" s="4" t="s">
        <v>130</v>
      </c>
      <c r="N201" s="5"/>
    </row>
    <row r="202" spans="1:14" ht="14.4" thickBot="1" x14ac:dyDescent="0.35">
      <c r="A202" s="4" t="s">
        <v>19</v>
      </c>
      <c r="B202" s="4" t="s">
        <v>1521</v>
      </c>
      <c r="C202" s="4" t="s">
        <v>1522</v>
      </c>
      <c r="D202" s="4" t="s">
        <v>1523</v>
      </c>
      <c r="E202" s="4" t="s">
        <v>42</v>
      </c>
      <c r="F202" s="4" t="s">
        <v>5883</v>
      </c>
      <c r="G202" s="4" t="s">
        <v>5884</v>
      </c>
      <c r="H202" s="4" t="s">
        <v>26</v>
      </c>
      <c r="I202" s="4" t="s">
        <v>26</v>
      </c>
      <c r="J202" s="5"/>
      <c r="K202" s="5"/>
      <c r="L202" s="5"/>
      <c r="M202" s="4" t="s">
        <v>29</v>
      </c>
      <c r="N202" s="5"/>
    </row>
    <row r="203" spans="1:14" ht="14.4" thickBot="1" x14ac:dyDescent="0.35">
      <c r="A203" s="4" t="s">
        <v>19</v>
      </c>
      <c r="B203" s="4" t="s">
        <v>1521</v>
      </c>
      <c r="C203" s="4" t="s">
        <v>2185</v>
      </c>
      <c r="D203" s="4" t="s">
        <v>2186</v>
      </c>
      <c r="E203" s="4" t="s">
        <v>48</v>
      </c>
      <c r="F203" s="4" t="s">
        <v>2187</v>
      </c>
      <c r="G203" s="4" t="s">
        <v>2188</v>
      </c>
      <c r="H203" s="4" t="s">
        <v>26</v>
      </c>
      <c r="I203" s="4" t="s">
        <v>33</v>
      </c>
      <c r="J203" s="4" t="s">
        <v>27</v>
      </c>
      <c r="K203" s="4" t="s">
        <v>28</v>
      </c>
      <c r="L203" s="4" t="s">
        <v>28</v>
      </c>
      <c r="M203" s="4" t="s">
        <v>34</v>
      </c>
      <c r="N203" s="4" t="s">
        <v>28</v>
      </c>
    </row>
    <row r="204" spans="1:14" ht="14.4" thickBot="1" x14ac:dyDescent="0.35">
      <c r="A204" s="4" t="s">
        <v>19</v>
      </c>
      <c r="B204" s="4" t="s">
        <v>1521</v>
      </c>
      <c r="C204" s="4" t="s">
        <v>2185</v>
      </c>
      <c r="D204" s="4" t="s">
        <v>2186</v>
      </c>
      <c r="E204" s="4" t="s">
        <v>48</v>
      </c>
      <c r="F204" s="4" t="s">
        <v>5143</v>
      </c>
      <c r="G204" s="4" t="s">
        <v>5144</v>
      </c>
      <c r="H204" s="4" t="s">
        <v>69</v>
      </c>
      <c r="I204" s="4" t="s">
        <v>38</v>
      </c>
      <c r="J204" s="4" t="s">
        <v>28</v>
      </c>
      <c r="K204" s="4" t="s">
        <v>28</v>
      </c>
      <c r="L204" s="4" t="s">
        <v>27</v>
      </c>
      <c r="M204" s="4" t="s">
        <v>34</v>
      </c>
      <c r="N204" s="4" t="s">
        <v>28</v>
      </c>
    </row>
    <row r="205" spans="1:14" ht="14.4" thickBot="1" x14ac:dyDescent="0.35">
      <c r="A205" s="4" t="s">
        <v>19</v>
      </c>
      <c r="B205" s="4" t="s">
        <v>408</v>
      </c>
      <c r="C205" s="4" t="s">
        <v>1409</v>
      </c>
      <c r="D205" s="4" t="s">
        <v>1410</v>
      </c>
      <c r="E205" s="4" t="s">
        <v>254</v>
      </c>
      <c r="F205" s="4" t="s">
        <v>1411</v>
      </c>
      <c r="G205" s="4" t="s">
        <v>1412</v>
      </c>
      <c r="H205" s="4" t="s">
        <v>37</v>
      </c>
      <c r="I205" s="4" t="s">
        <v>38</v>
      </c>
      <c r="J205" s="4" t="s">
        <v>28</v>
      </c>
      <c r="K205" s="4" t="s">
        <v>28</v>
      </c>
      <c r="L205" s="4" t="s">
        <v>27</v>
      </c>
      <c r="M205" s="4" t="s">
        <v>34</v>
      </c>
      <c r="N205" s="4" t="s">
        <v>28</v>
      </c>
    </row>
    <row r="206" spans="1:14" ht="14.4" thickBot="1" x14ac:dyDescent="0.35">
      <c r="A206" s="4" t="s">
        <v>19</v>
      </c>
      <c r="B206" s="4" t="s">
        <v>408</v>
      </c>
      <c r="C206" s="4" t="s">
        <v>1409</v>
      </c>
      <c r="D206" s="4" t="s">
        <v>1410</v>
      </c>
      <c r="E206" s="4" t="s">
        <v>254</v>
      </c>
      <c r="F206" s="4" t="s">
        <v>1528</v>
      </c>
      <c r="G206" s="4" t="s">
        <v>1529</v>
      </c>
      <c r="H206" s="4" t="s">
        <v>135</v>
      </c>
      <c r="I206" s="4" t="s">
        <v>94</v>
      </c>
      <c r="J206" s="4" t="s">
        <v>27</v>
      </c>
      <c r="K206" s="4" t="s">
        <v>28</v>
      </c>
      <c r="L206" s="4" t="s">
        <v>28</v>
      </c>
      <c r="M206" s="4" t="s">
        <v>29</v>
      </c>
      <c r="N206" s="4" t="s">
        <v>28</v>
      </c>
    </row>
    <row r="207" spans="1:14" ht="14.4" thickBot="1" x14ac:dyDescent="0.35">
      <c r="A207" s="4" t="s">
        <v>19</v>
      </c>
      <c r="B207" s="4" t="s">
        <v>408</v>
      </c>
      <c r="C207" s="4" t="s">
        <v>1409</v>
      </c>
      <c r="D207" s="4" t="s">
        <v>1410</v>
      </c>
      <c r="E207" s="4" t="s">
        <v>254</v>
      </c>
      <c r="F207" s="4" t="s">
        <v>1530</v>
      </c>
      <c r="G207" s="4" t="s">
        <v>1531</v>
      </c>
      <c r="H207" s="4" t="s">
        <v>26</v>
      </c>
      <c r="I207" s="4" t="s">
        <v>26</v>
      </c>
      <c r="J207" s="4" t="s">
        <v>27</v>
      </c>
      <c r="K207" s="4" t="s">
        <v>28</v>
      </c>
      <c r="L207" s="4" t="s">
        <v>28</v>
      </c>
      <c r="M207" s="4" t="s">
        <v>130</v>
      </c>
      <c r="N207" s="4" t="s">
        <v>28</v>
      </c>
    </row>
    <row r="208" spans="1:14" ht="14.4" thickBot="1" x14ac:dyDescent="0.35">
      <c r="A208" s="4" t="s">
        <v>19</v>
      </c>
      <c r="B208" s="4" t="s">
        <v>408</v>
      </c>
      <c r="C208" s="4" t="s">
        <v>1409</v>
      </c>
      <c r="D208" s="4" t="s">
        <v>1410</v>
      </c>
      <c r="E208" s="4" t="s">
        <v>254</v>
      </c>
      <c r="F208" s="4" t="s">
        <v>2189</v>
      </c>
      <c r="G208" s="4" t="s">
        <v>2190</v>
      </c>
      <c r="H208" s="4" t="s">
        <v>122</v>
      </c>
      <c r="I208" s="4" t="s">
        <v>94</v>
      </c>
      <c r="J208" s="4" t="s">
        <v>28</v>
      </c>
      <c r="K208" s="4" t="s">
        <v>27</v>
      </c>
      <c r="L208" s="4" t="s">
        <v>28</v>
      </c>
      <c r="M208" s="4" t="s">
        <v>34</v>
      </c>
      <c r="N208" s="4" t="s">
        <v>28</v>
      </c>
    </row>
    <row r="209" spans="1:14" ht="14.4" thickBot="1" x14ac:dyDescent="0.35">
      <c r="A209" s="4" t="s">
        <v>19</v>
      </c>
      <c r="B209" s="4" t="s">
        <v>408</v>
      </c>
      <c r="C209" s="4" t="s">
        <v>1409</v>
      </c>
      <c r="D209" s="4" t="s">
        <v>1410</v>
      </c>
      <c r="E209" s="4" t="s">
        <v>254</v>
      </c>
      <c r="F209" s="4" t="s">
        <v>2999</v>
      </c>
      <c r="G209" s="4" t="s">
        <v>3000</v>
      </c>
      <c r="H209" s="4" t="s">
        <v>26</v>
      </c>
      <c r="I209" s="4" t="s">
        <v>94</v>
      </c>
      <c r="J209" s="5"/>
      <c r="K209" s="5"/>
      <c r="L209" s="5"/>
      <c r="M209" s="4" t="s">
        <v>29</v>
      </c>
      <c r="N209" s="5"/>
    </row>
    <row r="210" spans="1:14" ht="14.4" thickBot="1" x14ac:dyDescent="0.35">
      <c r="A210" s="4" t="s">
        <v>19</v>
      </c>
      <c r="B210" s="4" t="s">
        <v>408</v>
      </c>
      <c r="C210" s="4" t="s">
        <v>1409</v>
      </c>
      <c r="D210" s="4" t="s">
        <v>1410</v>
      </c>
      <c r="E210" s="4" t="s">
        <v>254</v>
      </c>
      <c r="F210" s="4" t="s">
        <v>3670</v>
      </c>
      <c r="G210" s="4" t="s">
        <v>3671</v>
      </c>
      <c r="H210" s="4" t="s">
        <v>135</v>
      </c>
      <c r="I210" s="4" t="s">
        <v>69</v>
      </c>
      <c r="J210" s="4" t="s">
        <v>27</v>
      </c>
      <c r="K210" s="4" t="s">
        <v>28</v>
      </c>
      <c r="L210" s="4" t="s">
        <v>28</v>
      </c>
      <c r="M210" s="4" t="s">
        <v>34</v>
      </c>
      <c r="N210" s="4" t="s">
        <v>28</v>
      </c>
    </row>
    <row r="211" spans="1:14" ht="14.4" thickBot="1" x14ac:dyDescent="0.35">
      <c r="A211" s="4" t="s">
        <v>19</v>
      </c>
      <c r="B211" s="4" t="s">
        <v>408</v>
      </c>
      <c r="C211" s="4" t="s">
        <v>1409</v>
      </c>
      <c r="D211" s="4" t="s">
        <v>1410</v>
      </c>
      <c r="E211" s="4" t="s">
        <v>254</v>
      </c>
      <c r="F211" s="4" t="s">
        <v>4443</v>
      </c>
      <c r="G211" s="4" t="s">
        <v>4444</v>
      </c>
      <c r="H211" s="4" t="s">
        <v>37</v>
      </c>
      <c r="I211" s="4" t="s">
        <v>38</v>
      </c>
      <c r="J211" s="4" t="s">
        <v>28</v>
      </c>
      <c r="K211" s="4" t="s">
        <v>28</v>
      </c>
      <c r="L211" s="4" t="s">
        <v>27</v>
      </c>
      <c r="M211" s="4" t="s">
        <v>34</v>
      </c>
      <c r="N211" s="4" t="s">
        <v>28</v>
      </c>
    </row>
    <row r="212" spans="1:14" ht="14.4" thickBot="1" x14ac:dyDescent="0.35">
      <c r="A212" s="4" t="s">
        <v>19</v>
      </c>
      <c r="B212" s="4" t="s">
        <v>408</v>
      </c>
      <c r="C212" s="4" t="s">
        <v>1409</v>
      </c>
      <c r="D212" s="4" t="s">
        <v>1410</v>
      </c>
      <c r="E212" s="4" t="s">
        <v>254</v>
      </c>
      <c r="F212" s="4" t="s">
        <v>1082</v>
      </c>
      <c r="G212" s="4" t="s">
        <v>4445</v>
      </c>
      <c r="H212" s="4" t="s">
        <v>69</v>
      </c>
      <c r="I212" s="4" t="s">
        <v>37</v>
      </c>
      <c r="J212" s="4" t="s">
        <v>28</v>
      </c>
      <c r="K212" s="4" t="s">
        <v>27</v>
      </c>
      <c r="L212" s="4" t="s">
        <v>28</v>
      </c>
      <c r="M212" s="4" t="s">
        <v>34</v>
      </c>
      <c r="N212" s="4" t="s">
        <v>28</v>
      </c>
    </row>
    <row r="213" spans="1:14" ht="14.4" thickBot="1" x14ac:dyDescent="0.35">
      <c r="A213" s="4" t="s">
        <v>19</v>
      </c>
      <c r="B213" s="4" t="s">
        <v>408</v>
      </c>
      <c r="C213" s="4" t="s">
        <v>1409</v>
      </c>
      <c r="D213" s="4" t="s">
        <v>1410</v>
      </c>
      <c r="E213" s="4" t="s">
        <v>254</v>
      </c>
      <c r="F213" s="4" t="s">
        <v>4446</v>
      </c>
      <c r="G213" s="4" t="s">
        <v>4447</v>
      </c>
      <c r="H213" s="4" t="s">
        <v>135</v>
      </c>
      <c r="I213" s="4" t="s">
        <v>69</v>
      </c>
      <c r="J213" s="4" t="s">
        <v>27</v>
      </c>
      <c r="K213" s="4" t="s">
        <v>28</v>
      </c>
      <c r="L213" s="4" t="s">
        <v>28</v>
      </c>
      <c r="M213" s="4" t="s">
        <v>34</v>
      </c>
      <c r="N213" s="4" t="s">
        <v>28</v>
      </c>
    </row>
    <row r="214" spans="1:14" ht="14.4" thickBot="1" x14ac:dyDescent="0.35">
      <c r="A214" s="4" t="s">
        <v>19</v>
      </c>
      <c r="B214" s="4" t="s">
        <v>408</v>
      </c>
      <c r="C214" s="4" t="s">
        <v>1409</v>
      </c>
      <c r="D214" s="4" t="s">
        <v>1410</v>
      </c>
      <c r="E214" s="4" t="s">
        <v>254</v>
      </c>
      <c r="F214" s="4" t="s">
        <v>4448</v>
      </c>
      <c r="G214" s="4" t="s">
        <v>4449</v>
      </c>
      <c r="H214" s="4" t="s">
        <v>26</v>
      </c>
      <c r="I214" s="4" t="s">
        <v>26</v>
      </c>
      <c r="J214" s="4" t="s">
        <v>27</v>
      </c>
      <c r="K214" s="4" t="s">
        <v>28</v>
      </c>
      <c r="L214" s="4" t="s">
        <v>28</v>
      </c>
      <c r="M214" s="4" t="s">
        <v>34</v>
      </c>
      <c r="N214" s="4" t="s">
        <v>28</v>
      </c>
    </row>
    <row r="215" spans="1:14" ht="14.4" thickBot="1" x14ac:dyDescent="0.35">
      <c r="A215" s="4" t="s">
        <v>19</v>
      </c>
      <c r="B215" s="4" t="s">
        <v>408</v>
      </c>
      <c r="C215" s="4" t="s">
        <v>1409</v>
      </c>
      <c r="D215" s="4" t="s">
        <v>1410</v>
      </c>
      <c r="E215" s="4" t="s">
        <v>254</v>
      </c>
      <c r="F215" s="4" t="s">
        <v>4515</v>
      </c>
      <c r="G215" s="4" t="s">
        <v>4516</v>
      </c>
      <c r="H215" s="4" t="s">
        <v>69</v>
      </c>
      <c r="I215" s="4" t="s">
        <v>38</v>
      </c>
      <c r="J215" s="4" t="s">
        <v>28</v>
      </c>
      <c r="K215" s="4" t="s">
        <v>28</v>
      </c>
      <c r="L215" s="4" t="s">
        <v>27</v>
      </c>
      <c r="M215" s="4" t="s">
        <v>29</v>
      </c>
      <c r="N215" s="5"/>
    </row>
    <row r="216" spans="1:14" ht="14.4" thickBot="1" x14ac:dyDescent="0.35">
      <c r="A216" s="4" t="s">
        <v>19</v>
      </c>
      <c r="B216" s="4" t="s">
        <v>408</v>
      </c>
      <c r="C216" s="4" t="s">
        <v>1409</v>
      </c>
      <c r="D216" s="4" t="s">
        <v>1410</v>
      </c>
      <c r="E216" s="4" t="s">
        <v>254</v>
      </c>
      <c r="F216" s="4" t="s">
        <v>5815</v>
      </c>
      <c r="G216" s="4" t="s">
        <v>5816</v>
      </c>
      <c r="H216" s="4" t="s">
        <v>135</v>
      </c>
      <c r="I216" s="4" t="s">
        <v>69</v>
      </c>
      <c r="J216" s="4" t="s">
        <v>27</v>
      </c>
      <c r="K216" s="4" t="s">
        <v>28</v>
      </c>
      <c r="L216" s="4" t="s">
        <v>28</v>
      </c>
      <c r="M216" s="4" t="s">
        <v>34</v>
      </c>
      <c r="N216" s="4" t="s">
        <v>28</v>
      </c>
    </row>
    <row r="217" spans="1:14" ht="14.4" thickBot="1" x14ac:dyDescent="0.35">
      <c r="A217" s="4" t="s">
        <v>19</v>
      </c>
      <c r="B217" s="4" t="s">
        <v>408</v>
      </c>
      <c r="C217" s="4" t="s">
        <v>1409</v>
      </c>
      <c r="D217" s="4" t="s">
        <v>1410</v>
      </c>
      <c r="E217" s="4" t="s">
        <v>254</v>
      </c>
      <c r="F217" s="4" t="s">
        <v>5817</v>
      </c>
      <c r="G217" s="4" t="s">
        <v>5818</v>
      </c>
      <c r="H217" s="4" t="s">
        <v>135</v>
      </c>
      <c r="I217" s="4" t="s">
        <v>69</v>
      </c>
      <c r="J217" s="4" t="s">
        <v>27</v>
      </c>
      <c r="K217" s="4" t="s">
        <v>28</v>
      </c>
      <c r="L217" s="4" t="s">
        <v>28</v>
      </c>
      <c r="M217" s="4" t="s">
        <v>34</v>
      </c>
      <c r="N217" s="4" t="s">
        <v>28</v>
      </c>
    </row>
    <row r="218" spans="1:14" ht="14.4" thickBot="1" x14ac:dyDescent="0.35">
      <c r="A218" s="4" t="s">
        <v>19</v>
      </c>
      <c r="B218" s="4" t="s">
        <v>408</v>
      </c>
      <c r="C218" s="4" t="s">
        <v>1413</v>
      </c>
      <c r="D218" s="4" t="s">
        <v>1414</v>
      </c>
      <c r="E218" s="4" t="s">
        <v>254</v>
      </c>
      <c r="F218" s="4" t="s">
        <v>1415</v>
      </c>
      <c r="G218" s="4" t="s">
        <v>1416</v>
      </c>
      <c r="H218" s="4" t="s">
        <v>37</v>
      </c>
      <c r="I218" s="4" t="s">
        <v>38</v>
      </c>
      <c r="J218" s="4" t="s">
        <v>28</v>
      </c>
      <c r="K218" s="4" t="s">
        <v>28</v>
      </c>
      <c r="L218" s="4" t="s">
        <v>27</v>
      </c>
      <c r="M218" s="4" t="s">
        <v>34</v>
      </c>
      <c r="N218" s="4" t="s">
        <v>28</v>
      </c>
    </row>
    <row r="219" spans="1:14" ht="14.4" thickBot="1" x14ac:dyDescent="0.35">
      <c r="A219" s="4" t="s">
        <v>19</v>
      </c>
      <c r="B219" s="4" t="s">
        <v>408</v>
      </c>
      <c r="C219" s="4" t="s">
        <v>1413</v>
      </c>
      <c r="D219" s="4" t="s">
        <v>1414</v>
      </c>
      <c r="E219" s="4" t="s">
        <v>254</v>
      </c>
      <c r="F219" s="4" t="s">
        <v>2191</v>
      </c>
      <c r="G219" s="4" t="s">
        <v>2192</v>
      </c>
      <c r="H219" s="4" t="s">
        <v>135</v>
      </c>
      <c r="I219" s="4" t="s">
        <v>61</v>
      </c>
      <c r="J219" s="4" t="s">
        <v>27</v>
      </c>
      <c r="K219" s="4" t="s">
        <v>28</v>
      </c>
      <c r="L219" s="4" t="s">
        <v>28</v>
      </c>
      <c r="M219" s="4" t="s">
        <v>34</v>
      </c>
      <c r="N219" s="4" t="s">
        <v>28</v>
      </c>
    </row>
    <row r="220" spans="1:14" ht="14.4" thickBot="1" x14ac:dyDescent="0.35">
      <c r="A220" s="4" t="s">
        <v>19</v>
      </c>
      <c r="B220" s="4" t="s">
        <v>408</v>
      </c>
      <c r="C220" s="4" t="s">
        <v>1413</v>
      </c>
      <c r="D220" s="4" t="s">
        <v>1414</v>
      </c>
      <c r="E220" s="4" t="s">
        <v>254</v>
      </c>
      <c r="F220" s="4" t="s">
        <v>3001</v>
      </c>
      <c r="G220" s="4" t="s">
        <v>3002</v>
      </c>
      <c r="H220" s="4" t="s">
        <v>190</v>
      </c>
      <c r="I220" s="4" t="s">
        <v>69</v>
      </c>
      <c r="J220" s="4" t="s">
        <v>27</v>
      </c>
      <c r="K220" s="4" t="s">
        <v>28</v>
      </c>
      <c r="L220" s="4" t="s">
        <v>28</v>
      </c>
      <c r="M220" s="4" t="s">
        <v>29</v>
      </c>
      <c r="N220" s="4" t="s">
        <v>28</v>
      </c>
    </row>
    <row r="221" spans="1:14" ht="14.4" thickBot="1" x14ac:dyDescent="0.35">
      <c r="A221" s="4" t="s">
        <v>19</v>
      </c>
      <c r="B221" s="4" t="s">
        <v>408</v>
      </c>
      <c r="C221" s="4" t="s">
        <v>1413</v>
      </c>
      <c r="D221" s="4" t="s">
        <v>1414</v>
      </c>
      <c r="E221" s="4" t="s">
        <v>254</v>
      </c>
      <c r="F221" s="4" t="s">
        <v>5145</v>
      </c>
      <c r="G221" s="4" t="s">
        <v>5146</v>
      </c>
      <c r="H221" s="4" t="s">
        <v>69</v>
      </c>
      <c r="I221" s="4" t="s">
        <v>38</v>
      </c>
      <c r="J221" s="4" t="s">
        <v>28</v>
      </c>
      <c r="K221" s="4" t="s">
        <v>28</v>
      </c>
      <c r="L221" s="4" t="s">
        <v>27</v>
      </c>
      <c r="M221" s="4" t="s">
        <v>34</v>
      </c>
      <c r="N221" s="4" t="s">
        <v>28</v>
      </c>
    </row>
    <row r="222" spans="1:14" ht="14.4" thickBot="1" x14ac:dyDescent="0.35">
      <c r="A222" s="4" t="s">
        <v>19</v>
      </c>
      <c r="B222" s="4" t="s">
        <v>408</v>
      </c>
      <c r="C222" s="4" t="s">
        <v>1413</v>
      </c>
      <c r="D222" s="4" t="s">
        <v>1414</v>
      </c>
      <c r="E222" s="4" t="s">
        <v>254</v>
      </c>
      <c r="F222" s="4" t="s">
        <v>5147</v>
      </c>
      <c r="G222" s="4" t="s">
        <v>5148</v>
      </c>
      <c r="H222" s="4" t="s">
        <v>32</v>
      </c>
      <c r="I222" s="4" t="s">
        <v>94</v>
      </c>
      <c r="J222" s="4" t="s">
        <v>27</v>
      </c>
      <c r="K222" s="4" t="s">
        <v>28</v>
      </c>
      <c r="L222" s="4" t="s">
        <v>28</v>
      </c>
      <c r="M222" s="4" t="s">
        <v>34</v>
      </c>
      <c r="N222" s="4" t="s">
        <v>28</v>
      </c>
    </row>
    <row r="223" spans="1:14" ht="14.4" thickBot="1" x14ac:dyDescent="0.35">
      <c r="A223" s="4" t="s">
        <v>19</v>
      </c>
      <c r="B223" s="4" t="s">
        <v>408</v>
      </c>
      <c r="C223" s="4" t="s">
        <v>1413</v>
      </c>
      <c r="D223" s="4" t="s">
        <v>1414</v>
      </c>
      <c r="E223" s="4" t="s">
        <v>254</v>
      </c>
      <c r="F223" s="4" t="s">
        <v>5200</v>
      </c>
      <c r="G223" s="4" t="s">
        <v>5201</v>
      </c>
      <c r="H223" s="4" t="s">
        <v>26</v>
      </c>
      <c r="I223" s="4" t="s">
        <v>26</v>
      </c>
      <c r="J223" s="4" t="s">
        <v>27</v>
      </c>
      <c r="K223" s="4" t="s">
        <v>28</v>
      </c>
      <c r="L223" s="4" t="s">
        <v>28</v>
      </c>
      <c r="M223" s="4" t="s">
        <v>130</v>
      </c>
      <c r="N223" s="4" t="s">
        <v>28</v>
      </c>
    </row>
    <row r="224" spans="1:14" ht="14.4" thickBot="1" x14ac:dyDescent="0.35">
      <c r="A224" s="4" t="s">
        <v>19</v>
      </c>
      <c r="B224" s="4" t="s">
        <v>408</v>
      </c>
      <c r="C224" s="4" t="s">
        <v>1413</v>
      </c>
      <c r="D224" s="4" t="s">
        <v>1414</v>
      </c>
      <c r="E224" s="4" t="s">
        <v>254</v>
      </c>
      <c r="F224" s="4" t="s">
        <v>5819</v>
      </c>
      <c r="G224" s="4" t="s">
        <v>5820</v>
      </c>
      <c r="H224" s="4" t="s">
        <v>26</v>
      </c>
      <c r="I224" s="4" t="s">
        <v>26</v>
      </c>
      <c r="J224" s="4" t="s">
        <v>27</v>
      </c>
      <c r="K224" s="4" t="s">
        <v>28</v>
      </c>
      <c r="L224" s="4" t="s">
        <v>28</v>
      </c>
      <c r="M224" s="4" t="s">
        <v>34</v>
      </c>
      <c r="N224" s="4" t="s">
        <v>28</v>
      </c>
    </row>
    <row r="225" spans="1:14" ht="14.4" thickBot="1" x14ac:dyDescent="0.35">
      <c r="A225" s="4" t="s">
        <v>19</v>
      </c>
      <c r="B225" s="4" t="s">
        <v>408</v>
      </c>
      <c r="C225" s="4" t="s">
        <v>409</v>
      </c>
      <c r="D225" s="4" t="s">
        <v>410</v>
      </c>
      <c r="E225" s="4" t="s">
        <v>254</v>
      </c>
      <c r="F225" s="4" t="s">
        <v>411</v>
      </c>
      <c r="G225" s="4" t="s">
        <v>412</v>
      </c>
      <c r="H225" s="4" t="s">
        <v>69</v>
      </c>
      <c r="I225" s="4" t="s">
        <v>38</v>
      </c>
      <c r="J225" s="4" t="s">
        <v>28</v>
      </c>
      <c r="K225" s="4" t="s">
        <v>28</v>
      </c>
      <c r="L225" s="4" t="s">
        <v>27</v>
      </c>
      <c r="M225" s="4" t="s">
        <v>34</v>
      </c>
      <c r="N225" s="4" t="s">
        <v>28</v>
      </c>
    </row>
    <row r="226" spans="1:14" ht="14.4" thickBot="1" x14ac:dyDescent="0.35">
      <c r="A226" s="4" t="s">
        <v>19</v>
      </c>
      <c r="B226" s="4" t="s">
        <v>408</v>
      </c>
      <c r="C226" s="4" t="s">
        <v>409</v>
      </c>
      <c r="D226" s="4" t="s">
        <v>410</v>
      </c>
      <c r="E226" s="4" t="s">
        <v>254</v>
      </c>
      <c r="F226" s="4" t="s">
        <v>413</v>
      </c>
      <c r="G226" s="4" t="s">
        <v>414</v>
      </c>
      <c r="H226" s="4" t="s">
        <v>26</v>
      </c>
      <c r="I226" s="4" t="s">
        <v>33</v>
      </c>
      <c r="J226" s="4" t="s">
        <v>27</v>
      </c>
      <c r="K226" s="4" t="s">
        <v>28</v>
      </c>
      <c r="L226" s="4" t="s">
        <v>28</v>
      </c>
      <c r="M226" s="4" t="s">
        <v>34</v>
      </c>
      <c r="N226" s="4" t="s">
        <v>28</v>
      </c>
    </row>
    <row r="227" spans="1:14" ht="14.4" thickBot="1" x14ac:dyDescent="0.35">
      <c r="A227" s="4" t="s">
        <v>19</v>
      </c>
      <c r="B227" s="4" t="s">
        <v>408</v>
      </c>
      <c r="C227" s="4" t="s">
        <v>409</v>
      </c>
      <c r="D227" s="4" t="s">
        <v>410</v>
      </c>
      <c r="E227" s="4" t="s">
        <v>254</v>
      </c>
      <c r="F227" s="4" t="s">
        <v>415</v>
      </c>
      <c r="G227" s="4" t="s">
        <v>416</v>
      </c>
      <c r="H227" s="4" t="s">
        <v>69</v>
      </c>
      <c r="I227" s="4" t="s">
        <v>94</v>
      </c>
      <c r="J227" s="4" t="s">
        <v>28</v>
      </c>
      <c r="K227" s="4" t="s">
        <v>27</v>
      </c>
      <c r="L227" s="4" t="s">
        <v>28</v>
      </c>
      <c r="M227" s="4" t="s">
        <v>34</v>
      </c>
      <c r="N227" s="4" t="s">
        <v>28</v>
      </c>
    </row>
    <row r="228" spans="1:14" ht="14.4" thickBot="1" x14ac:dyDescent="0.35">
      <c r="A228" s="4" t="s">
        <v>19</v>
      </c>
      <c r="B228" s="4" t="s">
        <v>408</v>
      </c>
      <c r="C228" s="4" t="s">
        <v>409</v>
      </c>
      <c r="D228" s="4" t="s">
        <v>410</v>
      </c>
      <c r="E228" s="4" t="s">
        <v>254</v>
      </c>
      <c r="F228" s="4" t="s">
        <v>417</v>
      </c>
      <c r="G228" s="4" t="s">
        <v>418</v>
      </c>
      <c r="H228" s="4" t="s">
        <v>135</v>
      </c>
      <c r="I228" s="4" t="s">
        <v>94</v>
      </c>
      <c r="J228" s="4" t="s">
        <v>27</v>
      </c>
      <c r="K228" s="4" t="s">
        <v>28</v>
      </c>
      <c r="L228" s="4" t="s">
        <v>28</v>
      </c>
      <c r="M228" s="4" t="s">
        <v>34</v>
      </c>
      <c r="N228" s="4" t="s">
        <v>27</v>
      </c>
    </row>
    <row r="229" spans="1:14" ht="14.4" thickBot="1" x14ac:dyDescent="0.35">
      <c r="A229" s="4" t="s">
        <v>19</v>
      </c>
      <c r="B229" s="4" t="s">
        <v>408</v>
      </c>
      <c r="C229" s="4" t="s">
        <v>409</v>
      </c>
      <c r="D229" s="4" t="s">
        <v>410</v>
      </c>
      <c r="E229" s="4" t="s">
        <v>254</v>
      </c>
      <c r="F229" s="4" t="s">
        <v>419</v>
      </c>
      <c r="G229" s="4" t="s">
        <v>420</v>
      </c>
      <c r="H229" s="4" t="s">
        <v>26</v>
      </c>
      <c r="I229" s="4" t="s">
        <v>33</v>
      </c>
      <c r="J229" s="4" t="s">
        <v>27</v>
      </c>
      <c r="K229" s="4" t="s">
        <v>28</v>
      </c>
      <c r="L229" s="4" t="s">
        <v>28</v>
      </c>
      <c r="M229" s="4" t="s">
        <v>34</v>
      </c>
      <c r="N229" s="4" t="s">
        <v>28</v>
      </c>
    </row>
    <row r="230" spans="1:14" ht="14.4" thickBot="1" x14ac:dyDescent="0.35">
      <c r="A230" s="4" t="s">
        <v>19</v>
      </c>
      <c r="B230" s="4" t="s">
        <v>408</v>
      </c>
      <c r="C230" s="4" t="s">
        <v>409</v>
      </c>
      <c r="D230" s="4" t="s">
        <v>410</v>
      </c>
      <c r="E230" s="4" t="s">
        <v>254</v>
      </c>
      <c r="F230" s="4" t="s">
        <v>421</v>
      </c>
      <c r="G230" s="4" t="s">
        <v>422</v>
      </c>
      <c r="H230" s="4" t="s">
        <v>69</v>
      </c>
      <c r="I230" s="4" t="s">
        <v>94</v>
      </c>
      <c r="J230" s="4" t="s">
        <v>28</v>
      </c>
      <c r="K230" s="4" t="s">
        <v>27</v>
      </c>
      <c r="L230" s="4" t="s">
        <v>28</v>
      </c>
      <c r="M230" s="4" t="s">
        <v>34</v>
      </c>
      <c r="N230" s="4" t="s">
        <v>28</v>
      </c>
    </row>
    <row r="231" spans="1:14" ht="14.4" thickBot="1" x14ac:dyDescent="0.35">
      <c r="A231" s="4" t="s">
        <v>19</v>
      </c>
      <c r="B231" s="4" t="s">
        <v>408</v>
      </c>
      <c r="C231" s="4" t="s">
        <v>409</v>
      </c>
      <c r="D231" s="4" t="s">
        <v>410</v>
      </c>
      <c r="E231" s="4" t="s">
        <v>254</v>
      </c>
      <c r="F231" s="4" t="s">
        <v>423</v>
      </c>
      <c r="G231" s="4" t="s">
        <v>424</v>
      </c>
      <c r="H231" s="4" t="s">
        <v>26</v>
      </c>
      <c r="I231" s="4" t="s">
        <v>33</v>
      </c>
      <c r="J231" s="4" t="s">
        <v>27</v>
      </c>
      <c r="K231" s="4" t="s">
        <v>28</v>
      </c>
      <c r="L231" s="4" t="s">
        <v>28</v>
      </c>
      <c r="M231" s="4" t="s">
        <v>34</v>
      </c>
      <c r="N231" s="4" t="s">
        <v>28</v>
      </c>
    </row>
    <row r="232" spans="1:14" ht="14.4" thickBot="1" x14ac:dyDescent="0.35">
      <c r="A232" s="4" t="s">
        <v>19</v>
      </c>
      <c r="B232" s="4" t="s">
        <v>408</v>
      </c>
      <c r="C232" s="4" t="s">
        <v>409</v>
      </c>
      <c r="D232" s="4" t="s">
        <v>410</v>
      </c>
      <c r="E232" s="4" t="s">
        <v>254</v>
      </c>
      <c r="F232" s="4" t="s">
        <v>559</v>
      </c>
      <c r="G232" s="4" t="s">
        <v>560</v>
      </c>
      <c r="H232" s="4" t="s">
        <v>26</v>
      </c>
      <c r="I232" s="4" t="s">
        <v>135</v>
      </c>
      <c r="J232" s="4" t="s">
        <v>27</v>
      </c>
      <c r="K232" s="4" t="s">
        <v>28</v>
      </c>
      <c r="L232" s="4" t="s">
        <v>28</v>
      </c>
      <c r="M232" s="4" t="s">
        <v>29</v>
      </c>
      <c r="N232" s="4" t="s">
        <v>28</v>
      </c>
    </row>
    <row r="233" spans="1:14" ht="14.4" thickBot="1" x14ac:dyDescent="0.35">
      <c r="A233" s="4" t="s">
        <v>19</v>
      </c>
      <c r="B233" s="4" t="s">
        <v>408</v>
      </c>
      <c r="C233" s="4" t="s">
        <v>409</v>
      </c>
      <c r="D233" s="4" t="s">
        <v>410</v>
      </c>
      <c r="E233" s="4" t="s">
        <v>254</v>
      </c>
      <c r="F233" s="4" t="s">
        <v>561</v>
      </c>
      <c r="G233" s="4" t="s">
        <v>562</v>
      </c>
      <c r="H233" s="4" t="s">
        <v>26</v>
      </c>
      <c r="I233" s="4" t="s">
        <v>135</v>
      </c>
      <c r="J233" s="5"/>
      <c r="K233" s="5"/>
      <c r="L233" s="5"/>
      <c r="M233" s="4" t="s">
        <v>29</v>
      </c>
      <c r="N233" s="5"/>
    </row>
    <row r="234" spans="1:14" ht="14.4" thickBot="1" x14ac:dyDescent="0.35">
      <c r="A234" s="4" t="s">
        <v>19</v>
      </c>
      <c r="B234" s="4" t="s">
        <v>408</v>
      </c>
      <c r="C234" s="4" t="s">
        <v>409</v>
      </c>
      <c r="D234" s="4" t="s">
        <v>410</v>
      </c>
      <c r="E234" s="4" t="s">
        <v>254</v>
      </c>
      <c r="F234" s="4" t="s">
        <v>1329</v>
      </c>
      <c r="G234" s="4" t="s">
        <v>1330</v>
      </c>
      <c r="H234" s="4" t="s">
        <v>135</v>
      </c>
      <c r="I234" s="4" t="s">
        <v>94</v>
      </c>
      <c r="J234" s="4" t="s">
        <v>27</v>
      </c>
      <c r="K234" s="4" t="s">
        <v>28</v>
      </c>
      <c r="L234" s="4" t="s">
        <v>28</v>
      </c>
      <c r="M234" s="4" t="s">
        <v>34</v>
      </c>
      <c r="N234" s="4" t="s">
        <v>27</v>
      </c>
    </row>
    <row r="235" spans="1:14" ht="14.4" thickBot="1" x14ac:dyDescent="0.35">
      <c r="A235" s="4" t="s">
        <v>19</v>
      </c>
      <c r="B235" s="4" t="s">
        <v>408</v>
      </c>
      <c r="C235" s="4" t="s">
        <v>409</v>
      </c>
      <c r="D235" s="4" t="s">
        <v>410</v>
      </c>
      <c r="E235" s="4" t="s">
        <v>254</v>
      </c>
      <c r="F235" s="4" t="s">
        <v>1331</v>
      </c>
      <c r="G235" s="4" t="s">
        <v>1332</v>
      </c>
      <c r="H235" s="4" t="s">
        <v>69</v>
      </c>
      <c r="I235" s="4" t="s">
        <v>94</v>
      </c>
      <c r="J235" s="4" t="s">
        <v>28</v>
      </c>
      <c r="K235" s="4" t="s">
        <v>27</v>
      </c>
      <c r="L235" s="4" t="s">
        <v>28</v>
      </c>
      <c r="M235" s="4" t="s">
        <v>34</v>
      </c>
      <c r="N235" s="4" t="s">
        <v>28</v>
      </c>
    </row>
    <row r="236" spans="1:14" ht="14.4" thickBot="1" x14ac:dyDescent="0.35">
      <c r="A236" s="4" t="s">
        <v>19</v>
      </c>
      <c r="B236" s="4" t="s">
        <v>408</v>
      </c>
      <c r="C236" s="4" t="s">
        <v>409</v>
      </c>
      <c r="D236" s="4" t="s">
        <v>410</v>
      </c>
      <c r="E236" s="4" t="s">
        <v>254</v>
      </c>
      <c r="F236" s="4" t="s">
        <v>1333</v>
      </c>
      <c r="G236" s="4" t="s">
        <v>1334</v>
      </c>
      <c r="H236" s="4" t="s">
        <v>69</v>
      </c>
      <c r="I236" s="4" t="s">
        <v>94</v>
      </c>
      <c r="J236" s="4" t="s">
        <v>28</v>
      </c>
      <c r="K236" s="4" t="s">
        <v>27</v>
      </c>
      <c r="L236" s="4" t="s">
        <v>28</v>
      </c>
      <c r="M236" s="4" t="s">
        <v>34</v>
      </c>
      <c r="N236" s="4" t="s">
        <v>28</v>
      </c>
    </row>
    <row r="237" spans="1:14" ht="14.4" thickBot="1" x14ac:dyDescent="0.35">
      <c r="A237" s="4" t="s">
        <v>19</v>
      </c>
      <c r="B237" s="4" t="s">
        <v>408</v>
      </c>
      <c r="C237" s="4" t="s">
        <v>409</v>
      </c>
      <c r="D237" s="4" t="s">
        <v>410</v>
      </c>
      <c r="E237" s="4" t="s">
        <v>254</v>
      </c>
      <c r="F237" s="4" t="s">
        <v>1335</v>
      </c>
      <c r="G237" s="4" t="s">
        <v>1336</v>
      </c>
      <c r="H237" s="4" t="s">
        <v>26</v>
      </c>
      <c r="I237" s="4" t="s">
        <v>33</v>
      </c>
      <c r="J237" s="4" t="s">
        <v>27</v>
      </c>
      <c r="K237" s="4" t="s">
        <v>28</v>
      </c>
      <c r="L237" s="4" t="s">
        <v>28</v>
      </c>
      <c r="M237" s="4" t="s">
        <v>34</v>
      </c>
      <c r="N237" s="4" t="s">
        <v>28</v>
      </c>
    </row>
    <row r="238" spans="1:14" ht="14.4" thickBot="1" x14ac:dyDescent="0.35">
      <c r="A238" s="4" t="s">
        <v>19</v>
      </c>
      <c r="B238" s="4" t="s">
        <v>408</v>
      </c>
      <c r="C238" s="4" t="s">
        <v>409</v>
      </c>
      <c r="D238" s="4" t="s">
        <v>410</v>
      </c>
      <c r="E238" s="4" t="s">
        <v>254</v>
      </c>
      <c r="F238" s="4" t="s">
        <v>1337</v>
      </c>
      <c r="G238" s="4" t="s">
        <v>1338</v>
      </c>
      <c r="H238" s="4" t="s">
        <v>26</v>
      </c>
      <c r="I238" s="4" t="s">
        <v>33</v>
      </c>
      <c r="J238" s="4" t="s">
        <v>27</v>
      </c>
      <c r="K238" s="4" t="s">
        <v>28</v>
      </c>
      <c r="L238" s="4" t="s">
        <v>28</v>
      </c>
      <c r="M238" s="4" t="s">
        <v>34</v>
      </c>
      <c r="N238" s="4" t="s">
        <v>28</v>
      </c>
    </row>
    <row r="239" spans="1:14" ht="14.4" thickBot="1" x14ac:dyDescent="0.35">
      <c r="A239" s="4" t="s">
        <v>19</v>
      </c>
      <c r="B239" s="4" t="s">
        <v>408</v>
      </c>
      <c r="C239" s="4" t="s">
        <v>409</v>
      </c>
      <c r="D239" s="4" t="s">
        <v>410</v>
      </c>
      <c r="E239" s="4" t="s">
        <v>254</v>
      </c>
      <c r="F239" s="4" t="s">
        <v>1339</v>
      </c>
      <c r="G239" s="4" t="s">
        <v>1340</v>
      </c>
      <c r="H239" s="4" t="s">
        <v>26</v>
      </c>
      <c r="I239" s="4" t="s">
        <v>33</v>
      </c>
      <c r="J239" s="4" t="s">
        <v>27</v>
      </c>
      <c r="K239" s="4" t="s">
        <v>28</v>
      </c>
      <c r="L239" s="4" t="s">
        <v>28</v>
      </c>
      <c r="M239" s="4" t="s">
        <v>34</v>
      </c>
      <c r="N239" s="4" t="s">
        <v>28</v>
      </c>
    </row>
    <row r="240" spans="1:14" ht="14.4" thickBot="1" x14ac:dyDescent="0.35">
      <c r="A240" s="4" t="s">
        <v>19</v>
      </c>
      <c r="B240" s="4" t="s">
        <v>408</v>
      </c>
      <c r="C240" s="4" t="s">
        <v>409</v>
      </c>
      <c r="D240" s="4" t="s">
        <v>410</v>
      </c>
      <c r="E240" s="4" t="s">
        <v>254</v>
      </c>
      <c r="F240" s="4" t="s">
        <v>335</v>
      </c>
      <c r="G240" s="4" t="s">
        <v>1341</v>
      </c>
      <c r="H240" s="4" t="s">
        <v>26</v>
      </c>
      <c r="I240" s="4" t="s">
        <v>94</v>
      </c>
      <c r="J240" s="4" t="s">
        <v>27</v>
      </c>
      <c r="K240" s="4" t="s">
        <v>28</v>
      </c>
      <c r="L240" s="4" t="s">
        <v>28</v>
      </c>
      <c r="M240" s="4" t="s">
        <v>34</v>
      </c>
      <c r="N240" s="4" t="s">
        <v>28</v>
      </c>
    </row>
    <row r="241" spans="1:14" ht="14.4" thickBot="1" x14ac:dyDescent="0.35">
      <c r="A241" s="4" t="s">
        <v>19</v>
      </c>
      <c r="B241" s="4" t="s">
        <v>408</v>
      </c>
      <c r="C241" s="4" t="s">
        <v>409</v>
      </c>
      <c r="D241" s="4" t="s">
        <v>410</v>
      </c>
      <c r="E241" s="4" t="s">
        <v>254</v>
      </c>
      <c r="F241" s="4" t="s">
        <v>1342</v>
      </c>
      <c r="G241" s="4" t="s">
        <v>1343</v>
      </c>
      <c r="H241" s="4" t="s">
        <v>26</v>
      </c>
      <c r="I241" s="4" t="s">
        <v>33</v>
      </c>
      <c r="J241" s="4" t="s">
        <v>27</v>
      </c>
      <c r="K241" s="4" t="s">
        <v>28</v>
      </c>
      <c r="L241" s="4" t="s">
        <v>28</v>
      </c>
      <c r="M241" s="4" t="s">
        <v>34</v>
      </c>
      <c r="N241" s="4" t="s">
        <v>28</v>
      </c>
    </row>
    <row r="242" spans="1:14" ht="14.4" thickBot="1" x14ac:dyDescent="0.35">
      <c r="A242" s="4" t="s">
        <v>19</v>
      </c>
      <c r="B242" s="4" t="s">
        <v>408</v>
      </c>
      <c r="C242" s="4" t="s">
        <v>409</v>
      </c>
      <c r="D242" s="4" t="s">
        <v>410</v>
      </c>
      <c r="E242" s="4" t="s">
        <v>254</v>
      </c>
      <c r="F242" s="4" t="s">
        <v>1344</v>
      </c>
      <c r="G242" s="4" t="s">
        <v>1345</v>
      </c>
      <c r="H242" s="4" t="s">
        <v>69</v>
      </c>
      <c r="I242" s="4" t="s">
        <v>94</v>
      </c>
      <c r="J242" s="4" t="s">
        <v>28</v>
      </c>
      <c r="K242" s="4" t="s">
        <v>27</v>
      </c>
      <c r="L242" s="4" t="s">
        <v>28</v>
      </c>
      <c r="M242" s="4" t="s">
        <v>34</v>
      </c>
      <c r="N242" s="4" t="s">
        <v>28</v>
      </c>
    </row>
    <row r="243" spans="1:14" ht="14.4" thickBot="1" x14ac:dyDescent="0.35">
      <c r="A243" s="4" t="s">
        <v>19</v>
      </c>
      <c r="B243" s="4" t="s">
        <v>408</v>
      </c>
      <c r="C243" s="4" t="s">
        <v>409</v>
      </c>
      <c r="D243" s="4" t="s">
        <v>410</v>
      </c>
      <c r="E243" s="4" t="s">
        <v>254</v>
      </c>
      <c r="F243" s="4" t="s">
        <v>1346</v>
      </c>
      <c r="G243" s="4" t="s">
        <v>1347</v>
      </c>
      <c r="H243" s="4" t="s">
        <v>69</v>
      </c>
      <c r="I243" s="4" t="s">
        <v>94</v>
      </c>
      <c r="J243" s="4" t="s">
        <v>28</v>
      </c>
      <c r="K243" s="4" t="s">
        <v>27</v>
      </c>
      <c r="L243" s="4" t="s">
        <v>28</v>
      </c>
      <c r="M243" s="4" t="s">
        <v>34</v>
      </c>
      <c r="N243" s="4" t="s">
        <v>28</v>
      </c>
    </row>
    <row r="244" spans="1:14" ht="14.4" thickBot="1" x14ac:dyDescent="0.35">
      <c r="A244" s="4" t="s">
        <v>19</v>
      </c>
      <c r="B244" s="4" t="s">
        <v>408</v>
      </c>
      <c r="C244" s="4" t="s">
        <v>409</v>
      </c>
      <c r="D244" s="4" t="s">
        <v>410</v>
      </c>
      <c r="E244" s="4" t="s">
        <v>254</v>
      </c>
      <c r="F244" s="4" t="s">
        <v>1348</v>
      </c>
      <c r="G244" s="4" t="s">
        <v>1349</v>
      </c>
      <c r="H244" s="4" t="s">
        <v>26</v>
      </c>
      <c r="I244" s="4" t="s">
        <v>33</v>
      </c>
      <c r="J244" s="4" t="s">
        <v>27</v>
      </c>
      <c r="K244" s="4" t="s">
        <v>28</v>
      </c>
      <c r="L244" s="4" t="s">
        <v>28</v>
      </c>
      <c r="M244" s="4" t="s">
        <v>34</v>
      </c>
      <c r="N244" s="4" t="s">
        <v>28</v>
      </c>
    </row>
    <row r="245" spans="1:14" ht="14.4" thickBot="1" x14ac:dyDescent="0.35">
      <c r="A245" s="4" t="s">
        <v>19</v>
      </c>
      <c r="B245" s="4" t="s">
        <v>408</v>
      </c>
      <c r="C245" s="4" t="s">
        <v>409</v>
      </c>
      <c r="D245" s="4" t="s">
        <v>410</v>
      </c>
      <c r="E245" s="4" t="s">
        <v>254</v>
      </c>
      <c r="F245" s="4" t="s">
        <v>1489</v>
      </c>
      <c r="G245" s="4" t="s">
        <v>1490</v>
      </c>
      <c r="H245" s="4" t="s">
        <v>135</v>
      </c>
      <c r="I245" s="4" t="s">
        <v>94</v>
      </c>
      <c r="J245" s="4" t="s">
        <v>27</v>
      </c>
      <c r="K245" s="4" t="s">
        <v>28</v>
      </c>
      <c r="L245" s="4" t="s">
        <v>28</v>
      </c>
      <c r="M245" s="4" t="s">
        <v>29</v>
      </c>
      <c r="N245" s="4" t="s">
        <v>28</v>
      </c>
    </row>
    <row r="246" spans="1:14" ht="14.4" thickBot="1" x14ac:dyDescent="0.35">
      <c r="A246" s="4" t="s">
        <v>19</v>
      </c>
      <c r="B246" s="4" t="s">
        <v>408</v>
      </c>
      <c r="C246" s="4" t="s">
        <v>409</v>
      </c>
      <c r="D246" s="4" t="s">
        <v>410</v>
      </c>
      <c r="E246" s="4" t="s">
        <v>254</v>
      </c>
      <c r="F246" s="4" t="s">
        <v>1491</v>
      </c>
      <c r="G246" s="4" t="s">
        <v>1492</v>
      </c>
      <c r="H246" s="4" t="s">
        <v>26</v>
      </c>
      <c r="I246" s="4" t="s">
        <v>135</v>
      </c>
      <c r="J246" s="5"/>
      <c r="K246" s="5"/>
      <c r="L246" s="5"/>
      <c r="M246" s="4" t="s">
        <v>29</v>
      </c>
      <c r="N246" s="5"/>
    </row>
    <row r="247" spans="1:14" ht="14.4" thickBot="1" x14ac:dyDescent="0.35">
      <c r="A247" s="4" t="s">
        <v>19</v>
      </c>
      <c r="B247" s="4" t="s">
        <v>408</v>
      </c>
      <c r="C247" s="4" t="s">
        <v>409</v>
      </c>
      <c r="D247" s="4" t="s">
        <v>410</v>
      </c>
      <c r="E247" s="4" t="s">
        <v>254</v>
      </c>
      <c r="F247" s="4" t="s">
        <v>2122</v>
      </c>
      <c r="G247" s="4" t="s">
        <v>2123</v>
      </c>
      <c r="H247" s="4" t="s">
        <v>69</v>
      </c>
      <c r="I247" s="4" t="s">
        <v>94</v>
      </c>
      <c r="J247" s="4" t="s">
        <v>28</v>
      </c>
      <c r="K247" s="4" t="s">
        <v>27</v>
      </c>
      <c r="L247" s="4" t="s">
        <v>28</v>
      </c>
      <c r="M247" s="4" t="s">
        <v>34</v>
      </c>
      <c r="N247" s="4" t="s">
        <v>28</v>
      </c>
    </row>
    <row r="248" spans="1:14" ht="14.4" thickBot="1" x14ac:dyDescent="0.35">
      <c r="A248" s="4" t="s">
        <v>19</v>
      </c>
      <c r="B248" s="4" t="s">
        <v>408</v>
      </c>
      <c r="C248" s="4" t="s">
        <v>409</v>
      </c>
      <c r="D248" s="4" t="s">
        <v>410</v>
      </c>
      <c r="E248" s="4" t="s">
        <v>254</v>
      </c>
      <c r="F248" s="4" t="s">
        <v>2124</v>
      </c>
      <c r="G248" s="4" t="s">
        <v>613</v>
      </c>
      <c r="H248" s="4" t="s">
        <v>26</v>
      </c>
      <c r="I248" s="4" t="s">
        <v>33</v>
      </c>
      <c r="J248" s="4" t="s">
        <v>27</v>
      </c>
      <c r="K248" s="4" t="s">
        <v>28</v>
      </c>
      <c r="L248" s="4" t="s">
        <v>28</v>
      </c>
      <c r="M248" s="4" t="s">
        <v>34</v>
      </c>
      <c r="N248" s="4" t="s">
        <v>28</v>
      </c>
    </row>
    <row r="249" spans="1:14" ht="14.4" thickBot="1" x14ac:dyDescent="0.35">
      <c r="A249" s="4" t="s">
        <v>19</v>
      </c>
      <c r="B249" s="4" t="s">
        <v>408</v>
      </c>
      <c r="C249" s="4" t="s">
        <v>409</v>
      </c>
      <c r="D249" s="4" t="s">
        <v>410</v>
      </c>
      <c r="E249" s="4" t="s">
        <v>254</v>
      </c>
      <c r="F249" s="4" t="s">
        <v>2125</v>
      </c>
      <c r="G249" s="4" t="s">
        <v>2126</v>
      </c>
      <c r="H249" s="4" t="s">
        <v>26</v>
      </c>
      <c r="I249" s="4" t="s">
        <v>33</v>
      </c>
      <c r="J249" s="4" t="s">
        <v>27</v>
      </c>
      <c r="K249" s="4" t="s">
        <v>28</v>
      </c>
      <c r="L249" s="4" t="s">
        <v>28</v>
      </c>
      <c r="M249" s="4" t="s">
        <v>34</v>
      </c>
      <c r="N249" s="4" t="s">
        <v>28</v>
      </c>
    </row>
    <row r="250" spans="1:14" ht="14.4" thickBot="1" x14ac:dyDescent="0.35">
      <c r="A250" s="4" t="s">
        <v>19</v>
      </c>
      <c r="B250" s="4" t="s">
        <v>408</v>
      </c>
      <c r="C250" s="4" t="s">
        <v>409</v>
      </c>
      <c r="D250" s="4" t="s">
        <v>410</v>
      </c>
      <c r="E250" s="4" t="s">
        <v>254</v>
      </c>
      <c r="F250" s="4" t="s">
        <v>2127</v>
      </c>
      <c r="G250" s="4" t="s">
        <v>2128</v>
      </c>
      <c r="H250" s="4" t="s">
        <v>26</v>
      </c>
      <c r="I250" s="4" t="s">
        <v>33</v>
      </c>
      <c r="J250" s="4" t="s">
        <v>27</v>
      </c>
      <c r="K250" s="4" t="s">
        <v>28</v>
      </c>
      <c r="L250" s="4" t="s">
        <v>28</v>
      </c>
      <c r="M250" s="4" t="s">
        <v>34</v>
      </c>
      <c r="N250" s="4" t="s">
        <v>28</v>
      </c>
    </row>
    <row r="251" spans="1:14" ht="14.4" thickBot="1" x14ac:dyDescent="0.35">
      <c r="A251" s="4" t="s">
        <v>19</v>
      </c>
      <c r="B251" s="4" t="s">
        <v>408</v>
      </c>
      <c r="C251" s="4" t="s">
        <v>409</v>
      </c>
      <c r="D251" s="4" t="s">
        <v>410</v>
      </c>
      <c r="E251" s="4" t="s">
        <v>254</v>
      </c>
      <c r="F251" s="4" t="s">
        <v>2129</v>
      </c>
      <c r="G251" s="4" t="s">
        <v>2130</v>
      </c>
      <c r="H251" s="4" t="s">
        <v>26</v>
      </c>
      <c r="I251" s="4" t="s">
        <v>33</v>
      </c>
      <c r="J251" s="4" t="s">
        <v>27</v>
      </c>
      <c r="K251" s="4" t="s">
        <v>28</v>
      </c>
      <c r="L251" s="4" t="s">
        <v>28</v>
      </c>
      <c r="M251" s="4" t="s">
        <v>34</v>
      </c>
      <c r="N251" s="4" t="s">
        <v>28</v>
      </c>
    </row>
    <row r="252" spans="1:14" ht="14.4" thickBot="1" x14ac:dyDescent="0.35">
      <c r="A252" s="4" t="s">
        <v>19</v>
      </c>
      <c r="B252" s="4" t="s">
        <v>408</v>
      </c>
      <c r="C252" s="4" t="s">
        <v>409</v>
      </c>
      <c r="D252" s="4" t="s">
        <v>410</v>
      </c>
      <c r="E252" s="4" t="s">
        <v>254</v>
      </c>
      <c r="F252" s="4" t="s">
        <v>2131</v>
      </c>
      <c r="G252" s="4" t="s">
        <v>2132</v>
      </c>
      <c r="H252" s="4" t="s">
        <v>26</v>
      </c>
      <c r="I252" s="4" t="s">
        <v>33</v>
      </c>
      <c r="J252" s="4" t="s">
        <v>27</v>
      </c>
      <c r="K252" s="4" t="s">
        <v>28</v>
      </c>
      <c r="L252" s="4" t="s">
        <v>28</v>
      </c>
      <c r="M252" s="4" t="s">
        <v>34</v>
      </c>
      <c r="N252" s="4" t="s">
        <v>28</v>
      </c>
    </row>
    <row r="253" spans="1:14" ht="14.4" thickBot="1" x14ac:dyDescent="0.35">
      <c r="A253" s="4" t="s">
        <v>19</v>
      </c>
      <c r="B253" s="4" t="s">
        <v>408</v>
      </c>
      <c r="C253" s="4" t="s">
        <v>409</v>
      </c>
      <c r="D253" s="4" t="s">
        <v>410</v>
      </c>
      <c r="E253" s="4" t="s">
        <v>254</v>
      </c>
      <c r="F253" s="4" t="s">
        <v>2133</v>
      </c>
      <c r="G253" s="4" t="s">
        <v>2134</v>
      </c>
      <c r="H253" s="4" t="s">
        <v>26</v>
      </c>
      <c r="I253" s="4" t="s">
        <v>33</v>
      </c>
      <c r="J253" s="4" t="s">
        <v>27</v>
      </c>
      <c r="K253" s="4" t="s">
        <v>28</v>
      </c>
      <c r="L253" s="4" t="s">
        <v>28</v>
      </c>
      <c r="M253" s="4" t="s">
        <v>34</v>
      </c>
      <c r="N253" s="4" t="s">
        <v>28</v>
      </c>
    </row>
    <row r="254" spans="1:14" ht="14.4" thickBot="1" x14ac:dyDescent="0.35">
      <c r="A254" s="4" t="s">
        <v>19</v>
      </c>
      <c r="B254" s="4" t="s">
        <v>408</v>
      </c>
      <c r="C254" s="4" t="s">
        <v>409</v>
      </c>
      <c r="D254" s="4" t="s">
        <v>410</v>
      </c>
      <c r="E254" s="4" t="s">
        <v>254</v>
      </c>
      <c r="F254" s="4" t="s">
        <v>2228</v>
      </c>
      <c r="G254" s="4" t="s">
        <v>2229</v>
      </c>
      <c r="H254" s="4" t="s">
        <v>26</v>
      </c>
      <c r="I254" s="4" t="s">
        <v>116</v>
      </c>
      <c r="J254" s="4" t="s">
        <v>27</v>
      </c>
      <c r="K254" s="4" t="s">
        <v>28</v>
      </c>
      <c r="L254" s="4" t="s">
        <v>28</v>
      </c>
      <c r="M254" s="4" t="s">
        <v>29</v>
      </c>
      <c r="N254" s="4" t="s">
        <v>28</v>
      </c>
    </row>
    <row r="255" spans="1:14" ht="14.4" thickBot="1" x14ac:dyDescent="0.35">
      <c r="A255" s="4" t="s">
        <v>19</v>
      </c>
      <c r="B255" s="4" t="s">
        <v>408</v>
      </c>
      <c r="C255" s="4" t="s">
        <v>409</v>
      </c>
      <c r="D255" s="4" t="s">
        <v>410</v>
      </c>
      <c r="E255" s="4" t="s">
        <v>254</v>
      </c>
      <c r="F255" s="4" t="s">
        <v>2230</v>
      </c>
      <c r="G255" s="4" t="s">
        <v>2231</v>
      </c>
      <c r="H255" s="4" t="s">
        <v>26</v>
      </c>
      <c r="I255" s="4" t="s">
        <v>116</v>
      </c>
      <c r="J255" s="4" t="s">
        <v>27</v>
      </c>
      <c r="K255" s="4" t="s">
        <v>28</v>
      </c>
      <c r="L255" s="4" t="s">
        <v>28</v>
      </c>
      <c r="M255" s="4" t="s">
        <v>29</v>
      </c>
      <c r="N255" s="4" t="s">
        <v>28</v>
      </c>
    </row>
    <row r="256" spans="1:14" ht="14.4" thickBot="1" x14ac:dyDescent="0.35">
      <c r="A256" s="4" t="s">
        <v>19</v>
      </c>
      <c r="B256" s="4" t="s">
        <v>408</v>
      </c>
      <c r="C256" s="4" t="s">
        <v>409</v>
      </c>
      <c r="D256" s="4" t="s">
        <v>410</v>
      </c>
      <c r="E256" s="4" t="s">
        <v>254</v>
      </c>
      <c r="F256" s="4" t="s">
        <v>2232</v>
      </c>
      <c r="G256" s="4" t="s">
        <v>2233</v>
      </c>
      <c r="H256" s="4" t="s">
        <v>135</v>
      </c>
      <c r="I256" s="4" t="s">
        <v>38</v>
      </c>
      <c r="J256" s="4" t="s">
        <v>28</v>
      </c>
      <c r="K256" s="4" t="s">
        <v>28</v>
      </c>
      <c r="L256" s="4" t="s">
        <v>27</v>
      </c>
      <c r="M256" s="4" t="s">
        <v>29</v>
      </c>
      <c r="N256" s="5"/>
    </row>
    <row r="257" spans="1:14" ht="14.4" thickBot="1" x14ac:dyDescent="0.35">
      <c r="A257" s="4" t="s">
        <v>19</v>
      </c>
      <c r="B257" s="4" t="s">
        <v>408</v>
      </c>
      <c r="C257" s="4" t="s">
        <v>409</v>
      </c>
      <c r="D257" s="4" t="s">
        <v>410</v>
      </c>
      <c r="E257" s="4" t="s">
        <v>254</v>
      </c>
      <c r="F257" s="4" t="s">
        <v>2838</v>
      </c>
      <c r="G257" s="4" t="s">
        <v>2839</v>
      </c>
      <c r="H257" s="4" t="s">
        <v>26</v>
      </c>
      <c r="I257" s="4" t="s">
        <v>33</v>
      </c>
      <c r="J257" s="4" t="s">
        <v>27</v>
      </c>
      <c r="K257" s="4" t="s">
        <v>28</v>
      </c>
      <c r="L257" s="4" t="s">
        <v>28</v>
      </c>
      <c r="M257" s="4" t="s">
        <v>34</v>
      </c>
      <c r="N257" s="4" t="s">
        <v>28</v>
      </c>
    </row>
    <row r="258" spans="1:14" ht="14.4" thickBot="1" x14ac:dyDescent="0.35">
      <c r="A258" s="4" t="s">
        <v>19</v>
      </c>
      <c r="B258" s="4" t="s">
        <v>408</v>
      </c>
      <c r="C258" s="4" t="s">
        <v>409</v>
      </c>
      <c r="D258" s="4" t="s">
        <v>410</v>
      </c>
      <c r="E258" s="4" t="s">
        <v>254</v>
      </c>
      <c r="F258" s="4" t="s">
        <v>2840</v>
      </c>
      <c r="G258" s="4" t="s">
        <v>2841</v>
      </c>
      <c r="H258" s="4" t="s">
        <v>26</v>
      </c>
      <c r="I258" s="4" t="s">
        <v>33</v>
      </c>
      <c r="J258" s="4" t="s">
        <v>27</v>
      </c>
      <c r="K258" s="4" t="s">
        <v>28</v>
      </c>
      <c r="L258" s="4" t="s">
        <v>28</v>
      </c>
      <c r="M258" s="4" t="s">
        <v>34</v>
      </c>
      <c r="N258" s="4" t="s">
        <v>28</v>
      </c>
    </row>
    <row r="259" spans="1:14" ht="14.4" thickBot="1" x14ac:dyDescent="0.35">
      <c r="A259" s="4" t="s">
        <v>19</v>
      </c>
      <c r="B259" s="4" t="s">
        <v>408</v>
      </c>
      <c r="C259" s="4" t="s">
        <v>409</v>
      </c>
      <c r="D259" s="4" t="s">
        <v>410</v>
      </c>
      <c r="E259" s="4" t="s">
        <v>254</v>
      </c>
      <c r="F259" s="4" t="s">
        <v>2842</v>
      </c>
      <c r="G259" s="4" t="s">
        <v>2843</v>
      </c>
      <c r="H259" s="4" t="s">
        <v>135</v>
      </c>
      <c r="I259" s="4" t="s">
        <v>38</v>
      </c>
      <c r="J259" s="4" t="s">
        <v>28</v>
      </c>
      <c r="K259" s="4" t="s">
        <v>28</v>
      </c>
      <c r="L259" s="4" t="s">
        <v>27</v>
      </c>
      <c r="M259" s="4" t="s">
        <v>34</v>
      </c>
      <c r="N259" s="4" t="s">
        <v>28</v>
      </c>
    </row>
    <row r="260" spans="1:14" ht="14.4" thickBot="1" x14ac:dyDescent="0.35">
      <c r="A260" s="4" t="s">
        <v>19</v>
      </c>
      <c r="B260" s="4" t="s">
        <v>408</v>
      </c>
      <c r="C260" s="4" t="s">
        <v>409</v>
      </c>
      <c r="D260" s="4" t="s">
        <v>410</v>
      </c>
      <c r="E260" s="4" t="s">
        <v>254</v>
      </c>
      <c r="F260" s="4" t="s">
        <v>2844</v>
      </c>
      <c r="G260" s="4" t="s">
        <v>2845</v>
      </c>
      <c r="H260" s="4" t="s">
        <v>26</v>
      </c>
      <c r="I260" s="4" t="s">
        <v>33</v>
      </c>
      <c r="J260" s="4" t="s">
        <v>27</v>
      </c>
      <c r="K260" s="4" t="s">
        <v>28</v>
      </c>
      <c r="L260" s="4" t="s">
        <v>28</v>
      </c>
      <c r="M260" s="4" t="s">
        <v>34</v>
      </c>
      <c r="N260" s="4" t="s">
        <v>28</v>
      </c>
    </row>
    <row r="261" spans="1:14" ht="14.4" thickBot="1" x14ac:dyDescent="0.35">
      <c r="A261" s="4" t="s">
        <v>19</v>
      </c>
      <c r="B261" s="4" t="s">
        <v>408</v>
      </c>
      <c r="C261" s="4" t="s">
        <v>409</v>
      </c>
      <c r="D261" s="4" t="s">
        <v>410</v>
      </c>
      <c r="E261" s="4" t="s">
        <v>254</v>
      </c>
      <c r="F261" s="4" t="s">
        <v>2846</v>
      </c>
      <c r="G261" s="4" t="s">
        <v>2847</v>
      </c>
      <c r="H261" s="4" t="s">
        <v>26</v>
      </c>
      <c r="I261" s="4" t="s">
        <v>69</v>
      </c>
      <c r="J261" s="4" t="s">
        <v>27</v>
      </c>
      <c r="K261" s="4" t="s">
        <v>28</v>
      </c>
      <c r="L261" s="4" t="s">
        <v>28</v>
      </c>
      <c r="M261" s="4" t="s">
        <v>34</v>
      </c>
      <c r="N261" s="4" t="s">
        <v>28</v>
      </c>
    </row>
    <row r="262" spans="1:14" ht="14.4" thickBot="1" x14ac:dyDescent="0.35">
      <c r="A262" s="4" t="s">
        <v>19</v>
      </c>
      <c r="B262" s="4" t="s">
        <v>408</v>
      </c>
      <c r="C262" s="4" t="s">
        <v>409</v>
      </c>
      <c r="D262" s="4" t="s">
        <v>410</v>
      </c>
      <c r="E262" s="4" t="s">
        <v>254</v>
      </c>
      <c r="F262" s="4" t="s">
        <v>2848</v>
      </c>
      <c r="G262" s="4" t="s">
        <v>2849</v>
      </c>
      <c r="H262" s="4" t="s">
        <v>26</v>
      </c>
      <c r="I262" s="4" t="s">
        <v>33</v>
      </c>
      <c r="J262" s="4" t="s">
        <v>27</v>
      </c>
      <c r="K262" s="4" t="s">
        <v>28</v>
      </c>
      <c r="L262" s="4" t="s">
        <v>28</v>
      </c>
      <c r="M262" s="4" t="s">
        <v>34</v>
      </c>
      <c r="N262" s="4" t="s">
        <v>28</v>
      </c>
    </row>
    <row r="263" spans="1:14" ht="14.4" thickBot="1" x14ac:dyDescent="0.35">
      <c r="A263" s="4" t="s">
        <v>19</v>
      </c>
      <c r="B263" s="4" t="s">
        <v>408</v>
      </c>
      <c r="C263" s="4" t="s">
        <v>409</v>
      </c>
      <c r="D263" s="4" t="s">
        <v>410</v>
      </c>
      <c r="E263" s="4" t="s">
        <v>254</v>
      </c>
      <c r="F263" s="4" t="s">
        <v>2850</v>
      </c>
      <c r="G263" s="4" t="s">
        <v>2851</v>
      </c>
      <c r="H263" s="4" t="s">
        <v>26</v>
      </c>
      <c r="I263" s="4" t="s">
        <v>33</v>
      </c>
      <c r="J263" s="4" t="s">
        <v>27</v>
      </c>
      <c r="K263" s="4" t="s">
        <v>28</v>
      </c>
      <c r="L263" s="4" t="s">
        <v>28</v>
      </c>
      <c r="M263" s="4" t="s">
        <v>34</v>
      </c>
      <c r="N263" s="4" t="s">
        <v>28</v>
      </c>
    </row>
    <row r="264" spans="1:14" ht="14.4" thickBot="1" x14ac:dyDescent="0.35">
      <c r="A264" s="4" t="s">
        <v>19</v>
      </c>
      <c r="B264" s="4" t="s">
        <v>408</v>
      </c>
      <c r="C264" s="4" t="s">
        <v>409</v>
      </c>
      <c r="D264" s="4" t="s">
        <v>410</v>
      </c>
      <c r="E264" s="4" t="s">
        <v>254</v>
      </c>
      <c r="F264" s="4" t="s">
        <v>2852</v>
      </c>
      <c r="G264" s="4" t="s">
        <v>2853</v>
      </c>
      <c r="H264" s="4" t="s">
        <v>26</v>
      </c>
      <c r="I264" s="4" t="s">
        <v>33</v>
      </c>
      <c r="J264" s="4" t="s">
        <v>27</v>
      </c>
      <c r="K264" s="4" t="s">
        <v>28</v>
      </c>
      <c r="L264" s="4" t="s">
        <v>28</v>
      </c>
      <c r="M264" s="4" t="s">
        <v>34</v>
      </c>
      <c r="N264" s="4" t="s">
        <v>28</v>
      </c>
    </row>
    <row r="265" spans="1:14" ht="14.4" thickBot="1" x14ac:dyDescent="0.35">
      <c r="A265" s="4" t="s">
        <v>19</v>
      </c>
      <c r="B265" s="4" t="s">
        <v>408</v>
      </c>
      <c r="C265" s="4" t="s">
        <v>409</v>
      </c>
      <c r="D265" s="4" t="s">
        <v>410</v>
      </c>
      <c r="E265" s="4" t="s">
        <v>254</v>
      </c>
      <c r="F265" s="4" t="s">
        <v>2967</v>
      </c>
      <c r="G265" s="4" t="s">
        <v>2968</v>
      </c>
      <c r="H265" s="4" t="s">
        <v>26</v>
      </c>
      <c r="I265" s="4" t="s">
        <v>94</v>
      </c>
      <c r="J265" s="4" t="s">
        <v>27</v>
      </c>
      <c r="K265" s="4" t="s">
        <v>28</v>
      </c>
      <c r="L265" s="4" t="s">
        <v>28</v>
      </c>
      <c r="M265" s="4" t="s">
        <v>29</v>
      </c>
      <c r="N265" s="4" t="s">
        <v>28</v>
      </c>
    </row>
    <row r="266" spans="1:14" ht="14.4" thickBot="1" x14ac:dyDescent="0.35">
      <c r="A266" s="4" t="s">
        <v>19</v>
      </c>
      <c r="B266" s="4" t="s">
        <v>408</v>
      </c>
      <c r="C266" s="4" t="s">
        <v>409</v>
      </c>
      <c r="D266" s="4" t="s">
        <v>410</v>
      </c>
      <c r="E266" s="4" t="s">
        <v>254</v>
      </c>
      <c r="F266" s="4" t="s">
        <v>2969</v>
      </c>
      <c r="G266" s="4" t="s">
        <v>2970</v>
      </c>
      <c r="H266" s="4" t="s">
        <v>26</v>
      </c>
      <c r="I266" s="4" t="s">
        <v>94</v>
      </c>
      <c r="J266" s="4" t="s">
        <v>27</v>
      </c>
      <c r="K266" s="4" t="s">
        <v>28</v>
      </c>
      <c r="L266" s="4" t="s">
        <v>28</v>
      </c>
      <c r="M266" s="4" t="s">
        <v>29</v>
      </c>
      <c r="N266" s="4" t="s">
        <v>28</v>
      </c>
    </row>
    <row r="267" spans="1:14" ht="14.4" thickBot="1" x14ac:dyDescent="0.35">
      <c r="A267" s="4" t="s">
        <v>19</v>
      </c>
      <c r="B267" s="4" t="s">
        <v>408</v>
      </c>
      <c r="C267" s="4" t="s">
        <v>409</v>
      </c>
      <c r="D267" s="4" t="s">
        <v>410</v>
      </c>
      <c r="E267" s="4" t="s">
        <v>254</v>
      </c>
      <c r="F267" s="4" t="s">
        <v>2971</v>
      </c>
      <c r="G267" s="4" t="s">
        <v>2972</v>
      </c>
      <c r="H267" s="4" t="s">
        <v>135</v>
      </c>
      <c r="I267" s="4" t="s">
        <v>33</v>
      </c>
      <c r="J267" s="5"/>
      <c r="K267" s="5"/>
      <c r="L267" s="5"/>
      <c r="M267" s="4" t="s">
        <v>29</v>
      </c>
      <c r="N267" s="5"/>
    </row>
    <row r="268" spans="1:14" ht="14.4" thickBot="1" x14ac:dyDescent="0.35">
      <c r="A268" s="4" t="s">
        <v>19</v>
      </c>
      <c r="B268" s="4" t="s">
        <v>408</v>
      </c>
      <c r="C268" s="4" t="s">
        <v>409</v>
      </c>
      <c r="D268" s="4" t="s">
        <v>410</v>
      </c>
      <c r="E268" s="4" t="s">
        <v>254</v>
      </c>
      <c r="F268" s="4" t="s">
        <v>2973</v>
      </c>
      <c r="G268" s="4" t="s">
        <v>2974</v>
      </c>
      <c r="H268" s="4" t="s">
        <v>26</v>
      </c>
      <c r="I268" s="4" t="s">
        <v>135</v>
      </c>
      <c r="J268" s="5"/>
      <c r="K268" s="5"/>
      <c r="L268" s="5"/>
      <c r="M268" s="4" t="s">
        <v>29</v>
      </c>
      <c r="N268" s="5"/>
    </row>
    <row r="269" spans="1:14" ht="14.4" thickBot="1" x14ac:dyDescent="0.35">
      <c r="A269" s="4" t="s">
        <v>19</v>
      </c>
      <c r="B269" s="4" t="s">
        <v>408</v>
      </c>
      <c r="C269" s="4" t="s">
        <v>409</v>
      </c>
      <c r="D269" s="4" t="s">
        <v>410</v>
      </c>
      <c r="E269" s="4" t="s">
        <v>254</v>
      </c>
      <c r="F269" s="4" t="s">
        <v>2975</v>
      </c>
      <c r="G269" s="4" t="s">
        <v>2976</v>
      </c>
      <c r="H269" s="4" t="s">
        <v>26</v>
      </c>
      <c r="I269" s="4" t="s">
        <v>135</v>
      </c>
      <c r="J269" s="4" t="s">
        <v>27</v>
      </c>
      <c r="K269" s="4" t="s">
        <v>28</v>
      </c>
      <c r="L269" s="4" t="s">
        <v>28</v>
      </c>
      <c r="M269" s="4" t="s">
        <v>29</v>
      </c>
      <c r="N269" s="5"/>
    </row>
    <row r="270" spans="1:14" ht="14.4" thickBot="1" x14ac:dyDescent="0.35">
      <c r="A270" s="4" t="s">
        <v>19</v>
      </c>
      <c r="B270" s="4" t="s">
        <v>408</v>
      </c>
      <c r="C270" s="4" t="s">
        <v>409</v>
      </c>
      <c r="D270" s="4" t="s">
        <v>410</v>
      </c>
      <c r="E270" s="4" t="s">
        <v>254</v>
      </c>
      <c r="F270" s="4" t="s">
        <v>2977</v>
      </c>
      <c r="G270" s="4" t="s">
        <v>2978</v>
      </c>
      <c r="H270" s="4" t="s">
        <v>26</v>
      </c>
      <c r="I270" s="4" t="s">
        <v>94</v>
      </c>
      <c r="J270" s="5"/>
      <c r="K270" s="5"/>
      <c r="L270" s="5"/>
      <c r="M270" s="4" t="s">
        <v>29</v>
      </c>
      <c r="N270" s="5"/>
    </row>
    <row r="271" spans="1:14" ht="14.4" thickBot="1" x14ac:dyDescent="0.35">
      <c r="A271" s="4" t="s">
        <v>19</v>
      </c>
      <c r="B271" s="4" t="s">
        <v>408</v>
      </c>
      <c r="C271" s="4" t="s">
        <v>409</v>
      </c>
      <c r="D271" s="4" t="s">
        <v>410</v>
      </c>
      <c r="E271" s="4" t="s">
        <v>254</v>
      </c>
      <c r="F271" s="4" t="s">
        <v>3586</v>
      </c>
      <c r="G271" s="4" t="s">
        <v>3587</v>
      </c>
      <c r="H271" s="4" t="s">
        <v>26</v>
      </c>
      <c r="I271" s="4" t="s">
        <v>33</v>
      </c>
      <c r="J271" s="4" t="s">
        <v>27</v>
      </c>
      <c r="K271" s="4" t="s">
        <v>28</v>
      </c>
      <c r="L271" s="4" t="s">
        <v>28</v>
      </c>
      <c r="M271" s="4" t="s">
        <v>34</v>
      </c>
      <c r="N271" s="4" t="s">
        <v>28</v>
      </c>
    </row>
    <row r="272" spans="1:14" ht="14.4" thickBot="1" x14ac:dyDescent="0.35">
      <c r="A272" s="4" t="s">
        <v>19</v>
      </c>
      <c r="B272" s="4" t="s">
        <v>408</v>
      </c>
      <c r="C272" s="4" t="s">
        <v>409</v>
      </c>
      <c r="D272" s="4" t="s">
        <v>410</v>
      </c>
      <c r="E272" s="4" t="s">
        <v>254</v>
      </c>
      <c r="F272" s="4" t="s">
        <v>3588</v>
      </c>
      <c r="G272" s="4" t="s">
        <v>3589</v>
      </c>
      <c r="H272" s="4" t="s">
        <v>26</v>
      </c>
      <c r="I272" s="4" t="s">
        <v>33</v>
      </c>
      <c r="J272" s="4" t="s">
        <v>27</v>
      </c>
      <c r="K272" s="4" t="s">
        <v>28</v>
      </c>
      <c r="L272" s="4" t="s">
        <v>28</v>
      </c>
      <c r="M272" s="4" t="s">
        <v>34</v>
      </c>
      <c r="N272" s="4" t="s">
        <v>28</v>
      </c>
    </row>
    <row r="273" spans="1:14" ht="14.4" thickBot="1" x14ac:dyDescent="0.35">
      <c r="A273" s="4" t="s">
        <v>19</v>
      </c>
      <c r="B273" s="4" t="s">
        <v>408</v>
      </c>
      <c r="C273" s="4" t="s">
        <v>409</v>
      </c>
      <c r="D273" s="4" t="s">
        <v>410</v>
      </c>
      <c r="E273" s="4" t="s">
        <v>254</v>
      </c>
      <c r="F273" s="4" t="s">
        <v>3590</v>
      </c>
      <c r="G273" s="4" t="s">
        <v>3591</v>
      </c>
      <c r="H273" s="4" t="s">
        <v>26</v>
      </c>
      <c r="I273" s="4" t="s">
        <v>33</v>
      </c>
      <c r="J273" s="4" t="s">
        <v>27</v>
      </c>
      <c r="K273" s="4" t="s">
        <v>28</v>
      </c>
      <c r="L273" s="4" t="s">
        <v>28</v>
      </c>
      <c r="M273" s="4" t="s">
        <v>34</v>
      </c>
      <c r="N273" s="4" t="s">
        <v>28</v>
      </c>
    </row>
    <row r="274" spans="1:14" ht="14.4" thickBot="1" x14ac:dyDescent="0.35">
      <c r="A274" s="4" t="s">
        <v>19</v>
      </c>
      <c r="B274" s="4" t="s">
        <v>408</v>
      </c>
      <c r="C274" s="4" t="s">
        <v>409</v>
      </c>
      <c r="D274" s="4" t="s">
        <v>410</v>
      </c>
      <c r="E274" s="4" t="s">
        <v>254</v>
      </c>
      <c r="F274" s="4" t="s">
        <v>3592</v>
      </c>
      <c r="G274" s="4" t="s">
        <v>3593</v>
      </c>
      <c r="H274" s="4" t="s">
        <v>26</v>
      </c>
      <c r="I274" s="4" t="s">
        <v>33</v>
      </c>
      <c r="J274" s="4" t="s">
        <v>27</v>
      </c>
      <c r="K274" s="4" t="s">
        <v>28</v>
      </c>
      <c r="L274" s="4" t="s">
        <v>28</v>
      </c>
      <c r="M274" s="4" t="s">
        <v>34</v>
      </c>
      <c r="N274" s="4" t="s">
        <v>28</v>
      </c>
    </row>
    <row r="275" spans="1:14" ht="14.4" thickBot="1" x14ac:dyDescent="0.35">
      <c r="A275" s="4" t="s">
        <v>19</v>
      </c>
      <c r="B275" s="4" t="s">
        <v>408</v>
      </c>
      <c r="C275" s="4" t="s">
        <v>409</v>
      </c>
      <c r="D275" s="4" t="s">
        <v>410</v>
      </c>
      <c r="E275" s="4" t="s">
        <v>254</v>
      </c>
      <c r="F275" s="4" t="s">
        <v>3594</v>
      </c>
      <c r="G275" s="4" t="s">
        <v>3595</v>
      </c>
      <c r="H275" s="4" t="s">
        <v>26</v>
      </c>
      <c r="I275" s="4" t="s">
        <v>33</v>
      </c>
      <c r="J275" s="4" t="s">
        <v>27</v>
      </c>
      <c r="K275" s="4" t="s">
        <v>28</v>
      </c>
      <c r="L275" s="4" t="s">
        <v>28</v>
      </c>
      <c r="M275" s="4" t="s">
        <v>34</v>
      </c>
      <c r="N275" s="4" t="s">
        <v>28</v>
      </c>
    </row>
    <row r="276" spans="1:14" ht="14.4" thickBot="1" x14ac:dyDescent="0.35">
      <c r="A276" s="4" t="s">
        <v>19</v>
      </c>
      <c r="B276" s="4" t="s">
        <v>408</v>
      </c>
      <c r="C276" s="4" t="s">
        <v>409</v>
      </c>
      <c r="D276" s="4" t="s">
        <v>410</v>
      </c>
      <c r="E276" s="4" t="s">
        <v>254</v>
      </c>
      <c r="F276" s="4" t="s">
        <v>3596</v>
      </c>
      <c r="G276" s="4" t="s">
        <v>3597</v>
      </c>
      <c r="H276" s="4" t="s">
        <v>26</v>
      </c>
      <c r="I276" s="4" t="s">
        <v>33</v>
      </c>
      <c r="J276" s="4" t="s">
        <v>27</v>
      </c>
      <c r="K276" s="4" t="s">
        <v>28</v>
      </c>
      <c r="L276" s="4" t="s">
        <v>28</v>
      </c>
      <c r="M276" s="4" t="s">
        <v>34</v>
      </c>
      <c r="N276" s="4" t="s">
        <v>28</v>
      </c>
    </row>
    <row r="277" spans="1:14" ht="14.4" thickBot="1" x14ac:dyDescent="0.35">
      <c r="A277" s="4" t="s">
        <v>19</v>
      </c>
      <c r="B277" s="4" t="s">
        <v>408</v>
      </c>
      <c r="C277" s="4" t="s">
        <v>409</v>
      </c>
      <c r="D277" s="4" t="s">
        <v>410</v>
      </c>
      <c r="E277" s="4" t="s">
        <v>254</v>
      </c>
      <c r="F277" s="4" t="s">
        <v>3598</v>
      </c>
      <c r="G277" s="4" t="s">
        <v>3599</v>
      </c>
      <c r="H277" s="4" t="s">
        <v>26</v>
      </c>
      <c r="I277" s="4" t="s">
        <v>33</v>
      </c>
      <c r="J277" s="4" t="s">
        <v>27</v>
      </c>
      <c r="K277" s="4" t="s">
        <v>28</v>
      </c>
      <c r="L277" s="4" t="s">
        <v>28</v>
      </c>
      <c r="M277" s="4" t="s">
        <v>34</v>
      </c>
      <c r="N277" s="4" t="s">
        <v>28</v>
      </c>
    </row>
    <row r="278" spans="1:14" ht="14.4" thickBot="1" x14ac:dyDescent="0.35">
      <c r="A278" s="4" t="s">
        <v>19</v>
      </c>
      <c r="B278" s="4" t="s">
        <v>408</v>
      </c>
      <c r="C278" s="4" t="s">
        <v>409</v>
      </c>
      <c r="D278" s="4" t="s">
        <v>410</v>
      </c>
      <c r="E278" s="4" t="s">
        <v>254</v>
      </c>
      <c r="F278" s="4" t="s">
        <v>3600</v>
      </c>
      <c r="G278" s="4" t="s">
        <v>3601</v>
      </c>
      <c r="H278" s="4" t="s">
        <v>37</v>
      </c>
      <c r="I278" s="4" t="s">
        <v>38</v>
      </c>
      <c r="J278" s="4" t="s">
        <v>28</v>
      </c>
      <c r="K278" s="4" t="s">
        <v>28</v>
      </c>
      <c r="L278" s="4" t="s">
        <v>27</v>
      </c>
      <c r="M278" s="4" t="s">
        <v>34</v>
      </c>
      <c r="N278" s="4" t="s">
        <v>28</v>
      </c>
    </row>
    <row r="279" spans="1:14" ht="14.4" thickBot="1" x14ac:dyDescent="0.35">
      <c r="A279" s="4" t="s">
        <v>19</v>
      </c>
      <c r="B279" s="4" t="s">
        <v>408</v>
      </c>
      <c r="C279" s="4" t="s">
        <v>409</v>
      </c>
      <c r="D279" s="4" t="s">
        <v>410</v>
      </c>
      <c r="E279" s="4" t="s">
        <v>254</v>
      </c>
      <c r="F279" s="4" t="s">
        <v>3602</v>
      </c>
      <c r="G279" s="4" t="s">
        <v>3603</v>
      </c>
      <c r="H279" s="4" t="s">
        <v>26</v>
      </c>
      <c r="I279" s="4" t="s">
        <v>33</v>
      </c>
      <c r="J279" s="4" t="s">
        <v>27</v>
      </c>
      <c r="K279" s="4" t="s">
        <v>28</v>
      </c>
      <c r="L279" s="4" t="s">
        <v>28</v>
      </c>
      <c r="M279" s="4" t="s">
        <v>34</v>
      </c>
      <c r="N279" s="4" t="s">
        <v>28</v>
      </c>
    </row>
    <row r="280" spans="1:14" ht="14.4" thickBot="1" x14ac:dyDescent="0.35">
      <c r="A280" s="4" t="s">
        <v>19</v>
      </c>
      <c r="B280" s="4" t="s">
        <v>408</v>
      </c>
      <c r="C280" s="4" t="s">
        <v>409</v>
      </c>
      <c r="D280" s="4" t="s">
        <v>410</v>
      </c>
      <c r="E280" s="4" t="s">
        <v>254</v>
      </c>
      <c r="F280" s="4" t="s">
        <v>243</v>
      </c>
      <c r="G280" s="4" t="s">
        <v>3604</v>
      </c>
      <c r="H280" s="4" t="s">
        <v>37</v>
      </c>
      <c r="I280" s="4" t="s">
        <v>38</v>
      </c>
      <c r="J280" s="4" t="s">
        <v>28</v>
      </c>
      <c r="K280" s="4" t="s">
        <v>28</v>
      </c>
      <c r="L280" s="4" t="s">
        <v>27</v>
      </c>
      <c r="M280" s="4" t="s">
        <v>34</v>
      </c>
      <c r="N280" s="4" t="s">
        <v>28</v>
      </c>
    </row>
    <row r="281" spans="1:14" ht="14.4" thickBot="1" x14ac:dyDescent="0.35">
      <c r="A281" s="4" t="s">
        <v>19</v>
      </c>
      <c r="B281" s="4" t="s">
        <v>408</v>
      </c>
      <c r="C281" s="4" t="s">
        <v>409</v>
      </c>
      <c r="D281" s="4" t="s">
        <v>410</v>
      </c>
      <c r="E281" s="4" t="s">
        <v>254</v>
      </c>
      <c r="F281" s="4" t="s">
        <v>3710</v>
      </c>
      <c r="G281" s="4" t="s">
        <v>3711</v>
      </c>
      <c r="H281" s="4" t="s">
        <v>26</v>
      </c>
      <c r="I281" s="4" t="s">
        <v>135</v>
      </c>
      <c r="J281" s="4" t="s">
        <v>27</v>
      </c>
      <c r="K281" s="4" t="s">
        <v>28</v>
      </c>
      <c r="L281" s="4" t="s">
        <v>28</v>
      </c>
      <c r="M281" s="4" t="s">
        <v>29</v>
      </c>
      <c r="N281" s="4" t="s">
        <v>28</v>
      </c>
    </row>
    <row r="282" spans="1:14" ht="14.4" thickBot="1" x14ac:dyDescent="0.35">
      <c r="A282" s="4" t="s">
        <v>19</v>
      </c>
      <c r="B282" s="4" t="s">
        <v>408</v>
      </c>
      <c r="C282" s="4" t="s">
        <v>409</v>
      </c>
      <c r="D282" s="4" t="s">
        <v>410</v>
      </c>
      <c r="E282" s="4" t="s">
        <v>254</v>
      </c>
      <c r="F282" s="4" t="s">
        <v>4383</v>
      </c>
      <c r="G282" s="4" t="s">
        <v>4384</v>
      </c>
      <c r="H282" s="4" t="s">
        <v>26</v>
      </c>
      <c r="I282" s="4" t="s">
        <v>26</v>
      </c>
      <c r="J282" s="4" t="s">
        <v>27</v>
      </c>
      <c r="K282" s="4" t="s">
        <v>28</v>
      </c>
      <c r="L282" s="4" t="s">
        <v>28</v>
      </c>
      <c r="M282" s="4" t="s">
        <v>34</v>
      </c>
      <c r="N282" s="4" t="s">
        <v>28</v>
      </c>
    </row>
    <row r="283" spans="1:14" ht="14.4" thickBot="1" x14ac:dyDescent="0.35">
      <c r="A283" s="4" t="s">
        <v>19</v>
      </c>
      <c r="B283" s="4" t="s">
        <v>408</v>
      </c>
      <c r="C283" s="4" t="s">
        <v>409</v>
      </c>
      <c r="D283" s="4" t="s">
        <v>410</v>
      </c>
      <c r="E283" s="4" t="s">
        <v>254</v>
      </c>
      <c r="F283" s="4" t="s">
        <v>4385</v>
      </c>
      <c r="G283" s="4" t="s">
        <v>4386</v>
      </c>
      <c r="H283" s="4" t="s">
        <v>37</v>
      </c>
      <c r="I283" s="4" t="s">
        <v>38</v>
      </c>
      <c r="J283" s="4" t="s">
        <v>28</v>
      </c>
      <c r="K283" s="4" t="s">
        <v>28</v>
      </c>
      <c r="L283" s="4" t="s">
        <v>27</v>
      </c>
      <c r="M283" s="4" t="s">
        <v>34</v>
      </c>
      <c r="N283" s="4" t="s">
        <v>28</v>
      </c>
    </row>
    <row r="284" spans="1:14" ht="14.4" thickBot="1" x14ac:dyDescent="0.35">
      <c r="A284" s="4" t="s">
        <v>19</v>
      </c>
      <c r="B284" s="4" t="s">
        <v>408</v>
      </c>
      <c r="C284" s="4" t="s">
        <v>409</v>
      </c>
      <c r="D284" s="4" t="s">
        <v>410</v>
      </c>
      <c r="E284" s="4" t="s">
        <v>254</v>
      </c>
      <c r="F284" s="4" t="s">
        <v>4387</v>
      </c>
      <c r="G284" s="4" t="s">
        <v>4388</v>
      </c>
      <c r="H284" s="4" t="s">
        <v>37</v>
      </c>
      <c r="I284" s="4" t="s">
        <v>38</v>
      </c>
      <c r="J284" s="4" t="s">
        <v>28</v>
      </c>
      <c r="K284" s="4" t="s">
        <v>28</v>
      </c>
      <c r="L284" s="4" t="s">
        <v>27</v>
      </c>
      <c r="M284" s="4" t="s">
        <v>34</v>
      </c>
      <c r="N284" s="4" t="s">
        <v>28</v>
      </c>
    </row>
    <row r="285" spans="1:14" ht="14.4" thickBot="1" x14ac:dyDescent="0.35">
      <c r="A285" s="4" t="s">
        <v>19</v>
      </c>
      <c r="B285" s="4" t="s">
        <v>408</v>
      </c>
      <c r="C285" s="4" t="s">
        <v>409</v>
      </c>
      <c r="D285" s="4" t="s">
        <v>410</v>
      </c>
      <c r="E285" s="4" t="s">
        <v>254</v>
      </c>
      <c r="F285" s="4" t="s">
        <v>4389</v>
      </c>
      <c r="G285" s="4" t="s">
        <v>4390</v>
      </c>
      <c r="H285" s="4" t="s">
        <v>69</v>
      </c>
      <c r="I285" s="4" t="s">
        <v>94</v>
      </c>
      <c r="J285" s="4" t="s">
        <v>28</v>
      </c>
      <c r="K285" s="4" t="s">
        <v>27</v>
      </c>
      <c r="L285" s="4" t="s">
        <v>28</v>
      </c>
      <c r="M285" s="4" t="s">
        <v>34</v>
      </c>
      <c r="N285" s="4" t="s">
        <v>28</v>
      </c>
    </row>
    <row r="286" spans="1:14" ht="14.4" thickBot="1" x14ac:dyDescent="0.35">
      <c r="A286" s="4" t="s">
        <v>19</v>
      </c>
      <c r="B286" s="4" t="s">
        <v>408</v>
      </c>
      <c r="C286" s="4" t="s">
        <v>409</v>
      </c>
      <c r="D286" s="4" t="s">
        <v>410</v>
      </c>
      <c r="E286" s="4" t="s">
        <v>254</v>
      </c>
      <c r="F286" s="4" t="s">
        <v>4391</v>
      </c>
      <c r="G286" s="4" t="s">
        <v>2425</v>
      </c>
      <c r="H286" s="4" t="s">
        <v>26</v>
      </c>
      <c r="I286" s="4" t="s">
        <v>33</v>
      </c>
      <c r="J286" s="4" t="s">
        <v>27</v>
      </c>
      <c r="K286" s="4" t="s">
        <v>28</v>
      </c>
      <c r="L286" s="4" t="s">
        <v>28</v>
      </c>
      <c r="M286" s="4" t="s">
        <v>34</v>
      </c>
      <c r="N286" s="4" t="s">
        <v>28</v>
      </c>
    </row>
    <row r="287" spans="1:14" ht="14.4" thickBot="1" x14ac:dyDescent="0.35">
      <c r="A287" s="4" t="s">
        <v>19</v>
      </c>
      <c r="B287" s="4" t="s">
        <v>408</v>
      </c>
      <c r="C287" s="4" t="s">
        <v>409</v>
      </c>
      <c r="D287" s="4" t="s">
        <v>410</v>
      </c>
      <c r="E287" s="4" t="s">
        <v>254</v>
      </c>
      <c r="F287" s="4" t="s">
        <v>4392</v>
      </c>
      <c r="G287" s="4" t="s">
        <v>4393</v>
      </c>
      <c r="H287" s="4" t="s">
        <v>26</v>
      </c>
      <c r="I287" s="4" t="s">
        <v>33</v>
      </c>
      <c r="J287" s="4" t="s">
        <v>27</v>
      </c>
      <c r="K287" s="4" t="s">
        <v>28</v>
      </c>
      <c r="L287" s="4" t="s">
        <v>28</v>
      </c>
      <c r="M287" s="4" t="s">
        <v>34</v>
      </c>
      <c r="N287" s="4" t="s">
        <v>28</v>
      </c>
    </row>
    <row r="288" spans="1:14" ht="14.4" thickBot="1" x14ac:dyDescent="0.35">
      <c r="A288" s="4" t="s">
        <v>19</v>
      </c>
      <c r="B288" s="4" t="s">
        <v>408</v>
      </c>
      <c r="C288" s="4" t="s">
        <v>409</v>
      </c>
      <c r="D288" s="4" t="s">
        <v>410</v>
      </c>
      <c r="E288" s="4" t="s">
        <v>254</v>
      </c>
      <c r="F288" s="4" t="s">
        <v>4491</v>
      </c>
      <c r="G288" s="4" t="s">
        <v>4492</v>
      </c>
      <c r="H288" s="4" t="s">
        <v>26</v>
      </c>
      <c r="I288" s="4" t="s">
        <v>38</v>
      </c>
      <c r="J288" s="4" t="s">
        <v>28</v>
      </c>
      <c r="K288" s="4" t="s">
        <v>28</v>
      </c>
      <c r="L288" s="4" t="s">
        <v>27</v>
      </c>
      <c r="M288" s="4" t="s">
        <v>29</v>
      </c>
      <c r="N288" s="4" t="s">
        <v>28</v>
      </c>
    </row>
    <row r="289" spans="1:14" ht="14.4" thickBot="1" x14ac:dyDescent="0.35">
      <c r="A289" s="4" t="s">
        <v>19</v>
      </c>
      <c r="B289" s="4" t="s">
        <v>408</v>
      </c>
      <c r="C289" s="4" t="s">
        <v>409</v>
      </c>
      <c r="D289" s="4" t="s">
        <v>410</v>
      </c>
      <c r="E289" s="4" t="s">
        <v>254</v>
      </c>
      <c r="F289" s="4" t="s">
        <v>4493</v>
      </c>
      <c r="G289" s="4" t="s">
        <v>4494</v>
      </c>
      <c r="H289" s="4" t="s">
        <v>135</v>
      </c>
      <c r="I289" s="4" t="s">
        <v>94</v>
      </c>
      <c r="J289" s="5"/>
      <c r="K289" s="5"/>
      <c r="L289" s="5"/>
      <c r="M289" s="4" t="s">
        <v>29</v>
      </c>
      <c r="N289" s="5"/>
    </row>
    <row r="290" spans="1:14" ht="14.4" thickBot="1" x14ac:dyDescent="0.35">
      <c r="A290" s="4" t="s">
        <v>19</v>
      </c>
      <c r="B290" s="4" t="s">
        <v>408</v>
      </c>
      <c r="C290" s="4" t="s">
        <v>409</v>
      </c>
      <c r="D290" s="4" t="s">
        <v>410</v>
      </c>
      <c r="E290" s="4" t="s">
        <v>254</v>
      </c>
      <c r="F290" s="4" t="s">
        <v>4495</v>
      </c>
      <c r="G290" s="4" t="s">
        <v>4496</v>
      </c>
      <c r="H290" s="4" t="s">
        <v>33</v>
      </c>
      <c r="I290" s="4" t="s">
        <v>38</v>
      </c>
      <c r="J290" s="4" t="s">
        <v>28</v>
      </c>
      <c r="K290" s="4" t="s">
        <v>28</v>
      </c>
      <c r="L290" s="4" t="s">
        <v>27</v>
      </c>
      <c r="M290" s="4" t="s">
        <v>181</v>
      </c>
      <c r="N290" s="4" t="s">
        <v>28</v>
      </c>
    </row>
    <row r="291" spans="1:14" ht="14.4" thickBot="1" x14ac:dyDescent="0.35">
      <c r="A291" s="4" t="s">
        <v>19</v>
      </c>
      <c r="B291" s="4" t="s">
        <v>408</v>
      </c>
      <c r="C291" s="4" t="s">
        <v>409</v>
      </c>
      <c r="D291" s="4" t="s">
        <v>410</v>
      </c>
      <c r="E291" s="4" t="s">
        <v>254</v>
      </c>
      <c r="F291" s="4" t="s">
        <v>5052</v>
      </c>
      <c r="G291" s="4" t="s">
        <v>5053</v>
      </c>
      <c r="H291" s="4" t="s">
        <v>37</v>
      </c>
      <c r="I291" s="4" t="s">
        <v>38</v>
      </c>
      <c r="J291" s="4" t="s">
        <v>28</v>
      </c>
      <c r="K291" s="4" t="s">
        <v>28</v>
      </c>
      <c r="L291" s="4" t="s">
        <v>27</v>
      </c>
      <c r="M291" s="4" t="s">
        <v>34</v>
      </c>
      <c r="N291" s="4" t="s">
        <v>28</v>
      </c>
    </row>
    <row r="292" spans="1:14" ht="14.4" thickBot="1" x14ac:dyDescent="0.35">
      <c r="A292" s="4" t="s">
        <v>19</v>
      </c>
      <c r="B292" s="4" t="s">
        <v>408</v>
      </c>
      <c r="C292" s="4" t="s">
        <v>409</v>
      </c>
      <c r="D292" s="4" t="s">
        <v>410</v>
      </c>
      <c r="E292" s="4" t="s">
        <v>254</v>
      </c>
      <c r="F292" s="4" t="s">
        <v>2538</v>
      </c>
      <c r="G292" s="4" t="s">
        <v>5054</v>
      </c>
      <c r="H292" s="4" t="s">
        <v>69</v>
      </c>
      <c r="I292" s="4" t="s">
        <v>94</v>
      </c>
      <c r="J292" s="4" t="s">
        <v>28</v>
      </c>
      <c r="K292" s="4" t="s">
        <v>27</v>
      </c>
      <c r="L292" s="4" t="s">
        <v>28</v>
      </c>
      <c r="M292" s="4" t="s">
        <v>34</v>
      </c>
      <c r="N292" s="4" t="s">
        <v>28</v>
      </c>
    </row>
    <row r="293" spans="1:14" ht="14.4" thickBot="1" x14ac:dyDescent="0.35">
      <c r="A293" s="4" t="s">
        <v>19</v>
      </c>
      <c r="B293" s="4" t="s">
        <v>408</v>
      </c>
      <c r="C293" s="4" t="s">
        <v>409</v>
      </c>
      <c r="D293" s="4" t="s">
        <v>410</v>
      </c>
      <c r="E293" s="4" t="s">
        <v>254</v>
      </c>
      <c r="F293" s="4" t="s">
        <v>5055</v>
      </c>
      <c r="G293" s="4" t="s">
        <v>5056</v>
      </c>
      <c r="H293" s="4" t="s">
        <v>26</v>
      </c>
      <c r="I293" s="4" t="s">
        <v>33</v>
      </c>
      <c r="J293" s="4" t="s">
        <v>27</v>
      </c>
      <c r="K293" s="4" t="s">
        <v>28</v>
      </c>
      <c r="L293" s="4" t="s">
        <v>28</v>
      </c>
      <c r="M293" s="4" t="s">
        <v>34</v>
      </c>
      <c r="N293" s="4" t="s">
        <v>28</v>
      </c>
    </row>
    <row r="294" spans="1:14" ht="14.4" thickBot="1" x14ac:dyDescent="0.35">
      <c r="A294" s="4" t="s">
        <v>19</v>
      </c>
      <c r="B294" s="4" t="s">
        <v>408</v>
      </c>
      <c r="C294" s="4" t="s">
        <v>409</v>
      </c>
      <c r="D294" s="4" t="s">
        <v>410</v>
      </c>
      <c r="E294" s="4" t="s">
        <v>254</v>
      </c>
      <c r="F294" s="4" t="s">
        <v>5057</v>
      </c>
      <c r="G294" s="4" t="s">
        <v>5058</v>
      </c>
      <c r="H294" s="4" t="s">
        <v>26</v>
      </c>
      <c r="I294" s="4" t="s">
        <v>33</v>
      </c>
      <c r="J294" s="4" t="s">
        <v>27</v>
      </c>
      <c r="K294" s="4" t="s">
        <v>28</v>
      </c>
      <c r="L294" s="4" t="s">
        <v>28</v>
      </c>
      <c r="M294" s="4" t="s">
        <v>34</v>
      </c>
      <c r="N294" s="4" t="s">
        <v>28</v>
      </c>
    </row>
    <row r="295" spans="1:14" ht="14.4" thickBot="1" x14ac:dyDescent="0.35">
      <c r="A295" s="4" t="s">
        <v>19</v>
      </c>
      <c r="B295" s="4" t="s">
        <v>408</v>
      </c>
      <c r="C295" s="4" t="s">
        <v>409</v>
      </c>
      <c r="D295" s="4" t="s">
        <v>410</v>
      </c>
      <c r="E295" s="4" t="s">
        <v>254</v>
      </c>
      <c r="F295" s="4" t="s">
        <v>5059</v>
      </c>
      <c r="G295" s="4" t="s">
        <v>5060</v>
      </c>
      <c r="H295" s="4" t="s">
        <v>69</v>
      </c>
      <c r="I295" s="4" t="s">
        <v>94</v>
      </c>
      <c r="J295" s="4" t="s">
        <v>28</v>
      </c>
      <c r="K295" s="4" t="s">
        <v>27</v>
      </c>
      <c r="L295" s="4" t="s">
        <v>28</v>
      </c>
      <c r="M295" s="4" t="s">
        <v>34</v>
      </c>
      <c r="N295" s="4" t="s">
        <v>28</v>
      </c>
    </row>
    <row r="296" spans="1:14" ht="14.4" thickBot="1" x14ac:dyDescent="0.35">
      <c r="A296" s="4" t="s">
        <v>19</v>
      </c>
      <c r="B296" s="4" t="s">
        <v>408</v>
      </c>
      <c r="C296" s="4" t="s">
        <v>409</v>
      </c>
      <c r="D296" s="4" t="s">
        <v>410</v>
      </c>
      <c r="E296" s="4" t="s">
        <v>254</v>
      </c>
      <c r="F296" s="4" t="s">
        <v>5061</v>
      </c>
      <c r="G296" s="4" t="s">
        <v>5062</v>
      </c>
      <c r="H296" s="4" t="s">
        <v>26</v>
      </c>
      <c r="I296" s="4" t="s">
        <v>33</v>
      </c>
      <c r="J296" s="4" t="s">
        <v>27</v>
      </c>
      <c r="K296" s="4" t="s">
        <v>28</v>
      </c>
      <c r="L296" s="4" t="s">
        <v>28</v>
      </c>
      <c r="M296" s="4" t="s">
        <v>34</v>
      </c>
      <c r="N296" s="4" t="s">
        <v>28</v>
      </c>
    </row>
    <row r="297" spans="1:14" ht="14.4" thickBot="1" x14ac:dyDescent="0.35">
      <c r="A297" s="4" t="s">
        <v>19</v>
      </c>
      <c r="B297" s="4" t="s">
        <v>408</v>
      </c>
      <c r="C297" s="4" t="s">
        <v>409</v>
      </c>
      <c r="D297" s="4" t="s">
        <v>410</v>
      </c>
      <c r="E297" s="4" t="s">
        <v>254</v>
      </c>
      <c r="F297" s="4" t="s">
        <v>5063</v>
      </c>
      <c r="G297" s="4" t="s">
        <v>5064</v>
      </c>
      <c r="H297" s="4" t="s">
        <v>37</v>
      </c>
      <c r="I297" s="4" t="s">
        <v>38</v>
      </c>
      <c r="J297" s="4" t="s">
        <v>28</v>
      </c>
      <c r="K297" s="4" t="s">
        <v>28</v>
      </c>
      <c r="L297" s="4" t="s">
        <v>27</v>
      </c>
      <c r="M297" s="4" t="s">
        <v>34</v>
      </c>
      <c r="N297" s="4" t="s">
        <v>28</v>
      </c>
    </row>
    <row r="298" spans="1:14" ht="14.4" thickBot="1" x14ac:dyDescent="0.35">
      <c r="A298" s="4" t="s">
        <v>19</v>
      </c>
      <c r="B298" s="4" t="s">
        <v>408</v>
      </c>
      <c r="C298" s="4" t="s">
        <v>409</v>
      </c>
      <c r="D298" s="4" t="s">
        <v>410</v>
      </c>
      <c r="E298" s="4" t="s">
        <v>254</v>
      </c>
      <c r="F298" s="4" t="s">
        <v>5065</v>
      </c>
      <c r="G298" s="4" t="s">
        <v>5066</v>
      </c>
      <c r="H298" s="4" t="s">
        <v>26</v>
      </c>
      <c r="I298" s="4" t="s">
        <v>33</v>
      </c>
      <c r="J298" s="4" t="s">
        <v>27</v>
      </c>
      <c r="K298" s="4" t="s">
        <v>28</v>
      </c>
      <c r="L298" s="4" t="s">
        <v>28</v>
      </c>
      <c r="M298" s="4" t="s">
        <v>34</v>
      </c>
      <c r="N298" s="4" t="s">
        <v>28</v>
      </c>
    </row>
    <row r="299" spans="1:14" ht="14.4" thickBot="1" x14ac:dyDescent="0.35">
      <c r="A299" s="4" t="s">
        <v>19</v>
      </c>
      <c r="B299" s="4" t="s">
        <v>408</v>
      </c>
      <c r="C299" s="4" t="s">
        <v>409</v>
      </c>
      <c r="D299" s="4" t="s">
        <v>410</v>
      </c>
      <c r="E299" s="4" t="s">
        <v>254</v>
      </c>
      <c r="F299" s="4" t="s">
        <v>5067</v>
      </c>
      <c r="G299" s="4" t="s">
        <v>5068</v>
      </c>
      <c r="H299" s="4" t="s">
        <v>26</v>
      </c>
      <c r="I299" s="4" t="s">
        <v>33</v>
      </c>
      <c r="J299" s="4" t="s">
        <v>27</v>
      </c>
      <c r="K299" s="4" t="s">
        <v>28</v>
      </c>
      <c r="L299" s="4" t="s">
        <v>28</v>
      </c>
      <c r="M299" s="4" t="s">
        <v>34</v>
      </c>
      <c r="N299" s="4" t="s">
        <v>28</v>
      </c>
    </row>
    <row r="300" spans="1:14" ht="14.4" thickBot="1" x14ac:dyDescent="0.35">
      <c r="A300" s="4" t="s">
        <v>19</v>
      </c>
      <c r="B300" s="4" t="s">
        <v>408</v>
      </c>
      <c r="C300" s="4" t="s">
        <v>409</v>
      </c>
      <c r="D300" s="4" t="s">
        <v>410</v>
      </c>
      <c r="E300" s="4" t="s">
        <v>254</v>
      </c>
      <c r="F300" s="4" t="s">
        <v>5069</v>
      </c>
      <c r="G300" s="4" t="s">
        <v>4155</v>
      </c>
      <c r="H300" s="4" t="s">
        <v>26</v>
      </c>
      <c r="I300" s="4" t="s">
        <v>33</v>
      </c>
      <c r="J300" s="4" t="s">
        <v>27</v>
      </c>
      <c r="K300" s="4" t="s">
        <v>28</v>
      </c>
      <c r="L300" s="4" t="s">
        <v>28</v>
      </c>
      <c r="M300" s="4" t="s">
        <v>34</v>
      </c>
      <c r="N300" s="4" t="s">
        <v>28</v>
      </c>
    </row>
    <row r="301" spans="1:14" ht="14.4" thickBot="1" x14ac:dyDescent="0.35">
      <c r="A301" s="4" t="s">
        <v>19</v>
      </c>
      <c r="B301" s="4" t="s">
        <v>408</v>
      </c>
      <c r="C301" s="4" t="s">
        <v>409</v>
      </c>
      <c r="D301" s="4" t="s">
        <v>410</v>
      </c>
      <c r="E301" s="4" t="s">
        <v>254</v>
      </c>
      <c r="F301" s="4" t="s">
        <v>5070</v>
      </c>
      <c r="G301" s="4" t="s">
        <v>5071</v>
      </c>
      <c r="H301" s="4" t="s">
        <v>26</v>
      </c>
      <c r="I301" s="4" t="s">
        <v>33</v>
      </c>
      <c r="J301" s="4" t="s">
        <v>27</v>
      </c>
      <c r="K301" s="4" t="s">
        <v>28</v>
      </c>
      <c r="L301" s="4" t="s">
        <v>28</v>
      </c>
      <c r="M301" s="4" t="s">
        <v>34</v>
      </c>
      <c r="N301" s="4" t="s">
        <v>28</v>
      </c>
    </row>
    <row r="302" spans="1:14" ht="14.4" thickBot="1" x14ac:dyDescent="0.35">
      <c r="A302" s="4" t="s">
        <v>19</v>
      </c>
      <c r="B302" s="4" t="s">
        <v>408</v>
      </c>
      <c r="C302" s="4" t="s">
        <v>409</v>
      </c>
      <c r="D302" s="4" t="s">
        <v>410</v>
      </c>
      <c r="E302" s="4" t="s">
        <v>254</v>
      </c>
      <c r="F302" s="4" t="s">
        <v>5176</v>
      </c>
      <c r="G302" s="4" t="s">
        <v>5177</v>
      </c>
      <c r="H302" s="4" t="s">
        <v>26</v>
      </c>
      <c r="I302" s="4" t="s">
        <v>135</v>
      </c>
      <c r="J302" s="5"/>
      <c r="K302" s="5"/>
      <c r="L302" s="5"/>
      <c r="M302" s="4" t="s">
        <v>29</v>
      </c>
      <c r="N302" s="5"/>
    </row>
    <row r="303" spans="1:14" ht="14.4" thickBot="1" x14ac:dyDescent="0.35">
      <c r="A303" s="4" t="s">
        <v>19</v>
      </c>
      <c r="B303" s="4" t="s">
        <v>408</v>
      </c>
      <c r="C303" s="4" t="s">
        <v>409</v>
      </c>
      <c r="D303" s="4" t="s">
        <v>410</v>
      </c>
      <c r="E303" s="4" t="s">
        <v>254</v>
      </c>
      <c r="F303" s="4" t="s">
        <v>5178</v>
      </c>
      <c r="G303" s="4" t="s">
        <v>5179</v>
      </c>
      <c r="H303" s="4" t="s">
        <v>37</v>
      </c>
      <c r="I303" s="4" t="s">
        <v>38</v>
      </c>
      <c r="J303" s="5"/>
      <c r="K303" s="5"/>
      <c r="L303" s="5"/>
      <c r="M303" s="4" t="s">
        <v>29</v>
      </c>
      <c r="N303" s="5"/>
    </row>
    <row r="304" spans="1:14" ht="14.4" thickBot="1" x14ac:dyDescent="0.35">
      <c r="A304" s="4" t="s">
        <v>19</v>
      </c>
      <c r="B304" s="4" t="s">
        <v>408</v>
      </c>
      <c r="C304" s="4" t="s">
        <v>409</v>
      </c>
      <c r="D304" s="4" t="s">
        <v>410</v>
      </c>
      <c r="E304" s="4" t="s">
        <v>254</v>
      </c>
      <c r="F304" s="4" t="s">
        <v>5745</v>
      </c>
      <c r="G304" s="4" t="s">
        <v>5746</v>
      </c>
      <c r="H304" s="4" t="s">
        <v>69</v>
      </c>
      <c r="I304" s="4" t="s">
        <v>94</v>
      </c>
      <c r="J304" s="4" t="s">
        <v>28</v>
      </c>
      <c r="K304" s="4" t="s">
        <v>27</v>
      </c>
      <c r="L304" s="4" t="s">
        <v>28</v>
      </c>
      <c r="M304" s="4" t="s">
        <v>34</v>
      </c>
      <c r="N304" s="4" t="s">
        <v>27</v>
      </c>
    </row>
    <row r="305" spans="1:14" ht="14.4" thickBot="1" x14ac:dyDescent="0.35">
      <c r="A305" s="4" t="s">
        <v>19</v>
      </c>
      <c r="B305" s="4" t="s">
        <v>408</v>
      </c>
      <c r="C305" s="4" t="s">
        <v>409</v>
      </c>
      <c r="D305" s="4" t="s">
        <v>410</v>
      </c>
      <c r="E305" s="4" t="s">
        <v>254</v>
      </c>
      <c r="F305" s="4" t="s">
        <v>5747</v>
      </c>
      <c r="G305" s="4" t="s">
        <v>5748</v>
      </c>
      <c r="H305" s="4" t="s">
        <v>26</v>
      </c>
      <c r="I305" s="4" t="s">
        <v>26</v>
      </c>
      <c r="J305" s="4" t="s">
        <v>27</v>
      </c>
      <c r="K305" s="4" t="s">
        <v>28</v>
      </c>
      <c r="L305" s="4" t="s">
        <v>28</v>
      </c>
      <c r="M305" s="4" t="s">
        <v>34</v>
      </c>
      <c r="N305" s="4" t="s">
        <v>28</v>
      </c>
    </row>
    <row r="306" spans="1:14" ht="14.4" thickBot="1" x14ac:dyDescent="0.35">
      <c r="A306" s="4" t="s">
        <v>19</v>
      </c>
      <c r="B306" s="4" t="s">
        <v>408</v>
      </c>
      <c r="C306" s="4" t="s">
        <v>409</v>
      </c>
      <c r="D306" s="4" t="s">
        <v>410</v>
      </c>
      <c r="E306" s="4" t="s">
        <v>254</v>
      </c>
      <c r="F306" s="4" t="s">
        <v>5749</v>
      </c>
      <c r="G306" s="4" t="s">
        <v>5750</v>
      </c>
      <c r="H306" s="4" t="s">
        <v>26</v>
      </c>
      <c r="I306" s="4" t="s">
        <v>33</v>
      </c>
      <c r="J306" s="4" t="s">
        <v>27</v>
      </c>
      <c r="K306" s="4" t="s">
        <v>28</v>
      </c>
      <c r="L306" s="4" t="s">
        <v>28</v>
      </c>
      <c r="M306" s="4" t="s">
        <v>34</v>
      </c>
      <c r="N306" s="4" t="s">
        <v>28</v>
      </c>
    </row>
    <row r="307" spans="1:14" ht="14.4" thickBot="1" x14ac:dyDescent="0.35">
      <c r="A307" s="4" t="s">
        <v>19</v>
      </c>
      <c r="B307" s="4" t="s">
        <v>408</v>
      </c>
      <c r="C307" s="4" t="s">
        <v>409</v>
      </c>
      <c r="D307" s="4" t="s">
        <v>410</v>
      </c>
      <c r="E307" s="4" t="s">
        <v>254</v>
      </c>
      <c r="F307" s="4" t="s">
        <v>5751</v>
      </c>
      <c r="G307" s="4" t="s">
        <v>5752</v>
      </c>
      <c r="H307" s="4" t="s">
        <v>26</v>
      </c>
      <c r="I307" s="4" t="s">
        <v>26</v>
      </c>
      <c r="J307" s="4" t="s">
        <v>27</v>
      </c>
      <c r="K307" s="4" t="s">
        <v>28</v>
      </c>
      <c r="L307" s="4" t="s">
        <v>28</v>
      </c>
      <c r="M307" s="4" t="s">
        <v>34</v>
      </c>
      <c r="N307" s="4" t="s">
        <v>28</v>
      </c>
    </row>
    <row r="308" spans="1:14" ht="14.4" thickBot="1" x14ac:dyDescent="0.35">
      <c r="A308" s="4" t="s">
        <v>19</v>
      </c>
      <c r="B308" s="4" t="s">
        <v>408</v>
      </c>
      <c r="C308" s="4" t="s">
        <v>409</v>
      </c>
      <c r="D308" s="4" t="s">
        <v>410</v>
      </c>
      <c r="E308" s="4" t="s">
        <v>254</v>
      </c>
      <c r="F308" s="4" t="s">
        <v>5753</v>
      </c>
      <c r="G308" s="4" t="s">
        <v>5754</v>
      </c>
      <c r="H308" s="4" t="s">
        <v>69</v>
      </c>
      <c r="I308" s="4" t="s">
        <v>94</v>
      </c>
      <c r="J308" s="4" t="s">
        <v>28</v>
      </c>
      <c r="K308" s="4" t="s">
        <v>27</v>
      </c>
      <c r="L308" s="4" t="s">
        <v>28</v>
      </c>
      <c r="M308" s="4" t="s">
        <v>34</v>
      </c>
      <c r="N308" s="4" t="s">
        <v>28</v>
      </c>
    </row>
    <row r="309" spans="1:14" ht="14.4" thickBot="1" x14ac:dyDescent="0.35">
      <c r="A309" s="4" t="s">
        <v>19</v>
      </c>
      <c r="B309" s="4" t="s">
        <v>408</v>
      </c>
      <c r="C309" s="4" t="s">
        <v>409</v>
      </c>
      <c r="D309" s="4" t="s">
        <v>410</v>
      </c>
      <c r="E309" s="4" t="s">
        <v>254</v>
      </c>
      <c r="F309" s="4" t="s">
        <v>5755</v>
      </c>
      <c r="G309" s="4" t="s">
        <v>5756</v>
      </c>
      <c r="H309" s="4" t="s">
        <v>26</v>
      </c>
      <c r="I309" s="4" t="s">
        <v>33</v>
      </c>
      <c r="J309" s="4" t="s">
        <v>27</v>
      </c>
      <c r="K309" s="4" t="s">
        <v>28</v>
      </c>
      <c r="L309" s="4" t="s">
        <v>28</v>
      </c>
      <c r="M309" s="4" t="s">
        <v>34</v>
      </c>
      <c r="N309" s="4" t="s">
        <v>28</v>
      </c>
    </row>
    <row r="310" spans="1:14" ht="14.4" thickBot="1" x14ac:dyDescent="0.35">
      <c r="A310" s="4" t="s">
        <v>19</v>
      </c>
      <c r="B310" s="4" t="s">
        <v>408</v>
      </c>
      <c r="C310" s="4" t="s">
        <v>409</v>
      </c>
      <c r="D310" s="4" t="s">
        <v>410</v>
      </c>
      <c r="E310" s="4" t="s">
        <v>254</v>
      </c>
      <c r="F310" s="4" t="s">
        <v>5757</v>
      </c>
      <c r="G310" s="4" t="s">
        <v>5758</v>
      </c>
      <c r="H310" s="4" t="s">
        <v>26</v>
      </c>
      <c r="I310" s="4" t="s">
        <v>33</v>
      </c>
      <c r="J310" s="4" t="s">
        <v>27</v>
      </c>
      <c r="K310" s="4" t="s">
        <v>28</v>
      </c>
      <c r="L310" s="4" t="s">
        <v>28</v>
      </c>
      <c r="M310" s="4" t="s">
        <v>34</v>
      </c>
      <c r="N310" s="4" t="s">
        <v>28</v>
      </c>
    </row>
    <row r="311" spans="1:14" ht="14.4" thickBot="1" x14ac:dyDescent="0.35">
      <c r="A311" s="4" t="s">
        <v>19</v>
      </c>
      <c r="B311" s="4" t="s">
        <v>408</v>
      </c>
      <c r="C311" s="4" t="s">
        <v>409</v>
      </c>
      <c r="D311" s="4" t="s">
        <v>410</v>
      </c>
      <c r="E311" s="4" t="s">
        <v>254</v>
      </c>
      <c r="F311" s="4" t="s">
        <v>5759</v>
      </c>
      <c r="G311" s="4" t="s">
        <v>5760</v>
      </c>
      <c r="H311" s="4" t="s">
        <v>26</v>
      </c>
      <c r="I311" s="4" t="s">
        <v>33</v>
      </c>
      <c r="J311" s="4" t="s">
        <v>27</v>
      </c>
      <c r="K311" s="4" t="s">
        <v>28</v>
      </c>
      <c r="L311" s="4" t="s">
        <v>28</v>
      </c>
      <c r="M311" s="4" t="s">
        <v>34</v>
      </c>
      <c r="N311" s="4" t="s">
        <v>28</v>
      </c>
    </row>
    <row r="312" spans="1:14" ht="14.4" thickBot="1" x14ac:dyDescent="0.35">
      <c r="A312" s="4" t="s">
        <v>19</v>
      </c>
      <c r="B312" s="4" t="s">
        <v>408</v>
      </c>
      <c r="C312" s="4" t="s">
        <v>409</v>
      </c>
      <c r="D312" s="4" t="s">
        <v>410</v>
      </c>
      <c r="E312" s="4" t="s">
        <v>254</v>
      </c>
      <c r="F312" s="4" t="s">
        <v>5761</v>
      </c>
      <c r="G312" s="4" t="s">
        <v>5762</v>
      </c>
      <c r="H312" s="4" t="s">
        <v>37</v>
      </c>
      <c r="I312" s="4" t="s">
        <v>38</v>
      </c>
      <c r="J312" s="4" t="s">
        <v>28</v>
      </c>
      <c r="K312" s="4" t="s">
        <v>28</v>
      </c>
      <c r="L312" s="4" t="s">
        <v>27</v>
      </c>
      <c r="M312" s="4" t="s">
        <v>34</v>
      </c>
      <c r="N312" s="4" t="s">
        <v>28</v>
      </c>
    </row>
    <row r="313" spans="1:14" ht="14.4" thickBot="1" x14ac:dyDescent="0.35">
      <c r="A313" s="4" t="s">
        <v>19</v>
      </c>
      <c r="B313" s="4" t="s">
        <v>408</v>
      </c>
      <c r="C313" s="4" t="s">
        <v>409</v>
      </c>
      <c r="D313" s="4" t="s">
        <v>410</v>
      </c>
      <c r="E313" s="4" t="s">
        <v>254</v>
      </c>
      <c r="F313" s="4" t="s">
        <v>5855</v>
      </c>
      <c r="G313" s="4" t="s">
        <v>5856</v>
      </c>
      <c r="H313" s="4" t="s">
        <v>69</v>
      </c>
      <c r="I313" s="4" t="s">
        <v>38</v>
      </c>
      <c r="J313" s="5"/>
      <c r="K313" s="5"/>
      <c r="L313" s="5"/>
      <c r="M313" s="4" t="s">
        <v>29</v>
      </c>
      <c r="N313" s="5"/>
    </row>
    <row r="314" spans="1:14" ht="14.4" thickBot="1" x14ac:dyDescent="0.35">
      <c r="A314" s="4" t="s">
        <v>19</v>
      </c>
      <c r="B314" s="4" t="s">
        <v>408</v>
      </c>
      <c r="C314" s="4" t="s">
        <v>425</v>
      </c>
      <c r="D314" s="4" t="s">
        <v>426</v>
      </c>
      <c r="E314" s="4" t="s">
        <v>254</v>
      </c>
      <c r="F314" s="4" t="s">
        <v>427</v>
      </c>
      <c r="G314" s="4" t="s">
        <v>428</v>
      </c>
      <c r="H314" s="4" t="s">
        <v>26</v>
      </c>
      <c r="I314" s="4" t="s">
        <v>26</v>
      </c>
      <c r="J314" s="4" t="s">
        <v>27</v>
      </c>
      <c r="K314" s="4" t="s">
        <v>28</v>
      </c>
      <c r="L314" s="4" t="s">
        <v>28</v>
      </c>
      <c r="M314" s="4" t="s">
        <v>34</v>
      </c>
      <c r="N314" s="4" t="s">
        <v>28</v>
      </c>
    </row>
    <row r="315" spans="1:14" ht="14.4" thickBot="1" x14ac:dyDescent="0.35">
      <c r="A315" s="4" t="s">
        <v>19</v>
      </c>
      <c r="B315" s="4" t="s">
        <v>408</v>
      </c>
      <c r="C315" s="4" t="s">
        <v>425</v>
      </c>
      <c r="D315" s="4" t="s">
        <v>426</v>
      </c>
      <c r="E315" s="4" t="s">
        <v>254</v>
      </c>
      <c r="F315" s="4" t="s">
        <v>429</v>
      </c>
      <c r="G315" s="4" t="s">
        <v>430</v>
      </c>
      <c r="H315" s="4" t="s">
        <v>69</v>
      </c>
      <c r="I315" s="4" t="s">
        <v>94</v>
      </c>
      <c r="J315" s="4" t="s">
        <v>28</v>
      </c>
      <c r="K315" s="4" t="s">
        <v>27</v>
      </c>
      <c r="L315" s="4" t="s">
        <v>28</v>
      </c>
      <c r="M315" s="4" t="s">
        <v>34</v>
      </c>
      <c r="N315" s="4" t="s">
        <v>28</v>
      </c>
    </row>
    <row r="316" spans="1:14" ht="14.4" thickBot="1" x14ac:dyDescent="0.35">
      <c r="A316" s="4" t="s">
        <v>19</v>
      </c>
      <c r="B316" s="4" t="s">
        <v>408</v>
      </c>
      <c r="C316" s="4" t="s">
        <v>425</v>
      </c>
      <c r="D316" s="4" t="s">
        <v>426</v>
      </c>
      <c r="E316" s="4" t="s">
        <v>254</v>
      </c>
      <c r="F316" s="4" t="s">
        <v>431</v>
      </c>
      <c r="G316" s="4" t="s">
        <v>432</v>
      </c>
      <c r="H316" s="4" t="s">
        <v>26</v>
      </c>
      <c r="I316" s="4" t="s">
        <v>94</v>
      </c>
      <c r="J316" s="4" t="s">
        <v>27</v>
      </c>
      <c r="K316" s="4" t="s">
        <v>28</v>
      </c>
      <c r="L316" s="4" t="s">
        <v>28</v>
      </c>
      <c r="M316" s="4" t="s">
        <v>34</v>
      </c>
      <c r="N316" s="4" t="s">
        <v>27</v>
      </c>
    </row>
    <row r="317" spans="1:14" ht="14.4" thickBot="1" x14ac:dyDescent="0.35">
      <c r="A317" s="4" t="s">
        <v>19</v>
      </c>
      <c r="B317" s="4" t="s">
        <v>408</v>
      </c>
      <c r="C317" s="4" t="s">
        <v>425</v>
      </c>
      <c r="D317" s="4" t="s">
        <v>426</v>
      </c>
      <c r="E317" s="4" t="s">
        <v>254</v>
      </c>
      <c r="F317" s="4" t="s">
        <v>1350</v>
      </c>
      <c r="G317" s="4" t="s">
        <v>1351</v>
      </c>
      <c r="H317" s="4" t="s">
        <v>69</v>
      </c>
      <c r="I317" s="4" t="s">
        <v>94</v>
      </c>
      <c r="J317" s="4" t="s">
        <v>28</v>
      </c>
      <c r="K317" s="4" t="s">
        <v>27</v>
      </c>
      <c r="L317" s="4" t="s">
        <v>28</v>
      </c>
      <c r="M317" s="4" t="s">
        <v>34</v>
      </c>
      <c r="N317" s="4" t="s">
        <v>28</v>
      </c>
    </row>
    <row r="318" spans="1:14" ht="14.4" thickBot="1" x14ac:dyDescent="0.35">
      <c r="A318" s="4" t="s">
        <v>19</v>
      </c>
      <c r="B318" s="4" t="s">
        <v>408</v>
      </c>
      <c r="C318" s="4" t="s">
        <v>425</v>
      </c>
      <c r="D318" s="4" t="s">
        <v>426</v>
      </c>
      <c r="E318" s="4" t="s">
        <v>254</v>
      </c>
      <c r="F318" s="4" t="s">
        <v>1352</v>
      </c>
      <c r="G318" s="4" t="s">
        <v>1353</v>
      </c>
      <c r="H318" s="4" t="s">
        <v>69</v>
      </c>
      <c r="I318" s="4" t="s">
        <v>94</v>
      </c>
      <c r="J318" s="4" t="s">
        <v>28</v>
      </c>
      <c r="K318" s="4" t="s">
        <v>27</v>
      </c>
      <c r="L318" s="4" t="s">
        <v>28</v>
      </c>
      <c r="M318" s="4" t="s">
        <v>34</v>
      </c>
      <c r="N318" s="4" t="s">
        <v>28</v>
      </c>
    </row>
    <row r="319" spans="1:14" ht="14.4" thickBot="1" x14ac:dyDescent="0.35">
      <c r="A319" s="4" t="s">
        <v>19</v>
      </c>
      <c r="B319" s="4" t="s">
        <v>408</v>
      </c>
      <c r="C319" s="4" t="s">
        <v>425</v>
      </c>
      <c r="D319" s="4" t="s">
        <v>426</v>
      </c>
      <c r="E319" s="4" t="s">
        <v>254</v>
      </c>
      <c r="F319" s="4" t="s">
        <v>1354</v>
      </c>
      <c r="G319" s="4" t="s">
        <v>1355</v>
      </c>
      <c r="H319" s="4" t="s">
        <v>116</v>
      </c>
      <c r="I319" s="4" t="s">
        <v>33</v>
      </c>
      <c r="J319" s="4" t="s">
        <v>27</v>
      </c>
      <c r="K319" s="4" t="s">
        <v>28</v>
      </c>
      <c r="L319" s="4" t="s">
        <v>28</v>
      </c>
      <c r="M319" s="4" t="s">
        <v>34</v>
      </c>
      <c r="N319" s="4" t="s">
        <v>28</v>
      </c>
    </row>
    <row r="320" spans="1:14" ht="14.4" thickBot="1" x14ac:dyDescent="0.35">
      <c r="A320" s="4" t="s">
        <v>19</v>
      </c>
      <c r="B320" s="4" t="s">
        <v>408</v>
      </c>
      <c r="C320" s="4" t="s">
        <v>425</v>
      </c>
      <c r="D320" s="4" t="s">
        <v>426</v>
      </c>
      <c r="E320" s="4" t="s">
        <v>254</v>
      </c>
      <c r="F320" s="4" t="s">
        <v>1356</v>
      </c>
      <c r="G320" s="4" t="s">
        <v>1357</v>
      </c>
      <c r="H320" s="4" t="s">
        <v>116</v>
      </c>
      <c r="I320" s="4" t="s">
        <v>33</v>
      </c>
      <c r="J320" s="4" t="s">
        <v>27</v>
      </c>
      <c r="K320" s="4" t="s">
        <v>28</v>
      </c>
      <c r="L320" s="4" t="s">
        <v>28</v>
      </c>
      <c r="M320" s="4" t="s">
        <v>34</v>
      </c>
      <c r="N320" s="4" t="s">
        <v>28</v>
      </c>
    </row>
    <row r="321" spans="1:14" ht="14.4" thickBot="1" x14ac:dyDescent="0.35">
      <c r="A321" s="4" t="s">
        <v>19</v>
      </c>
      <c r="B321" s="4" t="s">
        <v>408</v>
      </c>
      <c r="C321" s="4" t="s">
        <v>425</v>
      </c>
      <c r="D321" s="4" t="s">
        <v>426</v>
      </c>
      <c r="E321" s="4" t="s">
        <v>254</v>
      </c>
      <c r="F321" s="4" t="s">
        <v>1358</v>
      </c>
      <c r="G321" s="4" t="s">
        <v>1359</v>
      </c>
      <c r="H321" s="4" t="s">
        <v>116</v>
      </c>
      <c r="I321" s="4" t="s">
        <v>33</v>
      </c>
      <c r="J321" s="4" t="s">
        <v>27</v>
      </c>
      <c r="K321" s="4" t="s">
        <v>28</v>
      </c>
      <c r="L321" s="4" t="s">
        <v>28</v>
      </c>
      <c r="M321" s="4" t="s">
        <v>34</v>
      </c>
      <c r="N321" s="4" t="s">
        <v>28</v>
      </c>
    </row>
    <row r="322" spans="1:14" ht="14.4" thickBot="1" x14ac:dyDescent="0.35">
      <c r="A322" s="4" t="s">
        <v>19</v>
      </c>
      <c r="B322" s="4" t="s">
        <v>408</v>
      </c>
      <c r="C322" s="4" t="s">
        <v>425</v>
      </c>
      <c r="D322" s="4" t="s">
        <v>426</v>
      </c>
      <c r="E322" s="4" t="s">
        <v>254</v>
      </c>
      <c r="F322" s="4" t="s">
        <v>1493</v>
      </c>
      <c r="G322" s="4" t="s">
        <v>1494</v>
      </c>
      <c r="H322" s="4" t="s">
        <v>26</v>
      </c>
      <c r="I322" s="4" t="s">
        <v>94</v>
      </c>
      <c r="J322" s="4" t="s">
        <v>27</v>
      </c>
      <c r="K322" s="4" t="s">
        <v>28</v>
      </c>
      <c r="L322" s="4" t="s">
        <v>28</v>
      </c>
      <c r="M322" s="4" t="s">
        <v>29</v>
      </c>
      <c r="N322" s="4" t="s">
        <v>28</v>
      </c>
    </row>
    <row r="323" spans="1:14" ht="14.4" thickBot="1" x14ac:dyDescent="0.35">
      <c r="A323" s="4" t="s">
        <v>19</v>
      </c>
      <c r="B323" s="4" t="s">
        <v>408</v>
      </c>
      <c r="C323" s="4" t="s">
        <v>425</v>
      </c>
      <c r="D323" s="4" t="s">
        <v>426</v>
      </c>
      <c r="E323" s="4" t="s">
        <v>254</v>
      </c>
      <c r="F323" s="4" t="s">
        <v>1495</v>
      </c>
      <c r="G323" s="4" t="s">
        <v>1496</v>
      </c>
      <c r="H323" s="4" t="s">
        <v>190</v>
      </c>
      <c r="I323" s="4" t="s">
        <v>116</v>
      </c>
      <c r="J323" s="4" t="s">
        <v>27</v>
      </c>
      <c r="K323" s="4" t="s">
        <v>28</v>
      </c>
      <c r="L323" s="4" t="s">
        <v>28</v>
      </c>
      <c r="M323" s="4" t="s">
        <v>29</v>
      </c>
      <c r="N323" s="4" t="s">
        <v>28</v>
      </c>
    </row>
    <row r="324" spans="1:14" ht="14.4" thickBot="1" x14ac:dyDescent="0.35">
      <c r="A324" s="4" t="s">
        <v>19</v>
      </c>
      <c r="B324" s="4" t="s">
        <v>408</v>
      </c>
      <c r="C324" s="4" t="s">
        <v>425</v>
      </c>
      <c r="D324" s="4" t="s">
        <v>426</v>
      </c>
      <c r="E324" s="4" t="s">
        <v>254</v>
      </c>
      <c r="F324" s="4" t="s">
        <v>1497</v>
      </c>
      <c r="G324" s="4" t="s">
        <v>1498</v>
      </c>
      <c r="H324" s="4" t="s">
        <v>26</v>
      </c>
      <c r="I324" s="4" t="s">
        <v>94</v>
      </c>
      <c r="J324" s="4" t="s">
        <v>27</v>
      </c>
      <c r="K324" s="4" t="s">
        <v>28</v>
      </c>
      <c r="L324" s="4" t="s">
        <v>28</v>
      </c>
      <c r="M324" s="4" t="s">
        <v>29</v>
      </c>
      <c r="N324" s="4" t="s">
        <v>28</v>
      </c>
    </row>
    <row r="325" spans="1:14" ht="14.4" thickBot="1" x14ac:dyDescent="0.35">
      <c r="A325" s="4" t="s">
        <v>19</v>
      </c>
      <c r="B325" s="4" t="s">
        <v>408</v>
      </c>
      <c r="C325" s="4" t="s">
        <v>425</v>
      </c>
      <c r="D325" s="4" t="s">
        <v>426</v>
      </c>
      <c r="E325" s="4" t="s">
        <v>254</v>
      </c>
      <c r="F325" s="4" t="s">
        <v>2135</v>
      </c>
      <c r="G325" s="4" t="s">
        <v>2136</v>
      </c>
      <c r="H325" s="4" t="s">
        <v>26</v>
      </c>
      <c r="I325" s="4" t="s">
        <v>33</v>
      </c>
      <c r="J325" s="4" t="s">
        <v>27</v>
      </c>
      <c r="K325" s="4" t="s">
        <v>28</v>
      </c>
      <c r="L325" s="4" t="s">
        <v>28</v>
      </c>
      <c r="M325" s="4" t="s">
        <v>34</v>
      </c>
      <c r="N325" s="4" t="s">
        <v>28</v>
      </c>
    </row>
    <row r="326" spans="1:14" ht="14.4" thickBot="1" x14ac:dyDescent="0.35">
      <c r="A326" s="4" t="s">
        <v>19</v>
      </c>
      <c r="B326" s="4" t="s">
        <v>408</v>
      </c>
      <c r="C326" s="4" t="s">
        <v>425</v>
      </c>
      <c r="D326" s="4" t="s">
        <v>426</v>
      </c>
      <c r="E326" s="4" t="s">
        <v>254</v>
      </c>
      <c r="F326" s="4" t="s">
        <v>2137</v>
      </c>
      <c r="G326" s="4" t="s">
        <v>2138</v>
      </c>
      <c r="H326" s="4" t="s">
        <v>37</v>
      </c>
      <c r="I326" s="4" t="s">
        <v>38</v>
      </c>
      <c r="J326" s="4" t="s">
        <v>28</v>
      </c>
      <c r="K326" s="4" t="s">
        <v>28</v>
      </c>
      <c r="L326" s="4" t="s">
        <v>27</v>
      </c>
      <c r="M326" s="4" t="s">
        <v>34</v>
      </c>
      <c r="N326" s="4" t="s">
        <v>28</v>
      </c>
    </row>
    <row r="327" spans="1:14" ht="14.4" thickBot="1" x14ac:dyDescent="0.35">
      <c r="A327" s="4" t="s">
        <v>19</v>
      </c>
      <c r="B327" s="4" t="s">
        <v>408</v>
      </c>
      <c r="C327" s="4" t="s">
        <v>425</v>
      </c>
      <c r="D327" s="4" t="s">
        <v>426</v>
      </c>
      <c r="E327" s="4" t="s">
        <v>254</v>
      </c>
      <c r="F327" s="4" t="s">
        <v>2234</v>
      </c>
      <c r="G327" s="4" t="s">
        <v>2235</v>
      </c>
      <c r="H327" s="4" t="s">
        <v>135</v>
      </c>
      <c r="I327" s="4" t="s">
        <v>94</v>
      </c>
      <c r="J327" s="4" t="s">
        <v>27</v>
      </c>
      <c r="K327" s="4" t="s">
        <v>28</v>
      </c>
      <c r="L327" s="4" t="s">
        <v>28</v>
      </c>
      <c r="M327" s="4" t="s">
        <v>29</v>
      </c>
      <c r="N327" s="4" t="s">
        <v>28</v>
      </c>
    </row>
    <row r="328" spans="1:14" ht="14.4" thickBot="1" x14ac:dyDescent="0.35">
      <c r="A328" s="4" t="s">
        <v>19</v>
      </c>
      <c r="B328" s="4" t="s">
        <v>408</v>
      </c>
      <c r="C328" s="4" t="s">
        <v>425</v>
      </c>
      <c r="D328" s="4" t="s">
        <v>426</v>
      </c>
      <c r="E328" s="4" t="s">
        <v>254</v>
      </c>
      <c r="F328" s="4" t="s">
        <v>2854</v>
      </c>
      <c r="G328" s="4" t="s">
        <v>2855</v>
      </c>
      <c r="H328" s="4" t="s">
        <v>116</v>
      </c>
      <c r="I328" s="4" t="s">
        <v>33</v>
      </c>
      <c r="J328" s="4" t="s">
        <v>27</v>
      </c>
      <c r="K328" s="4" t="s">
        <v>28</v>
      </c>
      <c r="L328" s="4" t="s">
        <v>28</v>
      </c>
      <c r="M328" s="4" t="s">
        <v>34</v>
      </c>
      <c r="N328" s="4" t="s">
        <v>28</v>
      </c>
    </row>
    <row r="329" spans="1:14" ht="14.4" thickBot="1" x14ac:dyDescent="0.35">
      <c r="A329" s="4" t="s">
        <v>19</v>
      </c>
      <c r="B329" s="4" t="s">
        <v>408</v>
      </c>
      <c r="C329" s="4" t="s">
        <v>425</v>
      </c>
      <c r="D329" s="4" t="s">
        <v>426</v>
      </c>
      <c r="E329" s="4" t="s">
        <v>254</v>
      </c>
      <c r="F329" s="4" t="s">
        <v>2979</v>
      </c>
      <c r="G329" s="4" t="s">
        <v>2980</v>
      </c>
      <c r="H329" s="4" t="s">
        <v>26</v>
      </c>
      <c r="I329" s="4" t="s">
        <v>94</v>
      </c>
      <c r="J329" s="4" t="s">
        <v>27</v>
      </c>
      <c r="K329" s="4" t="s">
        <v>28</v>
      </c>
      <c r="L329" s="4" t="s">
        <v>28</v>
      </c>
      <c r="M329" s="4" t="s">
        <v>29</v>
      </c>
      <c r="N329" s="5"/>
    </row>
    <row r="330" spans="1:14" ht="14.4" thickBot="1" x14ac:dyDescent="0.35">
      <c r="A330" s="4" t="s">
        <v>19</v>
      </c>
      <c r="B330" s="4" t="s">
        <v>408</v>
      </c>
      <c r="C330" s="4" t="s">
        <v>425</v>
      </c>
      <c r="D330" s="4" t="s">
        <v>426</v>
      </c>
      <c r="E330" s="4" t="s">
        <v>254</v>
      </c>
      <c r="F330" s="4" t="s">
        <v>3605</v>
      </c>
      <c r="G330" s="4" t="s">
        <v>3606</v>
      </c>
      <c r="H330" s="4" t="s">
        <v>26</v>
      </c>
      <c r="I330" s="4" t="s">
        <v>26</v>
      </c>
      <c r="J330" s="4" t="s">
        <v>27</v>
      </c>
      <c r="K330" s="4" t="s">
        <v>28</v>
      </c>
      <c r="L330" s="4" t="s">
        <v>28</v>
      </c>
      <c r="M330" s="4" t="s">
        <v>34</v>
      </c>
      <c r="N330" s="4" t="s">
        <v>28</v>
      </c>
    </row>
    <row r="331" spans="1:14" ht="14.4" thickBot="1" x14ac:dyDescent="0.35">
      <c r="A331" s="4" t="s">
        <v>19</v>
      </c>
      <c r="B331" s="4" t="s">
        <v>408</v>
      </c>
      <c r="C331" s="4" t="s">
        <v>425</v>
      </c>
      <c r="D331" s="4" t="s">
        <v>426</v>
      </c>
      <c r="E331" s="4" t="s">
        <v>254</v>
      </c>
      <c r="F331" s="4" t="s">
        <v>3607</v>
      </c>
      <c r="G331" s="4" t="s">
        <v>3608</v>
      </c>
      <c r="H331" s="4" t="s">
        <v>26</v>
      </c>
      <c r="I331" s="4" t="s">
        <v>33</v>
      </c>
      <c r="J331" s="4" t="s">
        <v>27</v>
      </c>
      <c r="K331" s="4" t="s">
        <v>28</v>
      </c>
      <c r="L331" s="4" t="s">
        <v>28</v>
      </c>
      <c r="M331" s="4" t="s">
        <v>34</v>
      </c>
      <c r="N331" s="4" t="s">
        <v>28</v>
      </c>
    </row>
    <row r="332" spans="1:14" ht="14.4" thickBot="1" x14ac:dyDescent="0.35">
      <c r="A332" s="4" t="s">
        <v>19</v>
      </c>
      <c r="B332" s="4" t="s">
        <v>408</v>
      </c>
      <c r="C332" s="4" t="s">
        <v>425</v>
      </c>
      <c r="D332" s="4" t="s">
        <v>426</v>
      </c>
      <c r="E332" s="4" t="s">
        <v>254</v>
      </c>
      <c r="F332" s="4" t="s">
        <v>3609</v>
      </c>
      <c r="G332" s="4" t="s">
        <v>3610</v>
      </c>
      <c r="H332" s="4" t="s">
        <v>116</v>
      </c>
      <c r="I332" s="4" t="s">
        <v>33</v>
      </c>
      <c r="J332" s="4" t="s">
        <v>27</v>
      </c>
      <c r="K332" s="4" t="s">
        <v>28</v>
      </c>
      <c r="L332" s="4" t="s">
        <v>28</v>
      </c>
      <c r="M332" s="4" t="s">
        <v>34</v>
      </c>
      <c r="N332" s="4" t="s">
        <v>28</v>
      </c>
    </row>
    <row r="333" spans="1:14" ht="14.4" thickBot="1" x14ac:dyDescent="0.35">
      <c r="A333" s="4" t="s">
        <v>19</v>
      </c>
      <c r="B333" s="4" t="s">
        <v>408</v>
      </c>
      <c r="C333" s="4" t="s">
        <v>425</v>
      </c>
      <c r="D333" s="4" t="s">
        <v>426</v>
      </c>
      <c r="E333" s="4" t="s">
        <v>254</v>
      </c>
      <c r="F333" s="4" t="s">
        <v>3611</v>
      </c>
      <c r="G333" s="4" t="s">
        <v>3612</v>
      </c>
      <c r="H333" s="4" t="s">
        <v>116</v>
      </c>
      <c r="I333" s="4" t="s">
        <v>94</v>
      </c>
      <c r="J333" s="4" t="s">
        <v>27</v>
      </c>
      <c r="K333" s="4" t="s">
        <v>28</v>
      </c>
      <c r="L333" s="4" t="s">
        <v>28</v>
      </c>
      <c r="M333" s="4" t="s">
        <v>34</v>
      </c>
      <c r="N333" s="4" t="s">
        <v>27</v>
      </c>
    </row>
    <row r="334" spans="1:14" ht="14.4" thickBot="1" x14ac:dyDescent="0.35">
      <c r="A334" s="4" t="s">
        <v>19</v>
      </c>
      <c r="B334" s="4" t="s">
        <v>408</v>
      </c>
      <c r="C334" s="4" t="s">
        <v>425</v>
      </c>
      <c r="D334" s="4" t="s">
        <v>426</v>
      </c>
      <c r="E334" s="4" t="s">
        <v>254</v>
      </c>
      <c r="F334" s="4" t="s">
        <v>4394</v>
      </c>
      <c r="G334" s="4" t="s">
        <v>4395</v>
      </c>
      <c r="H334" s="4" t="s">
        <v>116</v>
      </c>
      <c r="I334" s="4" t="s">
        <v>33</v>
      </c>
      <c r="J334" s="4" t="s">
        <v>27</v>
      </c>
      <c r="K334" s="4" t="s">
        <v>28</v>
      </c>
      <c r="L334" s="4" t="s">
        <v>28</v>
      </c>
      <c r="M334" s="4" t="s">
        <v>34</v>
      </c>
      <c r="N334" s="4" t="s">
        <v>28</v>
      </c>
    </row>
    <row r="335" spans="1:14" ht="14.4" thickBot="1" x14ac:dyDescent="0.35">
      <c r="A335" s="4" t="s">
        <v>19</v>
      </c>
      <c r="B335" s="4" t="s">
        <v>408</v>
      </c>
      <c r="C335" s="4" t="s">
        <v>425</v>
      </c>
      <c r="D335" s="4" t="s">
        <v>426</v>
      </c>
      <c r="E335" s="4" t="s">
        <v>254</v>
      </c>
      <c r="F335" s="4" t="s">
        <v>4396</v>
      </c>
      <c r="G335" s="4" t="s">
        <v>4397</v>
      </c>
      <c r="H335" s="4" t="s">
        <v>116</v>
      </c>
      <c r="I335" s="4" t="s">
        <v>33</v>
      </c>
      <c r="J335" s="4" t="s">
        <v>27</v>
      </c>
      <c r="K335" s="4" t="s">
        <v>28</v>
      </c>
      <c r="L335" s="4" t="s">
        <v>28</v>
      </c>
      <c r="M335" s="4" t="s">
        <v>34</v>
      </c>
      <c r="N335" s="4" t="s">
        <v>28</v>
      </c>
    </row>
    <row r="336" spans="1:14" ht="14.4" thickBot="1" x14ac:dyDescent="0.35">
      <c r="A336" s="4" t="s">
        <v>19</v>
      </c>
      <c r="B336" s="4" t="s">
        <v>408</v>
      </c>
      <c r="C336" s="4" t="s">
        <v>425</v>
      </c>
      <c r="D336" s="4" t="s">
        <v>426</v>
      </c>
      <c r="E336" s="4" t="s">
        <v>254</v>
      </c>
      <c r="F336" s="4" t="s">
        <v>4497</v>
      </c>
      <c r="G336" s="4" t="s">
        <v>4498</v>
      </c>
      <c r="H336" s="4" t="s">
        <v>26</v>
      </c>
      <c r="I336" s="4" t="s">
        <v>94</v>
      </c>
      <c r="J336" s="4" t="s">
        <v>27</v>
      </c>
      <c r="K336" s="4" t="s">
        <v>28</v>
      </c>
      <c r="L336" s="4" t="s">
        <v>28</v>
      </c>
      <c r="M336" s="4" t="s">
        <v>29</v>
      </c>
      <c r="N336" s="4" t="s">
        <v>28</v>
      </c>
    </row>
    <row r="337" spans="1:14" ht="14.4" thickBot="1" x14ac:dyDescent="0.35">
      <c r="A337" s="4" t="s">
        <v>19</v>
      </c>
      <c r="B337" s="4" t="s">
        <v>408</v>
      </c>
      <c r="C337" s="4" t="s">
        <v>425</v>
      </c>
      <c r="D337" s="4" t="s">
        <v>426</v>
      </c>
      <c r="E337" s="4" t="s">
        <v>254</v>
      </c>
      <c r="F337" s="4" t="s">
        <v>4499</v>
      </c>
      <c r="G337" s="4" t="s">
        <v>4500</v>
      </c>
      <c r="H337" s="4" t="s">
        <v>190</v>
      </c>
      <c r="I337" s="4" t="s">
        <v>158</v>
      </c>
      <c r="J337" s="4" t="s">
        <v>27</v>
      </c>
      <c r="K337" s="4" t="s">
        <v>28</v>
      </c>
      <c r="L337" s="4" t="s">
        <v>28</v>
      </c>
      <c r="M337" s="4" t="s">
        <v>29</v>
      </c>
      <c r="N337" s="4" t="s">
        <v>28</v>
      </c>
    </row>
    <row r="338" spans="1:14" ht="14.4" thickBot="1" x14ac:dyDescent="0.35">
      <c r="A338" s="4" t="s">
        <v>19</v>
      </c>
      <c r="B338" s="4" t="s">
        <v>408</v>
      </c>
      <c r="C338" s="4" t="s">
        <v>425</v>
      </c>
      <c r="D338" s="4" t="s">
        <v>426</v>
      </c>
      <c r="E338" s="4" t="s">
        <v>254</v>
      </c>
      <c r="F338" s="4" t="s">
        <v>5072</v>
      </c>
      <c r="G338" s="4" t="s">
        <v>5073</v>
      </c>
      <c r="H338" s="4" t="s">
        <v>26</v>
      </c>
      <c r="I338" s="4" t="s">
        <v>33</v>
      </c>
      <c r="J338" s="4" t="s">
        <v>27</v>
      </c>
      <c r="K338" s="4" t="s">
        <v>28</v>
      </c>
      <c r="L338" s="4" t="s">
        <v>28</v>
      </c>
      <c r="M338" s="4" t="s">
        <v>34</v>
      </c>
      <c r="N338" s="4" t="s">
        <v>28</v>
      </c>
    </row>
    <row r="339" spans="1:14" ht="14.4" thickBot="1" x14ac:dyDescent="0.35">
      <c r="A339" s="4" t="s">
        <v>19</v>
      </c>
      <c r="B339" s="4" t="s">
        <v>408</v>
      </c>
      <c r="C339" s="4" t="s">
        <v>425</v>
      </c>
      <c r="D339" s="4" t="s">
        <v>426</v>
      </c>
      <c r="E339" s="4" t="s">
        <v>254</v>
      </c>
      <c r="F339" s="4" t="s">
        <v>5074</v>
      </c>
      <c r="G339" s="4" t="s">
        <v>5075</v>
      </c>
      <c r="H339" s="4" t="s">
        <v>116</v>
      </c>
      <c r="I339" s="4" t="s">
        <v>33</v>
      </c>
      <c r="J339" s="4" t="s">
        <v>27</v>
      </c>
      <c r="K339" s="4" t="s">
        <v>28</v>
      </c>
      <c r="L339" s="4" t="s">
        <v>28</v>
      </c>
      <c r="M339" s="4" t="s">
        <v>34</v>
      </c>
      <c r="N339" s="4" t="s">
        <v>28</v>
      </c>
    </row>
    <row r="340" spans="1:14" ht="14.4" thickBot="1" x14ac:dyDescent="0.35">
      <c r="A340" s="4" t="s">
        <v>19</v>
      </c>
      <c r="B340" s="4" t="s">
        <v>408</v>
      </c>
      <c r="C340" s="4" t="s">
        <v>425</v>
      </c>
      <c r="D340" s="4" t="s">
        <v>426</v>
      </c>
      <c r="E340" s="4" t="s">
        <v>254</v>
      </c>
      <c r="F340" s="4" t="s">
        <v>5076</v>
      </c>
      <c r="G340" s="4" t="s">
        <v>5077</v>
      </c>
      <c r="H340" s="4" t="s">
        <v>26</v>
      </c>
      <c r="I340" s="4" t="s">
        <v>33</v>
      </c>
      <c r="J340" s="4" t="s">
        <v>27</v>
      </c>
      <c r="K340" s="4" t="s">
        <v>28</v>
      </c>
      <c r="L340" s="4" t="s">
        <v>28</v>
      </c>
      <c r="M340" s="4" t="s">
        <v>34</v>
      </c>
      <c r="N340" s="4" t="s">
        <v>28</v>
      </c>
    </row>
    <row r="341" spans="1:14" ht="14.4" thickBot="1" x14ac:dyDescent="0.35">
      <c r="A341" s="4" t="s">
        <v>19</v>
      </c>
      <c r="B341" s="4" t="s">
        <v>408</v>
      </c>
      <c r="C341" s="4" t="s">
        <v>425</v>
      </c>
      <c r="D341" s="4" t="s">
        <v>426</v>
      </c>
      <c r="E341" s="4" t="s">
        <v>254</v>
      </c>
      <c r="F341" s="4" t="s">
        <v>5078</v>
      </c>
      <c r="G341" s="4" t="s">
        <v>5079</v>
      </c>
      <c r="H341" s="4" t="s">
        <v>69</v>
      </c>
      <c r="I341" s="4" t="s">
        <v>94</v>
      </c>
      <c r="J341" s="4" t="s">
        <v>28</v>
      </c>
      <c r="K341" s="4" t="s">
        <v>27</v>
      </c>
      <c r="L341" s="4" t="s">
        <v>28</v>
      </c>
      <c r="M341" s="4" t="s">
        <v>34</v>
      </c>
      <c r="N341" s="4" t="s">
        <v>28</v>
      </c>
    </row>
    <row r="342" spans="1:14" ht="14.4" thickBot="1" x14ac:dyDescent="0.35">
      <c r="A342" s="4" t="s">
        <v>19</v>
      </c>
      <c r="B342" s="4" t="s">
        <v>408</v>
      </c>
      <c r="C342" s="4" t="s">
        <v>425</v>
      </c>
      <c r="D342" s="4" t="s">
        <v>426</v>
      </c>
      <c r="E342" s="4" t="s">
        <v>254</v>
      </c>
      <c r="F342" s="4" t="s">
        <v>5763</v>
      </c>
      <c r="G342" s="4" t="s">
        <v>5764</v>
      </c>
      <c r="H342" s="4" t="s">
        <v>116</v>
      </c>
      <c r="I342" s="4" t="s">
        <v>33</v>
      </c>
      <c r="J342" s="4" t="s">
        <v>27</v>
      </c>
      <c r="K342" s="4" t="s">
        <v>28</v>
      </c>
      <c r="L342" s="4" t="s">
        <v>28</v>
      </c>
      <c r="M342" s="4" t="s">
        <v>34</v>
      </c>
      <c r="N342" s="4" t="s">
        <v>28</v>
      </c>
    </row>
    <row r="343" spans="1:14" ht="14.4" thickBot="1" x14ac:dyDescent="0.35">
      <c r="A343" s="4" t="s">
        <v>19</v>
      </c>
      <c r="B343" s="4" t="s">
        <v>408</v>
      </c>
      <c r="C343" s="4" t="s">
        <v>425</v>
      </c>
      <c r="D343" s="4" t="s">
        <v>426</v>
      </c>
      <c r="E343" s="4" t="s">
        <v>254</v>
      </c>
      <c r="F343" s="4" t="s">
        <v>5765</v>
      </c>
      <c r="G343" s="4" t="s">
        <v>5766</v>
      </c>
      <c r="H343" s="4" t="s">
        <v>37</v>
      </c>
      <c r="I343" s="4" t="s">
        <v>38</v>
      </c>
      <c r="J343" s="4" t="s">
        <v>28</v>
      </c>
      <c r="K343" s="4" t="s">
        <v>28</v>
      </c>
      <c r="L343" s="4" t="s">
        <v>27</v>
      </c>
      <c r="M343" s="4" t="s">
        <v>34</v>
      </c>
      <c r="N343" s="4" t="s">
        <v>28</v>
      </c>
    </row>
    <row r="344" spans="1:14" ht="14.4" thickBot="1" x14ac:dyDescent="0.35">
      <c r="A344" s="4" t="s">
        <v>19</v>
      </c>
      <c r="B344" s="4" t="s">
        <v>408</v>
      </c>
      <c r="C344" s="4" t="s">
        <v>425</v>
      </c>
      <c r="D344" s="4" t="s">
        <v>426</v>
      </c>
      <c r="E344" s="4" t="s">
        <v>254</v>
      </c>
      <c r="F344" s="4" t="s">
        <v>5767</v>
      </c>
      <c r="G344" s="4" t="s">
        <v>5768</v>
      </c>
      <c r="H344" s="4" t="s">
        <v>37</v>
      </c>
      <c r="I344" s="4" t="s">
        <v>38</v>
      </c>
      <c r="J344" s="4" t="s">
        <v>28</v>
      </c>
      <c r="K344" s="4" t="s">
        <v>28</v>
      </c>
      <c r="L344" s="4" t="s">
        <v>27</v>
      </c>
      <c r="M344" s="4" t="s">
        <v>34</v>
      </c>
      <c r="N344" s="4" t="s">
        <v>28</v>
      </c>
    </row>
    <row r="345" spans="1:14" ht="14.4" thickBot="1" x14ac:dyDescent="0.35">
      <c r="A345" s="4" t="s">
        <v>19</v>
      </c>
      <c r="B345" s="4" t="s">
        <v>408</v>
      </c>
      <c r="C345" s="4" t="s">
        <v>425</v>
      </c>
      <c r="D345" s="4" t="s">
        <v>426</v>
      </c>
      <c r="E345" s="4" t="s">
        <v>254</v>
      </c>
      <c r="F345" s="4" t="s">
        <v>5857</v>
      </c>
      <c r="G345" s="4" t="s">
        <v>5858</v>
      </c>
      <c r="H345" s="4" t="s">
        <v>135</v>
      </c>
      <c r="I345" s="4" t="s">
        <v>94</v>
      </c>
      <c r="J345" s="5"/>
      <c r="K345" s="5"/>
      <c r="L345" s="5"/>
      <c r="M345" s="4" t="s">
        <v>29</v>
      </c>
      <c r="N345" s="5"/>
    </row>
    <row r="346" spans="1:14" ht="14.4" thickBot="1" x14ac:dyDescent="0.35">
      <c r="A346" s="4" t="s">
        <v>19</v>
      </c>
      <c r="B346" s="4" t="s">
        <v>408</v>
      </c>
      <c r="C346" s="4" t="s">
        <v>2139</v>
      </c>
      <c r="D346" s="4" t="s">
        <v>2140</v>
      </c>
      <c r="E346" s="4" t="s">
        <v>48</v>
      </c>
      <c r="F346" s="4" t="s">
        <v>2141</v>
      </c>
      <c r="G346" s="4" t="s">
        <v>2142</v>
      </c>
      <c r="H346" s="4" t="s">
        <v>26</v>
      </c>
      <c r="I346" s="4" t="s">
        <v>33</v>
      </c>
      <c r="J346" s="4" t="s">
        <v>27</v>
      </c>
      <c r="K346" s="4" t="s">
        <v>28</v>
      </c>
      <c r="L346" s="4" t="s">
        <v>28</v>
      </c>
      <c r="M346" s="4" t="s">
        <v>34</v>
      </c>
      <c r="N346" s="4" t="s">
        <v>28</v>
      </c>
    </row>
    <row r="347" spans="1:14" ht="14.4" thickBot="1" x14ac:dyDescent="0.35">
      <c r="A347" s="4" t="s">
        <v>19</v>
      </c>
      <c r="B347" s="4" t="s">
        <v>408</v>
      </c>
      <c r="C347" s="4" t="s">
        <v>2139</v>
      </c>
      <c r="D347" s="4" t="s">
        <v>2140</v>
      </c>
      <c r="E347" s="4" t="s">
        <v>48</v>
      </c>
      <c r="F347" s="4" t="s">
        <v>3613</v>
      </c>
      <c r="G347" s="4" t="s">
        <v>3614</v>
      </c>
      <c r="H347" s="4" t="s">
        <v>69</v>
      </c>
      <c r="I347" s="4" t="s">
        <v>38</v>
      </c>
      <c r="J347" s="4" t="s">
        <v>28</v>
      </c>
      <c r="K347" s="4" t="s">
        <v>28</v>
      </c>
      <c r="L347" s="4" t="s">
        <v>27</v>
      </c>
      <c r="M347" s="4" t="s">
        <v>34</v>
      </c>
      <c r="N347" s="4" t="s">
        <v>28</v>
      </c>
    </row>
    <row r="348" spans="1:14" ht="14.4" thickBot="1" x14ac:dyDescent="0.35">
      <c r="A348" s="4" t="s">
        <v>19</v>
      </c>
      <c r="B348" s="4" t="s">
        <v>408</v>
      </c>
      <c r="C348" s="4" t="s">
        <v>433</v>
      </c>
      <c r="D348" s="4" t="s">
        <v>434</v>
      </c>
      <c r="E348" s="4" t="s">
        <v>254</v>
      </c>
      <c r="F348" s="4" t="s">
        <v>435</v>
      </c>
      <c r="G348" s="4" t="s">
        <v>436</v>
      </c>
      <c r="H348" s="4" t="s">
        <v>135</v>
      </c>
      <c r="I348" s="4" t="s">
        <v>94</v>
      </c>
      <c r="J348" s="4" t="s">
        <v>27</v>
      </c>
      <c r="K348" s="4" t="s">
        <v>28</v>
      </c>
      <c r="L348" s="4" t="s">
        <v>28</v>
      </c>
      <c r="M348" s="4" t="s">
        <v>34</v>
      </c>
      <c r="N348" s="4" t="s">
        <v>27</v>
      </c>
    </row>
    <row r="349" spans="1:14" ht="14.4" thickBot="1" x14ac:dyDescent="0.35">
      <c r="A349" s="4" t="s">
        <v>19</v>
      </c>
      <c r="B349" s="4" t="s">
        <v>408</v>
      </c>
      <c r="C349" s="4" t="s">
        <v>433</v>
      </c>
      <c r="D349" s="4" t="s">
        <v>434</v>
      </c>
      <c r="E349" s="4" t="s">
        <v>254</v>
      </c>
      <c r="F349" s="4" t="s">
        <v>437</v>
      </c>
      <c r="G349" s="4" t="s">
        <v>438</v>
      </c>
      <c r="H349" s="4" t="s">
        <v>26</v>
      </c>
      <c r="I349" s="4" t="s">
        <v>26</v>
      </c>
      <c r="J349" s="4" t="s">
        <v>27</v>
      </c>
      <c r="K349" s="4" t="s">
        <v>28</v>
      </c>
      <c r="L349" s="4" t="s">
        <v>28</v>
      </c>
      <c r="M349" s="4" t="s">
        <v>34</v>
      </c>
      <c r="N349" s="4" t="s">
        <v>28</v>
      </c>
    </row>
    <row r="350" spans="1:14" ht="14.4" thickBot="1" x14ac:dyDescent="0.35">
      <c r="A350" s="4" t="s">
        <v>19</v>
      </c>
      <c r="B350" s="4" t="s">
        <v>408</v>
      </c>
      <c r="C350" s="4" t="s">
        <v>433</v>
      </c>
      <c r="D350" s="4" t="s">
        <v>434</v>
      </c>
      <c r="E350" s="4" t="s">
        <v>254</v>
      </c>
      <c r="F350" s="4" t="s">
        <v>439</v>
      </c>
      <c r="G350" s="4" t="s">
        <v>440</v>
      </c>
      <c r="H350" s="4" t="s">
        <v>26</v>
      </c>
      <c r="I350" s="4" t="s">
        <v>33</v>
      </c>
      <c r="J350" s="4" t="s">
        <v>27</v>
      </c>
      <c r="K350" s="4" t="s">
        <v>28</v>
      </c>
      <c r="L350" s="4" t="s">
        <v>28</v>
      </c>
      <c r="M350" s="4" t="s">
        <v>34</v>
      </c>
      <c r="N350" s="4" t="s">
        <v>28</v>
      </c>
    </row>
    <row r="351" spans="1:14" ht="14.4" thickBot="1" x14ac:dyDescent="0.35">
      <c r="A351" s="4" t="s">
        <v>19</v>
      </c>
      <c r="B351" s="4" t="s">
        <v>408</v>
      </c>
      <c r="C351" s="4" t="s">
        <v>433</v>
      </c>
      <c r="D351" s="4" t="s">
        <v>434</v>
      </c>
      <c r="E351" s="4" t="s">
        <v>254</v>
      </c>
      <c r="F351" s="4" t="s">
        <v>441</v>
      </c>
      <c r="G351" s="4" t="s">
        <v>442</v>
      </c>
      <c r="H351" s="4" t="s">
        <v>26</v>
      </c>
      <c r="I351" s="4" t="s">
        <v>94</v>
      </c>
      <c r="J351" s="4" t="s">
        <v>27</v>
      </c>
      <c r="K351" s="4" t="s">
        <v>28</v>
      </c>
      <c r="L351" s="4" t="s">
        <v>28</v>
      </c>
      <c r="M351" s="4" t="s">
        <v>34</v>
      </c>
      <c r="N351" s="4" t="s">
        <v>28</v>
      </c>
    </row>
    <row r="352" spans="1:14" ht="14.4" thickBot="1" x14ac:dyDescent="0.35">
      <c r="A352" s="4" t="s">
        <v>19</v>
      </c>
      <c r="B352" s="4" t="s">
        <v>408</v>
      </c>
      <c r="C352" s="4" t="s">
        <v>433</v>
      </c>
      <c r="D352" s="4" t="s">
        <v>434</v>
      </c>
      <c r="E352" s="4" t="s">
        <v>254</v>
      </c>
      <c r="F352" s="4" t="s">
        <v>443</v>
      </c>
      <c r="G352" s="4" t="s">
        <v>444</v>
      </c>
      <c r="H352" s="4" t="s">
        <v>26</v>
      </c>
      <c r="I352" s="4" t="s">
        <v>94</v>
      </c>
      <c r="J352" s="4" t="s">
        <v>27</v>
      </c>
      <c r="K352" s="4" t="s">
        <v>28</v>
      </c>
      <c r="L352" s="4" t="s">
        <v>28</v>
      </c>
      <c r="M352" s="4" t="s">
        <v>34</v>
      </c>
      <c r="N352" s="4" t="s">
        <v>28</v>
      </c>
    </row>
    <row r="353" spans="1:14" ht="14.4" thickBot="1" x14ac:dyDescent="0.35">
      <c r="A353" s="4" t="s">
        <v>19</v>
      </c>
      <c r="B353" s="4" t="s">
        <v>408</v>
      </c>
      <c r="C353" s="4" t="s">
        <v>433</v>
      </c>
      <c r="D353" s="4" t="s">
        <v>434</v>
      </c>
      <c r="E353" s="4" t="s">
        <v>254</v>
      </c>
      <c r="F353" s="4" t="s">
        <v>563</v>
      </c>
      <c r="G353" s="4" t="s">
        <v>564</v>
      </c>
      <c r="H353" s="4" t="s">
        <v>26</v>
      </c>
      <c r="I353" s="4" t="s">
        <v>94</v>
      </c>
      <c r="J353" s="4" t="s">
        <v>27</v>
      </c>
      <c r="K353" s="4" t="s">
        <v>28</v>
      </c>
      <c r="L353" s="4" t="s">
        <v>28</v>
      </c>
      <c r="M353" s="4" t="s">
        <v>29</v>
      </c>
      <c r="N353" s="4" t="s">
        <v>28</v>
      </c>
    </row>
    <row r="354" spans="1:14" ht="14.4" thickBot="1" x14ac:dyDescent="0.35">
      <c r="A354" s="4" t="s">
        <v>19</v>
      </c>
      <c r="B354" s="4" t="s">
        <v>408</v>
      </c>
      <c r="C354" s="4" t="s">
        <v>433</v>
      </c>
      <c r="D354" s="4" t="s">
        <v>434</v>
      </c>
      <c r="E354" s="4" t="s">
        <v>254</v>
      </c>
      <c r="F354" s="4" t="s">
        <v>565</v>
      </c>
      <c r="G354" s="4" t="s">
        <v>566</v>
      </c>
      <c r="H354" s="4" t="s">
        <v>26</v>
      </c>
      <c r="I354" s="4" t="s">
        <v>26</v>
      </c>
      <c r="J354" s="4" t="s">
        <v>27</v>
      </c>
      <c r="K354" s="4" t="s">
        <v>28</v>
      </c>
      <c r="L354" s="4" t="s">
        <v>28</v>
      </c>
      <c r="M354" s="4" t="s">
        <v>29</v>
      </c>
      <c r="N354" s="4" t="s">
        <v>28</v>
      </c>
    </row>
    <row r="355" spans="1:14" ht="14.4" thickBot="1" x14ac:dyDescent="0.35">
      <c r="A355" s="4" t="s">
        <v>19</v>
      </c>
      <c r="B355" s="4" t="s">
        <v>408</v>
      </c>
      <c r="C355" s="4" t="s">
        <v>433</v>
      </c>
      <c r="D355" s="4" t="s">
        <v>434</v>
      </c>
      <c r="E355" s="4" t="s">
        <v>254</v>
      </c>
      <c r="F355" s="4" t="s">
        <v>567</v>
      </c>
      <c r="G355" s="4" t="s">
        <v>568</v>
      </c>
      <c r="H355" s="4" t="s">
        <v>26</v>
      </c>
      <c r="I355" s="4" t="s">
        <v>26</v>
      </c>
      <c r="J355" s="4" t="s">
        <v>27</v>
      </c>
      <c r="K355" s="4" t="s">
        <v>28</v>
      </c>
      <c r="L355" s="4" t="s">
        <v>28</v>
      </c>
      <c r="M355" s="4" t="s">
        <v>29</v>
      </c>
      <c r="N355" s="4" t="s">
        <v>28</v>
      </c>
    </row>
    <row r="356" spans="1:14" ht="14.4" thickBot="1" x14ac:dyDescent="0.35">
      <c r="A356" s="4" t="s">
        <v>19</v>
      </c>
      <c r="B356" s="4" t="s">
        <v>408</v>
      </c>
      <c r="C356" s="4" t="s">
        <v>433</v>
      </c>
      <c r="D356" s="4" t="s">
        <v>434</v>
      </c>
      <c r="E356" s="4" t="s">
        <v>254</v>
      </c>
      <c r="F356" s="4" t="s">
        <v>569</v>
      </c>
      <c r="G356" s="4" t="s">
        <v>570</v>
      </c>
      <c r="H356" s="4" t="s">
        <v>26</v>
      </c>
      <c r="I356" s="4" t="s">
        <v>26</v>
      </c>
      <c r="J356" s="5"/>
      <c r="K356" s="5"/>
      <c r="L356" s="5"/>
      <c r="M356" s="4" t="s">
        <v>130</v>
      </c>
      <c r="N356" s="5"/>
    </row>
    <row r="357" spans="1:14" ht="14.4" thickBot="1" x14ac:dyDescent="0.35">
      <c r="A357" s="4" t="s">
        <v>19</v>
      </c>
      <c r="B357" s="4" t="s">
        <v>408</v>
      </c>
      <c r="C357" s="4" t="s">
        <v>433</v>
      </c>
      <c r="D357" s="4" t="s">
        <v>434</v>
      </c>
      <c r="E357" s="4" t="s">
        <v>254</v>
      </c>
      <c r="F357" s="4" t="s">
        <v>571</v>
      </c>
      <c r="G357" s="4" t="s">
        <v>572</v>
      </c>
      <c r="H357" s="4" t="s">
        <v>135</v>
      </c>
      <c r="I357" s="4" t="s">
        <v>38</v>
      </c>
      <c r="J357" s="5"/>
      <c r="K357" s="5"/>
      <c r="L357" s="5"/>
      <c r="M357" s="4" t="s">
        <v>29</v>
      </c>
      <c r="N357" s="5"/>
    </row>
    <row r="358" spans="1:14" ht="14.4" thickBot="1" x14ac:dyDescent="0.35">
      <c r="A358" s="4" t="s">
        <v>19</v>
      </c>
      <c r="B358" s="4" t="s">
        <v>408</v>
      </c>
      <c r="C358" s="4" t="s">
        <v>433</v>
      </c>
      <c r="D358" s="4" t="s">
        <v>434</v>
      </c>
      <c r="E358" s="4" t="s">
        <v>254</v>
      </c>
      <c r="F358" s="4" t="s">
        <v>1360</v>
      </c>
      <c r="G358" s="4" t="s">
        <v>1361</v>
      </c>
      <c r="H358" s="4" t="s">
        <v>26</v>
      </c>
      <c r="I358" s="4" t="s">
        <v>94</v>
      </c>
      <c r="J358" s="4" t="s">
        <v>27</v>
      </c>
      <c r="K358" s="4" t="s">
        <v>28</v>
      </c>
      <c r="L358" s="4" t="s">
        <v>28</v>
      </c>
      <c r="M358" s="4" t="s">
        <v>34</v>
      </c>
      <c r="N358" s="4" t="s">
        <v>28</v>
      </c>
    </row>
    <row r="359" spans="1:14" ht="14.4" thickBot="1" x14ac:dyDescent="0.35">
      <c r="A359" s="4" t="s">
        <v>19</v>
      </c>
      <c r="B359" s="4" t="s">
        <v>408</v>
      </c>
      <c r="C359" s="4" t="s">
        <v>433</v>
      </c>
      <c r="D359" s="4" t="s">
        <v>434</v>
      </c>
      <c r="E359" s="4" t="s">
        <v>254</v>
      </c>
      <c r="F359" s="4" t="s">
        <v>1362</v>
      </c>
      <c r="G359" s="4" t="s">
        <v>1363</v>
      </c>
      <c r="H359" s="4" t="s">
        <v>135</v>
      </c>
      <c r="I359" s="4" t="s">
        <v>94</v>
      </c>
      <c r="J359" s="4" t="s">
        <v>27</v>
      </c>
      <c r="K359" s="4" t="s">
        <v>28</v>
      </c>
      <c r="L359" s="4" t="s">
        <v>28</v>
      </c>
      <c r="M359" s="4" t="s">
        <v>34</v>
      </c>
      <c r="N359" s="4" t="s">
        <v>27</v>
      </c>
    </row>
    <row r="360" spans="1:14" ht="14.4" thickBot="1" x14ac:dyDescent="0.35">
      <c r="A360" s="4" t="s">
        <v>19</v>
      </c>
      <c r="B360" s="4" t="s">
        <v>408</v>
      </c>
      <c r="C360" s="4" t="s">
        <v>433</v>
      </c>
      <c r="D360" s="4" t="s">
        <v>434</v>
      </c>
      <c r="E360" s="4" t="s">
        <v>254</v>
      </c>
      <c r="F360" s="4" t="s">
        <v>1364</v>
      </c>
      <c r="G360" s="4" t="s">
        <v>1365</v>
      </c>
      <c r="H360" s="4" t="s">
        <v>26</v>
      </c>
      <c r="I360" s="4" t="s">
        <v>26</v>
      </c>
      <c r="J360" s="4" t="s">
        <v>27</v>
      </c>
      <c r="K360" s="4" t="s">
        <v>28</v>
      </c>
      <c r="L360" s="4" t="s">
        <v>28</v>
      </c>
      <c r="M360" s="4" t="s">
        <v>34</v>
      </c>
      <c r="N360" s="4" t="s">
        <v>28</v>
      </c>
    </row>
    <row r="361" spans="1:14" ht="14.4" thickBot="1" x14ac:dyDescent="0.35">
      <c r="A361" s="4" t="s">
        <v>19</v>
      </c>
      <c r="B361" s="4" t="s">
        <v>408</v>
      </c>
      <c r="C361" s="4" t="s">
        <v>433</v>
      </c>
      <c r="D361" s="4" t="s">
        <v>434</v>
      </c>
      <c r="E361" s="4" t="s">
        <v>254</v>
      </c>
      <c r="F361" s="4" t="s">
        <v>1366</v>
      </c>
      <c r="G361" s="4" t="s">
        <v>1367</v>
      </c>
      <c r="H361" s="4" t="s">
        <v>135</v>
      </c>
      <c r="I361" s="4" t="s">
        <v>94</v>
      </c>
      <c r="J361" s="4" t="s">
        <v>27</v>
      </c>
      <c r="K361" s="4" t="s">
        <v>28</v>
      </c>
      <c r="L361" s="4" t="s">
        <v>28</v>
      </c>
      <c r="M361" s="4" t="s">
        <v>34</v>
      </c>
      <c r="N361" s="4" t="s">
        <v>28</v>
      </c>
    </row>
    <row r="362" spans="1:14" ht="14.4" thickBot="1" x14ac:dyDescent="0.35">
      <c r="A362" s="4" t="s">
        <v>19</v>
      </c>
      <c r="B362" s="4" t="s">
        <v>408</v>
      </c>
      <c r="C362" s="4" t="s">
        <v>433</v>
      </c>
      <c r="D362" s="4" t="s">
        <v>434</v>
      </c>
      <c r="E362" s="4" t="s">
        <v>254</v>
      </c>
      <c r="F362" s="4" t="s">
        <v>1368</v>
      </c>
      <c r="G362" s="4" t="s">
        <v>1369</v>
      </c>
      <c r="H362" s="4" t="s">
        <v>26</v>
      </c>
      <c r="I362" s="4" t="s">
        <v>33</v>
      </c>
      <c r="J362" s="4" t="s">
        <v>27</v>
      </c>
      <c r="K362" s="4" t="s">
        <v>28</v>
      </c>
      <c r="L362" s="4" t="s">
        <v>28</v>
      </c>
      <c r="M362" s="4" t="s">
        <v>34</v>
      </c>
      <c r="N362" s="4" t="s">
        <v>28</v>
      </c>
    </row>
    <row r="363" spans="1:14" ht="14.4" thickBot="1" x14ac:dyDescent="0.35">
      <c r="A363" s="4" t="s">
        <v>19</v>
      </c>
      <c r="B363" s="4" t="s">
        <v>408</v>
      </c>
      <c r="C363" s="4" t="s">
        <v>433</v>
      </c>
      <c r="D363" s="4" t="s">
        <v>434</v>
      </c>
      <c r="E363" s="4" t="s">
        <v>254</v>
      </c>
      <c r="F363" s="4" t="s">
        <v>1370</v>
      </c>
      <c r="G363" s="4" t="s">
        <v>1371</v>
      </c>
      <c r="H363" s="4" t="s">
        <v>26</v>
      </c>
      <c r="I363" s="4" t="s">
        <v>33</v>
      </c>
      <c r="J363" s="4" t="s">
        <v>27</v>
      </c>
      <c r="K363" s="4" t="s">
        <v>28</v>
      </c>
      <c r="L363" s="4" t="s">
        <v>28</v>
      </c>
      <c r="M363" s="4" t="s">
        <v>34</v>
      </c>
      <c r="N363" s="4" t="s">
        <v>28</v>
      </c>
    </row>
    <row r="364" spans="1:14" ht="14.4" thickBot="1" x14ac:dyDescent="0.35">
      <c r="A364" s="4" t="s">
        <v>19</v>
      </c>
      <c r="B364" s="4" t="s">
        <v>408</v>
      </c>
      <c r="C364" s="4" t="s">
        <v>433</v>
      </c>
      <c r="D364" s="4" t="s">
        <v>434</v>
      </c>
      <c r="E364" s="4" t="s">
        <v>254</v>
      </c>
      <c r="F364" s="4" t="s">
        <v>1372</v>
      </c>
      <c r="G364" s="4" t="s">
        <v>1373</v>
      </c>
      <c r="H364" s="4" t="s">
        <v>69</v>
      </c>
      <c r="I364" s="4" t="s">
        <v>94</v>
      </c>
      <c r="J364" s="4" t="s">
        <v>28</v>
      </c>
      <c r="K364" s="4" t="s">
        <v>27</v>
      </c>
      <c r="L364" s="4" t="s">
        <v>28</v>
      </c>
      <c r="M364" s="4" t="s">
        <v>34</v>
      </c>
      <c r="N364" s="4" t="s">
        <v>28</v>
      </c>
    </row>
    <row r="365" spans="1:14" ht="14.4" thickBot="1" x14ac:dyDescent="0.35">
      <c r="A365" s="4" t="s">
        <v>19</v>
      </c>
      <c r="B365" s="4" t="s">
        <v>408</v>
      </c>
      <c r="C365" s="4" t="s">
        <v>433</v>
      </c>
      <c r="D365" s="4" t="s">
        <v>434</v>
      </c>
      <c r="E365" s="4" t="s">
        <v>254</v>
      </c>
      <c r="F365" s="4" t="s">
        <v>1374</v>
      </c>
      <c r="G365" s="4" t="s">
        <v>1375</v>
      </c>
      <c r="H365" s="4" t="s">
        <v>26</v>
      </c>
      <c r="I365" s="4" t="s">
        <v>33</v>
      </c>
      <c r="J365" s="4" t="s">
        <v>27</v>
      </c>
      <c r="K365" s="4" t="s">
        <v>28</v>
      </c>
      <c r="L365" s="4" t="s">
        <v>28</v>
      </c>
      <c r="M365" s="4" t="s">
        <v>34</v>
      </c>
      <c r="N365" s="4" t="s">
        <v>28</v>
      </c>
    </row>
    <row r="366" spans="1:14" ht="14.4" thickBot="1" x14ac:dyDescent="0.35">
      <c r="A366" s="4" t="s">
        <v>19</v>
      </c>
      <c r="B366" s="4" t="s">
        <v>408</v>
      </c>
      <c r="C366" s="4" t="s">
        <v>433</v>
      </c>
      <c r="D366" s="4" t="s">
        <v>434</v>
      </c>
      <c r="E366" s="4" t="s">
        <v>254</v>
      </c>
      <c r="F366" s="4" t="s">
        <v>1499</v>
      </c>
      <c r="G366" s="4" t="s">
        <v>1500</v>
      </c>
      <c r="H366" s="4" t="s">
        <v>26</v>
      </c>
      <c r="I366" s="4" t="s">
        <v>26</v>
      </c>
      <c r="J366" s="4" t="s">
        <v>27</v>
      </c>
      <c r="K366" s="4" t="s">
        <v>28</v>
      </c>
      <c r="L366" s="4" t="s">
        <v>28</v>
      </c>
      <c r="M366" s="4" t="s">
        <v>130</v>
      </c>
      <c r="N366" s="4" t="s">
        <v>28</v>
      </c>
    </row>
    <row r="367" spans="1:14" ht="14.4" thickBot="1" x14ac:dyDescent="0.35">
      <c r="A367" s="4" t="s">
        <v>19</v>
      </c>
      <c r="B367" s="4" t="s">
        <v>408</v>
      </c>
      <c r="C367" s="4" t="s">
        <v>433</v>
      </c>
      <c r="D367" s="4" t="s">
        <v>434</v>
      </c>
      <c r="E367" s="4" t="s">
        <v>254</v>
      </c>
      <c r="F367" s="4" t="s">
        <v>1501</v>
      </c>
      <c r="G367" s="4" t="s">
        <v>1502</v>
      </c>
      <c r="H367" s="4" t="s">
        <v>26</v>
      </c>
      <c r="I367" s="4" t="s">
        <v>26</v>
      </c>
      <c r="J367" s="4" t="s">
        <v>27</v>
      </c>
      <c r="K367" s="4" t="s">
        <v>28</v>
      </c>
      <c r="L367" s="4" t="s">
        <v>28</v>
      </c>
      <c r="M367" s="4" t="s">
        <v>130</v>
      </c>
      <c r="N367" s="4" t="s">
        <v>28</v>
      </c>
    </row>
    <row r="368" spans="1:14" ht="14.4" thickBot="1" x14ac:dyDescent="0.35">
      <c r="A368" s="4" t="s">
        <v>19</v>
      </c>
      <c r="B368" s="4" t="s">
        <v>408</v>
      </c>
      <c r="C368" s="4" t="s">
        <v>433</v>
      </c>
      <c r="D368" s="4" t="s">
        <v>434</v>
      </c>
      <c r="E368" s="4" t="s">
        <v>254</v>
      </c>
      <c r="F368" s="4" t="s">
        <v>1503</v>
      </c>
      <c r="G368" s="4" t="s">
        <v>1504</v>
      </c>
      <c r="H368" s="4" t="s">
        <v>26</v>
      </c>
      <c r="I368" s="4" t="s">
        <v>26</v>
      </c>
      <c r="J368" s="4" t="s">
        <v>27</v>
      </c>
      <c r="K368" s="4" t="s">
        <v>28</v>
      </c>
      <c r="L368" s="4" t="s">
        <v>28</v>
      </c>
      <c r="M368" s="4" t="s">
        <v>130</v>
      </c>
      <c r="N368" s="4" t="s">
        <v>28</v>
      </c>
    </row>
    <row r="369" spans="1:14" ht="14.4" thickBot="1" x14ac:dyDescent="0.35">
      <c r="A369" s="4" t="s">
        <v>19</v>
      </c>
      <c r="B369" s="4" t="s">
        <v>408</v>
      </c>
      <c r="C369" s="4" t="s">
        <v>433</v>
      </c>
      <c r="D369" s="4" t="s">
        <v>434</v>
      </c>
      <c r="E369" s="4" t="s">
        <v>254</v>
      </c>
      <c r="F369" s="4" t="s">
        <v>1505</v>
      </c>
      <c r="G369" s="4" t="s">
        <v>1506</v>
      </c>
      <c r="H369" s="4" t="s">
        <v>26</v>
      </c>
      <c r="I369" s="4" t="s">
        <v>94</v>
      </c>
      <c r="J369" s="5"/>
      <c r="K369" s="5"/>
      <c r="L369" s="5"/>
      <c r="M369" s="4" t="s">
        <v>29</v>
      </c>
      <c r="N369" s="5"/>
    </row>
    <row r="370" spans="1:14" ht="14.4" thickBot="1" x14ac:dyDescent="0.35">
      <c r="A370" s="4" t="s">
        <v>19</v>
      </c>
      <c r="B370" s="4" t="s">
        <v>408</v>
      </c>
      <c r="C370" s="4" t="s">
        <v>433</v>
      </c>
      <c r="D370" s="4" t="s">
        <v>434</v>
      </c>
      <c r="E370" s="4" t="s">
        <v>254</v>
      </c>
      <c r="F370" s="4" t="s">
        <v>2143</v>
      </c>
      <c r="G370" s="4" t="s">
        <v>2144</v>
      </c>
      <c r="H370" s="4" t="s">
        <v>69</v>
      </c>
      <c r="I370" s="4" t="s">
        <v>122</v>
      </c>
      <c r="J370" s="4" t="s">
        <v>28</v>
      </c>
      <c r="K370" s="4" t="s">
        <v>27</v>
      </c>
      <c r="L370" s="4" t="s">
        <v>28</v>
      </c>
      <c r="M370" s="4" t="s">
        <v>34</v>
      </c>
      <c r="N370" s="4" t="s">
        <v>27</v>
      </c>
    </row>
    <row r="371" spans="1:14" ht="14.4" thickBot="1" x14ac:dyDescent="0.35">
      <c r="A371" s="4" t="s">
        <v>19</v>
      </c>
      <c r="B371" s="4" t="s">
        <v>408</v>
      </c>
      <c r="C371" s="4" t="s">
        <v>433</v>
      </c>
      <c r="D371" s="4" t="s">
        <v>434</v>
      </c>
      <c r="E371" s="4" t="s">
        <v>254</v>
      </c>
      <c r="F371" s="4" t="s">
        <v>2145</v>
      </c>
      <c r="G371" s="4" t="s">
        <v>2146</v>
      </c>
      <c r="H371" s="4" t="s">
        <v>37</v>
      </c>
      <c r="I371" s="4" t="s">
        <v>38</v>
      </c>
      <c r="J371" s="4" t="s">
        <v>28</v>
      </c>
      <c r="K371" s="4" t="s">
        <v>28</v>
      </c>
      <c r="L371" s="4" t="s">
        <v>27</v>
      </c>
      <c r="M371" s="4" t="s">
        <v>34</v>
      </c>
      <c r="N371" s="4" t="s">
        <v>28</v>
      </c>
    </row>
    <row r="372" spans="1:14" ht="14.4" thickBot="1" x14ac:dyDescent="0.35">
      <c r="A372" s="4" t="s">
        <v>19</v>
      </c>
      <c r="B372" s="4" t="s">
        <v>408</v>
      </c>
      <c r="C372" s="4" t="s">
        <v>433</v>
      </c>
      <c r="D372" s="4" t="s">
        <v>434</v>
      </c>
      <c r="E372" s="4" t="s">
        <v>254</v>
      </c>
      <c r="F372" s="4" t="s">
        <v>2147</v>
      </c>
      <c r="G372" s="4" t="s">
        <v>2148</v>
      </c>
      <c r="H372" s="4" t="s">
        <v>69</v>
      </c>
      <c r="I372" s="4" t="s">
        <v>94</v>
      </c>
      <c r="J372" s="4" t="s">
        <v>28</v>
      </c>
      <c r="K372" s="4" t="s">
        <v>27</v>
      </c>
      <c r="L372" s="4" t="s">
        <v>28</v>
      </c>
      <c r="M372" s="4" t="s">
        <v>34</v>
      </c>
      <c r="N372" s="4" t="s">
        <v>28</v>
      </c>
    </row>
    <row r="373" spans="1:14" ht="14.4" thickBot="1" x14ac:dyDescent="0.35">
      <c r="A373" s="4" t="s">
        <v>19</v>
      </c>
      <c r="B373" s="4" t="s">
        <v>408</v>
      </c>
      <c r="C373" s="4" t="s">
        <v>433</v>
      </c>
      <c r="D373" s="4" t="s">
        <v>434</v>
      </c>
      <c r="E373" s="4" t="s">
        <v>254</v>
      </c>
      <c r="F373" s="4" t="s">
        <v>2149</v>
      </c>
      <c r="G373" s="4" t="s">
        <v>2150</v>
      </c>
      <c r="H373" s="4" t="s">
        <v>135</v>
      </c>
      <c r="I373" s="4" t="s">
        <v>94</v>
      </c>
      <c r="J373" s="4" t="s">
        <v>27</v>
      </c>
      <c r="K373" s="4" t="s">
        <v>28</v>
      </c>
      <c r="L373" s="4" t="s">
        <v>28</v>
      </c>
      <c r="M373" s="4" t="s">
        <v>34</v>
      </c>
      <c r="N373" s="4" t="s">
        <v>27</v>
      </c>
    </row>
    <row r="374" spans="1:14" ht="14.4" thickBot="1" x14ac:dyDescent="0.35">
      <c r="A374" s="4" t="s">
        <v>19</v>
      </c>
      <c r="B374" s="4" t="s">
        <v>408</v>
      </c>
      <c r="C374" s="4" t="s">
        <v>433</v>
      </c>
      <c r="D374" s="4" t="s">
        <v>434</v>
      </c>
      <c r="E374" s="4" t="s">
        <v>254</v>
      </c>
      <c r="F374" s="4" t="s">
        <v>2151</v>
      </c>
      <c r="G374" s="4" t="s">
        <v>2152</v>
      </c>
      <c r="H374" s="4" t="s">
        <v>37</v>
      </c>
      <c r="I374" s="4" t="s">
        <v>38</v>
      </c>
      <c r="J374" s="4" t="s">
        <v>28</v>
      </c>
      <c r="K374" s="4" t="s">
        <v>28</v>
      </c>
      <c r="L374" s="4" t="s">
        <v>27</v>
      </c>
      <c r="M374" s="4" t="s">
        <v>34</v>
      </c>
      <c r="N374" s="4" t="s">
        <v>28</v>
      </c>
    </row>
    <row r="375" spans="1:14" ht="14.4" thickBot="1" x14ac:dyDescent="0.35">
      <c r="A375" s="4" t="s">
        <v>19</v>
      </c>
      <c r="B375" s="4" t="s">
        <v>408</v>
      </c>
      <c r="C375" s="4" t="s">
        <v>433</v>
      </c>
      <c r="D375" s="4" t="s">
        <v>434</v>
      </c>
      <c r="E375" s="4" t="s">
        <v>254</v>
      </c>
      <c r="F375" s="4" t="s">
        <v>2153</v>
      </c>
      <c r="G375" s="4" t="s">
        <v>2154</v>
      </c>
      <c r="H375" s="4" t="s">
        <v>135</v>
      </c>
      <c r="I375" s="4" t="s">
        <v>38</v>
      </c>
      <c r="J375" s="4" t="s">
        <v>28</v>
      </c>
      <c r="K375" s="4" t="s">
        <v>28</v>
      </c>
      <c r="L375" s="4" t="s">
        <v>27</v>
      </c>
      <c r="M375" s="4" t="s">
        <v>34</v>
      </c>
      <c r="N375" s="4" t="s">
        <v>27</v>
      </c>
    </row>
    <row r="376" spans="1:14" ht="14.4" thickBot="1" x14ac:dyDescent="0.35">
      <c r="A376" s="4" t="s">
        <v>19</v>
      </c>
      <c r="B376" s="4" t="s">
        <v>408</v>
      </c>
      <c r="C376" s="4" t="s">
        <v>433</v>
      </c>
      <c r="D376" s="4" t="s">
        <v>434</v>
      </c>
      <c r="E376" s="4" t="s">
        <v>254</v>
      </c>
      <c r="F376" s="4" t="s">
        <v>2155</v>
      </c>
      <c r="G376" s="4" t="s">
        <v>2156</v>
      </c>
      <c r="H376" s="4" t="s">
        <v>135</v>
      </c>
      <c r="I376" s="4" t="s">
        <v>33</v>
      </c>
      <c r="J376" s="4" t="s">
        <v>27</v>
      </c>
      <c r="K376" s="4" t="s">
        <v>28</v>
      </c>
      <c r="L376" s="4" t="s">
        <v>28</v>
      </c>
      <c r="M376" s="4" t="s">
        <v>34</v>
      </c>
      <c r="N376" s="4" t="s">
        <v>28</v>
      </c>
    </row>
    <row r="377" spans="1:14" ht="14.4" thickBot="1" x14ac:dyDescent="0.35">
      <c r="A377" s="4" t="s">
        <v>19</v>
      </c>
      <c r="B377" s="4" t="s">
        <v>408</v>
      </c>
      <c r="C377" s="4" t="s">
        <v>433</v>
      </c>
      <c r="D377" s="4" t="s">
        <v>434</v>
      </c>
      <c r="E377" s="4" t="s">
        <v>254</v>
      </c>
      <c r="F377" s="4" t="s">
        <v>2157</v>
      </c>
      <c r="G377" s="4" t="s">
        <v>1983</v>
      </c>
      <c r="H377" s="4" t="s">
        <v>69</v>
      </c>
      <c r="I377" s="4" t="s">
        <v>94</v>
      </c>
      <c r="J377" s="4" t="s">
        <v>28</v>
      </c>
      <c r="K377" s="4" t="s">
        <v>27</v>
      </c>
      <c r="L377" s="4" t="s">
        <v>28</v>
      </c>
      <c r="M377" s="4" t="s">
        <v>34</v>
      </c>
      <c r="N377" s="4" t="s">
        <v>28</v>
      </c>
    </row>
    <row r="378" spans="1:14" ht="14.4" thickBot="1" x14ac:dyDescent="0.35">
      <c r="A378" s="4" t="s">
        <v>19</v>
      </c>
      <c r="B378" s="4" t="s">
        <v>408</v>
      </c>
      <c r="C378" s="4" t="s">
        <v>433</v>
      </c>
      <c r="D378" s="4" t="s">
        <v>434</v>
      </c>
      <c r="E378" s="4" t="s">
        <v>254</v>
      </c>
      <c r="F378" s="4" t="s">
        <v>2236</v>
      </c>
      <c r="G378" s="4" t="s">
        <v>2237</v>
      </c>
      <c r="H378" s="4" t="s">
        <v>26</v>
      </c>
      <c r="I378" s="4" t="s">
        <v>26</v>
      </c>
      <c r="J378" s="4" t="s">
        <v>27</v>
      </c>
      <c r="K378" s="4" t="s">
        <v>28</v>
      </c>
      <c r="L378" s="4" t="s">
        <v>28</v>
      </c>
      <c r="M378" s="4" t="s">
        <v>29</v>
      </c>
      <c r="N378" s="4" t="s">
        <v>28</v>
      </c>
    </row>
    <row r="379" spans="1:14" ht="14.4" thickBot="1" x14ac:dyDescent="0.35">
      <c r="A379" s="4" t="s">
        <v>19</v>
      </c>
      <c r="B379" s="4" t="s">
        <v>408</v>
      </c>
      <c r="C379" s="4" t="s">
        <v>433</v>
      </c>
      <c r="D379" s="4" t="s">
        <v>434</v>
      </c>
      <c r="E379" s="4" t="s">
        <v>254</v>
      </c>
      <c r="F379" s="4" t="s">
        <v>2238</v>
      </c>
      <c r="G379" s="4" t="s">
        <v>2239</v>
      </c>
      <c r="H379" s="4" t="s">
        <v>26</v>
      </c>
      <c r="I379" s="4" t="s">
        <v>26</v>
      </c>
      <c r="J379" s="4" t="s">
        <v>27</v>
      </c>
      <c r="K379" s="4" t="s">
        <v>28</v>
      </c>
      <c r="L379" s="4" t="s">
        <v>28</v>
      </c>
      <c r="M379" s="4" t="s">
        <v>29</v>
      </c>
      <c r="N379" s="4" t="s">
        <v>28</v>
      </c>
    </row>
    <row r="380" spans="1:14" ht="14.4" thickBot="1" x14ac:dyDescent="0.35">
      <c r="A380" s="4" t="s">
        <v>19</v>
      </c>
      <c r="B380" s="4" t="s">
        <v>408</v>
      </c>
      <c r="C380" s="4" t="s">
        <v>433</v>
      </c>
      <c r="D380" s="4" t="s">
        <v>434</v>
      </c>
      <c r="E380" s="4" t="s">
        <v>254</v>
      </c>
      <c r="F380" s="4" t="s">
        <v>2240</v>
      </c>
      <c r="G380" s="4" t="s">
        <v>2241</v>
      </c>
      <c r="H380" s="4" t="s">
        <v>26</v>
      </c>
      <c r="I380" s="4" t="s">
        <v>26</v>
      </c>
      <c r="J380" s="5"/>
      <c r="K380" s="5"/>
      <c r="L380" s="5"/>
      <c r="M380" s="4" t="s">
        <v>130</v>
      </c>
      <c r="N380" s="5"/>
    </row>
    <row r="381" spans="1:14" ht="14.4" thickBot="1" x14ac:dyDescent="0.35">
      <c r="A381" s="4" t="s">
        <v>19</v>
      </c>
      <c r="B381" s="4" t="s">
        <v>408</v>
      </c>
      <c r="C381" s="4" t="s">
        <v>433</v>
      </c>
      <c r="D381" s="4" t="s">
        <v>434</v>
      </c>
      <c r="E381" s="4" t="s">
        <v>254</v>
      </c>
      <c r="F381" s="4" t="s">
        <v>2856</v>
      </c>
      <c r="G381" s="4" t="s">
        <v>2857</v>
      </c>
      <c r="H381" s="4" t="s">
        <v>26</v>
      </c>
      <c r="I381" s="4" t="s">
        <v>33</v>
      </c>
      <c r="J381" s="4" t="s">
        <v>27</v>
      </c>
      <c r="K381" s="4" t="s">
        <v>28</v>
      </c>
      <c r="L381" s="4" t="s">
        <v>28</v>
      </c>
      <c r="M381" s="4" t="s">
        <v>34</v>
      </c>
      <c r="N381" s="4" t="s">
        <v>27</v>
      </c>
    </row>
    <row r="382" spans="1:14" ht="14.4" thickBot="1" x14ac:dyDescent="0.35">
      <c r="A382" s="4" t="s">
        <v>19</v>
      </c>
      <c r="B382" s="4" t="s">
        <v>408</v>
      </c>
      <c r="C382" s="4" t="s">
        <v>433</v>
      </c>
      <c r="D382" s="4" t="s">
        <v>434</v>
      </c>
      <c r="E382" s="4" t="s">
        <v>254</v>
      </c>
      <c r="F382" s="4" t="s">
        <v>1640</v>
      </c>
      <c r="G382" s="4" t="s">
        <v>2858</v>
      </c>
      <c r="H382" s="4" t="s">
        <v>26</v>
      </c>
      <c r="I382" s="4" t="s">
        <v>33</v>
      </c>
      <c r="J382" s="4" t="s">
        <v>27</v>
      </c>
      <c r="K382" s="4" t="s">
        <v>28</v>
      </c>
      <c r="L382" s="4" t="s">
        <v>28</v>
      </c>
      <c r="M382" s="4" t="s">
        <v>34</v>
      </c>
      <c r="N382" s="4" t="s">
        <v>28</v>
      </c>
    </row>
    <row r="383" spans="1:14" ht="14.4" thickBot="1" x14ac:dyDescent="0.35">
      <c r="A383" s="4" t="s">
        <v>19</v>
      </c>
      <c r="B383" s="4" t="s">
        <v>408</v>
      </c>
      <c r="C383" s="4" t="s">
        <v>433</v>
      </c>
      <c r="D383" s="4" t="s">
        <v>434</v>
      </c>
      <c r="E383" s="4" t="s">
        <v>254</v>
      </c>
      <c r="F383" s="4" t="s">
        <v>2859</v>
      </c>
      <c r="G383" s="4" t="s">
        <v>2860</v>
      </c>
      <c r="H383" s="4" t="s">
        <v>135</v>
      </c>
      <c r="I383" s="4" t="s">
        <v>94</v>
      </c>
      <c r="J383" s="4" t="s">
        <v>27</v>
      </c>
      <c r="K383" s="4" t="s">
        <v>28</v>
      </c>
      <c r="L383" s="4" t="s">
        <v>28</v>
      </c>
      <c r="M383" s="4" t="s">
        <v>34</v>
      </c>
      <c r="N383" s="4" t="s">
        <v>27</v>
      </c>
    </row>
    <row r="384" spans="1:14" ht="14.4" thickBot="1" x14ac:dyDescent="0.35">
      <c r="A384" s="4" t="s">
        <v>19</v>
      </c>
      <c r="B384" s="4" t="s">
        <v>408</v>
      </c>
      <c r="C384" s="4" t="s">
        <v>433</v>
      </c>
      <c r="D384" s="4" t="s">
        <v>434</v>
      </c>
      <c r="E384" s="4" t="s">
        <v>254</v>
      </c>
      <c r="F384" s="4" t="s">
        <v>2861</v>
      </c>
      <c r="G384" s="4" t="s">
        <v>2862</v>
      </c>
      <c r="H384" s="4" t="s">
        <v>26</v>
      </c>
      <c r="I384" s="4" t="s">
        <v>94</v>
      </c>
      <c r="J384" s="4" t="s">
        <v>27</v>
      </c>
      <c r="K384" s="4" t="s">
        <v>28</v>
      </c>
      <c r="L384" s="4" t="s">
        <v>28</v>
      </c>
      <c r="M384" s="4" t="s">
        <v>34</v>
      </c>
      <c r="N384" s="4" t="s">
        <v>27</v>
      </c>
    </row>
    <row r="385" spans="1:14" ht="14.4" thickBot="1" x14ac:dyDescent="0.35">
      <c r="A385" s="4" t="s">
        <v>19</v>
      </c>
      <c r="B385" s="4" t="s">
        <v>408</v>
      </c>
      <c r="C385" s="4" t="s">
        <v>433</v>
      </c>
      <c r="D385" s="4" t="s">
        <v>434</v>
      </c>
      <c r="E385" s="4" t="s">
        <v>254</v>
      </c>
      <c r="F385" s="4" t="s">
        <v>2863</v>
      </c>
      <c r="G385" s="4" t="s">
        <v>2864</v>
      </c>
      <c r="H385" s="4" t="s">
        <v>26</v>
      </c>
      <c r="I385" s="4" t="s">
        <v>26</v>
      </c>
      <c r="J385" s="4" t="s">
        <v>27</v>
      </c>
      <c r="K385" s="4" t="s">
        <v>28</v>
      </c>
      <c r="L385" s="4" t="s">
        <v>28</v>
      </c>
      <c r="M385" s="4" t="s">
        <v>34</v>
      </c>
      <c r="N385" s="4" t="s">
        <v>28</v>
      </c>
    </row>
    <row r="386" spans="1:14" ht="14.4" thickBot="1" x14ac:dyDescent="0.35">
      <c r="A386" s="4" t="s">
        <v>19</v>
      </c>
      <c r="B386" s="4" t="s">
        <v>408</v>
      </c>
      <c r="C386" s="4" t="s">
        <v>433</v>
      </c>
      <c r="D386" s="4" t="s">
        <v>434</v>
      </c>
      <c r="E386" s="4" t="s">
        <v>254</v>
      </c>
      <c r="F386" s="4" t="s">
        <v>2865</v>
      </c>
      <c r="G386" s="4" t="s">
        <v>2866</v>
      </c>
      <c r="H386" s="4" t="s">
        <v>135</v>
      </c>
      <c r="I386" s="4" t="s">
        <v>94</v>
      </c>
      <c r="J386" s="4" t="s">
        <v>27</v>
      </c>
      <c r="K386" s="4" t="s">
        <v>28</v>
      </c>
      <c r="L386" s="4" t="s">
        <v>28</v>
      </c>
      <c r="M386" s="4" t="s">
        <v>34</v>
      </c>
      <c r="N386" s="4" t="s">
        <v>27</v>
      </c>
    </row>
    <row r="387" spans="1:14" ht="14.4" thickBot="1" x14ac:dyDescent="0.35">
      <c r="A387" s="4" t="s">
        <v>19</v>
      </c>
      <c r="B387" s="4" t="s">
        <v>408</v>
      </c>
      <c r="C387" s="4" t="s">
        <v>433</v>
      </c>
      <c r="D387" s="4" t="s">
        <v>434</v>
      </c>
      <c r="E387" s="4" t="s">
        <v>254</v>
      </c>
      <c r="F387" s="4" t="s">
        <v>2867</v>
      </c>
      <c r="G387" s="4" t="s">
        <v>2868</v>
      </c>
      <c r="H387" s="4" t="s">
        <v>26</v>
      </c>
      <c r="I387" s="4" t="s">
        <v>33</v>
      </c>
      <c r="J387" s="4" t="s">
        <v>27</v>
      </c>
      <c r="K387" s="4" t="s">
        <v>28</v>
      </c>
      <c r="L387" s="4" t="s">
        <v>28</v>
      </c>
      <c r="M387" s="4" t="s">
        <v>34</v>
      </c>
      <c r="N387" s="4" t="s">
        <v>28</v>
      </c>
    </row>
    <row r="388" spans="1:14" ht="14.4" thickBot="1" x14ac:dyDescent="0.35">
      <c r="A388" s="4" t="s">
        <v>19</v>
      </c>
      <c r="B388" s="4" t="s">
        <v>408</v>
      </c>
      <c r="C388" s="4" t="s">
        <v>433</v>
      </c>
      <c r="D388" s="4" t="s">
        <v>434</v>
      </c>
      <c r="E388" s="4" t="s">
        <v>254</v>
      </c>
      <c r="F388" s="4" t="s">
        <v>2869</v>
      </c>
      <c r="G388" s="4" t="s">
        <v>2870</v>
      </c>
      <c r="H388" s="4" t="s">
        <v>26</v>
      </c>
      <c r="I388" s="4" t="s">
        <v>33</v>
      </c>
      <c r="J388" s="4" t="s">
        <v>27</v>
      </c>
      <c r="K388" s="4" t="s">
        <v>28</v>
      </c>
      <c r="L388" s="4" t="s">
        <v>28</v>
      </c>
      <c r="M388" s="4" t="s">
        <v>34</v>
      </c>
      <c r="N388" s="4" t="s">
        <v>28</v>
      </c>
    </row>
    <row r="389" spans="1:14" ht="14.4" thickBot="1" x14ac:dyDescent="0.35">
      <c r="A389" s="4" t="s">
        <v>19</v>
      </c>
      <c r="B389" s="4" t="s">
        <v>408</v>
      </c>
      <c r="C389" s="4" t="s">
        <v>433</v>
      </c>
      <c r="D389" s="4" t="s">
        <v>434</v>
      </c>
      <c r="E389" s="4" t="s">
        <v>254</v>
      </c>
      <c r="F389" s="4" t="s">
        <v>2871</v>
      </c>
      <c r="G389" s="4" t="s">
        <v>2872</v>
      </c>
      <c r="H389" s="4" t="s">
        <v>26</v>
      </c>
      <c r="I389" s="4" t="s">
        <v>33</v>
      </c>
      <c r="J389" s="4" t="s">
        <v>27</v>
      </c>
      <c r="K389" s="4" t="s">
        <v>28</v>
      </c>
      <c r="L389" s="4" t="s">
        <v>28</v>
      </c>
      <c r="M389" s="4" t="s">
        <v>34</v>
      </c>
      <c r="N389" s="4" t="s">
        <v>28</v>
      </c>
    </row>
    <row r="390" spans="1:14" ht="14.4" thickBot="1" x14ac:dyDescent="0.35">
      <c r="A390" s="4" t="s">
        <v>19</v>
      </c>
      <c r="B390" s="4" t="s">
        <v>408</v>
      </c>
      <c r="C390" s="4" t="s">
        <v>433</v>
      </c>
      <c r="D390" s="4" t="s">
        <v>434</v>
      </c>
      <c r="E390" s="4" t="s">
        <v>254</v>
      </c>
      <c r="F390" s="4" t="s">
        <v>2873</v>
      </c>
      <c r="G390" s="4" t="s">
        <v>2874</v>
      </c>
      <c r="H390" s="4" t="s">
        <v>69</v>
      </c>
      <c r="I390" s="4" t="s">
        <v>94</v>
      </c>
      <c r="J390" s="4" t="s">
        <v>28</v>
      </c>
      <c r="K390" s="4" t="s">
        <v>27</v>
      </c>
      <c r="L390" s="4" t="s">
        <v>28</v>
      </c>
      <c r="M390" s="4" t="s">
        <v>34</v>
      </c>
      <c r="N390" s="4" t="s">
        <v>28</v>
      </c>
    </row>
    <row r="391" spans="1:14" ht="14.4" thickBot="1" x14ac:dyDescent="0.35">
      <c r="A391" s="4" t="s">
        <v>19</v>
      </c>
      <c r="B391" s="4" t="s">
        <v>408</v>
      </c>
      <c r="C391" s="4" t="s">
        <v>433</v>
      </c>
      <c r="D391" s="4" t="s">
        <v>434</v>
      </c>
      <c r="E391" s="4" t="s">
        <v>254</v>
      </c>
      <c r="F391" s="4" t="s">
        <v>2875</v>
      </c>
      <c r="G391" s="4" t="s">
        <v>2876</v>
      </c>
      <c r="H391" s="4" t="s">
        <v>26</v>
      </c>
      <c r="I391" s="4" t="s">
        <v>33</v>
      </c>
      <c r="J391" s="4" t="s">
        <v>27</v>
      </c>
      <c r="K391" s="4" t="s">
        <v>28</v>
      </c>
      <c r="L391" s="4" t="s">
        <v>28</v>
      </c>
      <c r="M391" s="4" t="s">
        <v>34</v>
      </c>
      <c r="N391" s="4" t="s">
        <v>28</v>
      </c>
    </row>
    <row r="392" spans="1:14" ht="14.4" thickBot="1" x14ac:dyDescent="0.35">
      <c r="A392" s="4" t="s">
        <v>19</v>
      </c>
      <c r="B392" s="4" t="s">
        <v>408</v>
      </c>
      <c r="C392" s="4" t="s">
        <v>433</v>
      </c>
      <c r="D392" s="4" t="s">
        <v>434</v>
      </c>
      <c r="E392" s="4" t="s">
        <v>254</v>
      </c>
      <c r="F392" s="4" t="s">
        <v>2981</v>
      </c>
      <c r="G392" s="4" t="s">
        <v>2982</v>
      </c>
      <c r="H392" s="4" t="s">
        <v>37</v>
      </c>
      <c r="I392" s="4" t="s">
        <v>38</v>
      </c>
      <c r="J392" s="4" t="s">
        <v>28</v>
      </c>
      <c r="K392" s="4" t="s">
        <v>28</v>
      </c>
      <c r="L392" s="4" t="s">
        <v>27</v>
      </c>
      <c r="M392" s="4" t="s">
        <v>29</v>
      </c>
      <c r="N392" s="4" t="s">
        <v>28</v>
      </c>
    </row>
    <row r="393" spans="1:14" ht="14.4" thickBot="1" x14ac:dyDescent="0.35">
      <c r="A393" s="4" t="s">
        <v>19</v>
      </c>
      <c r="B393" s="4" t="s">
        <v>408</v>
      </c>
      <c r="C393" s="4" t="s">
        <v>433</v>
      </c>
      <c r="D393" s="4" t="s">
        <v>434</v>
      </c>
      <c r="E393" s="4" t="s">
        <v>254</v>
      </c>
      <c r="F393" s="4" t="s">
        <v>2983</v>
      </c>
      <c r="G393" s="4" t="s">
        <v>2984</v>
      </c>
      <c r="H393" s="4" t="s">
        <v>26</v>
      </c>
      <c r="I393" s="4" t="s">
        <v>26</v>
      </c>
      <c r="J393" s="4" t="s">
        <v>27</v>
      </c>
      <c r="K393" s="4" t="s">
        <v>28</v>
      </c>
      <c r="L393" s="4" t="s">
        <v>28</v>
      </c>
      <c r="M393" s="4" t="s">
        <v>130</v>
      </c>
      <c r="N393" s="4" t="s">
        <v>28</v>
      </c>
    </row>
    <row r="394" spans="1:14" ht="14.4" thickBot="1" x14ac:dyDescent="0.35">
      <c r="A394" s="4" t="s">
        <v>19</v>
      </c>
      <c r="B394" s="4" t="s">
        <v>408</v>
      </c>
      <c r="C394" s="4" t="s">
        <v>433</v>
      </c>
      <c r="D394" s="4" t="s">
        <v>434</v>
      </c>
      <c r="E394" s="4" t="s">
        <v>254</v>
      </c>
      <c r="F394" s="4" t="s">
        <v>2985</v>
      </c>
      <c r="G394" s="4" t="s">
        <v>2986</v>
      </c>
      <c r="H394" s="4" t="s">
        <v>26</v>
      </c>
      <c r="I394" s="4" t="s">
        <v>26</v>
      </c>
      <c r="J394" s="4" t="s">
        <v>27</v>
      </c>
      <c r="K394" s="4" t="s">
        <v>28</v>
      </c>
      <c r="L394" s="4" t="s">
        <v>28</v>
      </c>
      <c r="M394" s="4" t="s">
        <v>29</v>
      </c>
      <c r="N394" s="4" t="s">
        <v>28</v>
      </c>
    </row>
    <row r="395" spans="1:14" ht="14.4" thickBot="1" x14ac:dyDescent="0.35">
      <c r="A395" s="4" t="s">
        <v>19</v>
      </c>
      <c r="B395" s="4" t="s">
        <v>408</v>
      </c>
      <c r="C395" s="4" t="s">
        <v>433</v>
      </c>
      <c r="D395" s="4" t="s">
        <v>434</v>
      </c>
      <c r="E395" s="4" t="s">
        <v>254</v>
      </c>
      <c r="F395" s="4" t="s">
        <v>3615</v>
      </c>
      <c r="G395" s="4" t="s">
        <v>3616</v>
      </c>
      <c r="H395" s="4" t="s">
        <v>135</v>
      </c>
      <c r="I395" s="4" t="s">
        <v>38</v>
      </c>
      <c r="J395" s="4" t="s">
        <v>28</v>
      </c>
      <c r="K395" s="4" t="s">
        <v>28</v>
      </c>
      <c r="L395" s="4" t="s">
        <v>27</v>
      </c>
      <c r="M395" s="4" t="s">
        <v>34</v>
      </c>
      <c r="N395" s="4" t="s">
        <v>27</v>
      </c>
    </row>
    <row r="396" spans="1:14" ht="14.4" thickBot="1" x14ac:dyDescent="0.35">
      <c r="A396" s="4" t="s">
        <v>19</v>
      </c>
      <c r="B396" s="4" t="s">
        <v>408</v>
      </c>
      <c r="C396" s="4" t="s">
        <v>433</v>
      </c>
      <c r="D396" s="4" t="s">
        <v>434</v>
      </c>
      <c r="E396" s="4" t="s">
        <v>254</v>
      </c>
      <c r="F396" s="4" t="s">
        <v>3617</v>
      </c>
      <c r="G396" s="4" t="s">
        <v>3618</v>
      </c>
      <c r="H396" s="4" t="s">
        <v>26</v>
      </c>
      <c r="I396" s="4" t="s">
        <v>94</v>
      </c>
      <c r="J396" s="4" t="s">
        <v>27</v>
      </c>
      <c r="K396" s="4" t="s">
        <v>28</v>
      </c>
      <c r="L396" s="4" t="s">
        <v>28</v>
      </c>
      <c r="M396" s="4" t="s">
        <v>34</v>
      </c>
      <c r="N396" s="4" t="s">
        <v>28</v>
      </c>
    </row>
    <row r="397" spans="1:14" ht="14.4" thickBot="1" x14ac:dyDescent="0.35">
      <c r="A397" s="4" t="s">
        <v>19</v>
      </c>
      <c r="B397" s="4" t="s">
        <v>408</v>
      </c>
      <c r="C397" s="4" t="s">
        <v>433</v>
      </c>
      <c r="D397" s="4" t="s">
        <v>434</v>
      </c>
      <c r="E397" s="4" t="s">
        <v>254</v>
      </c>
      <c r="F397" s="4" t="s">
        <v>3619</v>
      </c>
      <c r="G397" s="4" t="s">
        <v>3620</v>
      </c>
      <c r="H397" s="4" t="s">
        <v>26</v>
      </c>
      <c r="I397" s="4" t="s">
        <v>33</v>
      </c>
      <c r="J397" s="4" t="s">
        <v>27</v>
      </c>
      <c r="K397" s="4" t="s">
        <v>28</v>
      </c>
      <c r="L397" s="4" t="s">
        <v>28</v>
      </c>
      <c r="M397" s="4" t="s">
        <v>34</v>
      </c>
      <c r="N397" s="4" t="s">
        <v>28</v>
      </c>
    </row>
    <row r="398" spans="1:14" ht="14.4" thickBot="1" x14ac:dyDescent="0.35">
      <c r="A398" s="4" t="s">
        <v>19</v>
      </c>
      <c r="B398" s="4" t="s">
        <v>408</v>
      </c>
      <c r="C398" s="4" t="s">
        <v>433</v>
      </c>
      <c r="D398" s="4" t="s">
        <v>434</v>
      </c>
      <c r="E398" s="4" t="s">
        <v>254</v>
      </c>
      <c r="F398" s="4" t="s">
        <v>3621</v>
      </c>
      <c r="G398" s="4" t="s">
        <v>3622</v>
      </c>
      <c r="H398" s="4" t="s">
        <v>37</v>
      </c>
      <c r="I398" s="4" t="s">
        <v>38</v>
      </c>
      <c r="J398" s="4" t="s">
        <v>28</v>
      </c>
      <c r="K398" s="4" t="s">
        <v>28</v>
      </c>
      <c r="L398" s="4" t="s">
        <v>27</v>
      </c>
      <c r="M398" s="4" t="s">
        <v>34</v>
      </c>
      <c r="N398" s="4" t="s">
        <v>28</v>
      </c>
    </row>
    <row r="399" spans="1:14" ht="14.4" thickBot="1" x14ac:dyDescent="0.35">
      <c r="A399" s="4" t="s">
        <v>19</v>
      </c>
      <c r="B399" s="4" t="s">
        <v>408</v>
      </c>
      <c r="C399" s="4" t="s">
        <v>433</v>
      </c>
      <c r="D399" s="4" t="s">
        <v>434</v>
      </c>
      <c r="E399" s="4" t="s">
        <v>254</v>
      </c>
      <c r="F399" s="4" t="s">
        <v>3623</v>
      </c>
      <c r="G399" s="4" t="s">
        <v>3624</v>
      </c>
      <c r="H399" s="4" t="s">
        <v>69</v>
      </c>
      <c r="I399" s="4" t="s">
        <v>94</v>
      </c>
      <c r="J399" s="4" t="s">
        <v>28</v>
      </c>
      <c r="K399" s="4" t="s">
        <v>27</v>
      </c>
      <c r="L399" s="4" t="s">
        <v>28</v>
      </c>
      <c r="M399" s="4" t="s">
        <v>34</v>
      </c>
      <c r="N399" s="4" t="s">
        <v>28</v>
      </c>
    </row>
    <row r="400" spans="1:14" ht="14.4" thickBot="1" x14ac:dyDescent="0.35">
      <c r="A400" s="4" t="s">
        <v>19</v>
      </c>
      <c r="B400" s="4" t="s">
        <v>408</v>
      </c>
      <c r="C400" s="4" t="s">
        <v>433</v>
      </c>
      <c r="D400" s="4" t="s">
        <v>434</v>
      </c>
      <c r="E400" s="4" t="s">
        <v>254</v>
      </c>
      <c r="F400" s="4" t="s">
        <v>3625</v>
      </c>
      <c r="G400" s="4" t="s">
        <v>3626</v>
      </c>
      <c r="H400" s="4" t="s">
        <v>26</v>
      </c>
      <c r="I400" s="4" t="s">
        <v>33</v>
      </c>
      <c r="J400" s="4" t="s">
        <v>27</v>
      </c>
      <c r="K400" s="4" t="s">
        <v>28</v>
      </c>
      <c r="L400" s="4" t="s">
        <v>28</v>
      </c>
      <c r="M400" s="4" t="s">
        <v>34</v>
      </c>
      <c r="N400" s="4" t="s">
        <v>28</v>
      </c>
    </row>
    <row r="401" spans="1:14" ht="14.4" thickBot="1" x14ac:dyDescent="0.35">
      <c r="A401" s="4" t="s">
        <v>19</v>
      </c>
      <c r="B401" s="4" t="s">
        <v>408</v>
      </c>
      <c r="C401" s="4" t="s">
        <v>433</v>
      </c>
      <c r="D401" s="4" t="s">
        <v>434</v>
      </c>
      <c r="E401" s="4" t="s">
        <v>254</v>
      </c>
      <c r="F401" s="4" t="s">
        <v>3627</v>
      </c>
      <c r="G401" s="4" t="s">
        <v>3628</v>
      </c>
      <c r="H401" s="4" t="s">
        <v>69</v>
      </c>
      <c r="I401" s="4" t="s">
        <v>38</v>
      </c>
      <c r="J401" s="4" t="s">
        <v>28</v>
      </c>
      <c r="K401" s="4" t="s">
        <v>28</v>
      </c>
      <c r="L401" s="4" t="s">
        <v>27</v>
      </c>
      <c r="M401" s="4" t="s">
        <v>34</v>
      </c>
      <c r="N401" s="4" t="s">
        <v>28</v>
      </c>
    </row>
    <row r="402" spans="1:14" ht="14.4" thickBot="1" x14ac:dyDescent="0.35">
      <c r="A402" s="4" t="s">
        <v>19</v>
      </c>
      <c r="B402" s="4" t="s">
        <v>408</v>
      </c>
      <c r="C402" s="4" t="s">
        <v>433</v>
      </c>
      <c r="D402" s="4" t="s">
        <v>434</v>
      </c>
      <c r="E402" s="4" t="s">
        <v>254</v>
      </c>
      <c r="F402" s="4" t="s">
        <v>3629</v>
      </c>
      <c r="G402" s="4" t="s">
        <v>3630</v>
      </c>
      <c r="H402" s="4" t="s">
        <v>26</v>
      </c>
      <c r="I402" s="4" t="s">
        <v>33</v>
      </c>
      <c r="J402" s="4" t="s">
        <v>27</v>
      </c>
      <c r="K402" s="4" t="s">
        <v>28</v>
      </c>
      <c r="L402" s="4" t="s">
        <v>28</v>
      </c>
      <c r="M402" s="4" t="s">
        <v>34</v>
      </c>
      <c r="N402" s="4" t="s">
        <v>28</v>
      </c>
    </row>
    <row r="403" spans="1:14" ht="14.4" thickBot="1" x14ac:dyDescent="0.35">
      <c r="A403" s="4" t="s">
        <v>19</v>
      </c>
      <c r="B403" s="4" t="s">
        <v>408</v>
      </c>
      <c r="C403" s="4" t="s">
        <v>433</v>
      </c>
      <c r="D403" s="4" t="s">
        <v>434</v>
      </c>
      <c r="E403" s="4" t="s">
        <v>254</v>
      </c>
      <c r="F403" s="4" t="s">
        <v>3631</v>
      </c>
      <c r="G403" s="4" t="s">
        <v>3632</v>
      </c>
      <c r="H403" s="4" t="s">
        <v>26</v>
      </c>
      <c r="I403" s="4" t="s">
        <v>33</v>
      </c>
      <c r="J403" s="4" t="s">
        <v>27</v>
      </c>
      <c r="K403" s="4" t="s">
        <v>28</v>
      </c>
      <c r="L403" s="4" t="s">
        <v>28</v>
      </c>
      <c r="M403" s="4" t="s">
        <v>34</v>
      </c>
      <c r="N403" s="4" t="s">
        <v>28</v>
      </c>
    </row>
    <row r="404" spans="1:14" ht="14.4" thickBot="1" x14ac:dyDescent="0.35">
      <c r="A404" s="4" t="s">
        <v>19</v>
      </c>
      <c r="B404" s="4" t="s">
        <v>408</v>
      </c>
      <c r="C404" s="4" t="s">
        <v>433</v>
      </c>
      <c r="D404" s="4" t="s">
        <v>434</v>
      </c>
      <c r="E404" s="4" t="s">
        <v>254</v>
      </c>
      <c r="F404" s="4" t="s">
        <v>3633</v>
      </c>
      <c r="G404" s="4" t="s">
        <v>3634</v>
      </c>
      <c r="H404" s="4" t="s">
        <v>26</v>
      </c>
      <c r="I404" s="4" t="s">
        <v>94</v>
      </c>
      <c r="J404" s="4" t="s">
        <v>27</v>
      </c>
      <c r="K404" s="4" t="s">
        <v>28</v>
      </c>
      <c r="L404" s="4" t="s">
        <v>28</v>
      </c>
      <c r="M404" s="4" t="s">
        <v>34</v>
      </c>
      <c r="N404" s="4" t="s">
        <v>28</v>
      </c>
    </row>
    <row r="405" spans="1:14" ht="14.4" thickBot="1" x14ac:dyDescent="0.35">
      <c r="A405" s="4" t="s">
        <v>19</v>
      </c>
      <c r="B405" s="4" t="s">
        <v>408</v>
      </c>
      <c r="C405" s="4" t="s">
        <v>433</v>
      </c>
      <c r="D405" s="4" t="s">
        <v>434</v>
      </c>
      <c r="E405" s="4" t="s">
        <v>254</v>
      </c>
      <c r="F405" s="4" t="s">
        <v>3712</v>
      </c>
      <c r="G405" s="4" t="s">
        <v>91</v>
      </c>
      <c r="H405" s="4" t="s">
        <v>26</v>
      </c>
      <c r="I405" s="4" t="s">
        <v>94</v>
      </c>
      <c r="J405" s="5"/>
      <c r="K405" s="5"/>
      <c r="L405" s="5"/>
      <c r="M405" s="4" t="s">
        <v>29</v>
      </c>
      <c r="N405" s="5"/>
    </row>
    <row r="406" spans="1:14" ht="14.4" thickBot="1" x14ac:dyDescent="0.35">
      <c r="A406" s="4" t="s">
        <v>19</v>
      </c>
      <c r="B406" s="4" t="s">
        <v>408</v>
      </c>
      <c r="C406" s="4" t="s">
        <v>433</v>
      </c>
      <c r="D406" s="4" t="s">
        <v>434</v>
      </c>
      <c r="E406" s="4" t="s">
        <v>254</v>
      </c>
      <c r="F406" s="4" t="s">
        <v>3713</v>
      </c>
      <c r="G406" s="4" t="s">
        <v>3714</v>
      </c>
      <c r="H406" s="4" t="s">
        <v>26</v>
      </c>
      <c r="I406" s="4" t="s">
        <v>26</v>
      </c>
      <c r="J406" s="4" t="s">
        <v>27</v>
      </c>
      <c r="K406" s="4" t="s">
        <v>28</v>
      </c>
      <c r="L406" s="4" t="s">
        <v>28</v>
      </c>
      <c r="M406" s="4" t="s">
        <v>29</v>
      </c>
      <c r="N406" s="4" t="s">
        <v>28</v>
      </c>
    </row>
    <row r="407" spans="1:14" ht="14.4" thickBot="1" x14ac:dyDescent="0.35">
      <c r="A407" s="4" t="s">
        <v>19</v>
      </c>
      <c r="B407" s="4" t="s">
        <v>408</v>
      </c>
      <c r="C407" s="4" t="s">
        <v>433</v>
      </c>
      <c r="D407" s="4" t="s">
        <v>434</v>
      </c>
      <c r="E407" s="4" t="s">
        <v>254</v>
      </c>
      <c r="F407" s="4" t="s">
        <v>3715</v>
      </c>
      <c r="G407" s="4" t="s">
        <v>3716</v>
      </c>
      <c r="H407" s="4" t="s">
        <v>26</v>
      </c>
      <c r="I407" s="4" t="s">
        <v>26</v>
      </c>
      <c r="J407" s="4" t="s">
        <v>27</v>
      </c>
      <c r="K407" s="4" t="s">
        <v>28</v>
      </c>
      <c r="L407" s="4" t="s">
        <v>28</v>
      </c>
      <c r="M407" s="4" t="s">
        <v>29</v>
      </c>
      <c r="N407" s="4" t="s">
        <v>28</v>
      </c>
    </row>
    <row r="408" spans="1:14" ht="14.4" thickBot="1" x14ac:dyDescent="0.35">
      <c r="A408" s="4" t="s">
        <v>19</v>
      </c>
      <c r="B408" s="4" t="s">
        <v>408</v>
      </c>
      <c r="C408" s="4" t="s">
        <v>433</v>
      </c>
      <c r="D408" s="4" t="s">
        <v>434</v>
      </c>
      <c r="E408" s="4" t="s">
        <v>254</v>
      </c>
      <c r="F408" s="4" t="s">
        <v>3717</v>
      </c>
      <c r="G408" s="4" t="s">
        <v>3718</v>
      </c>
      <c r="H408" s="4" t="s">
        <v>135</v>
      </c>
      <c r="I408" s="4" t="s">
        <v>38</v>
      </c>
      <c r="J408" s="5"/>
      <c r="K408" s="5"/>
      <c r="L408" s="5"/>
      <c r="M408" s="4" t="s">
        <v>29</v>
      </c>
      <c r="N408" s="5"/>
    </row>
    <row r="409" spans="1:14" ht="14.4" thickBot="1" x14ac:dyDescent="0.35">
      <c r="A409" s="4" t="s">
        <v>19</v>
      </c>
      <c r="B409" s="4" t="s">
        <v>408</v>
      </c>
      <c r="C409" s="4" t="s">
        <v>433</v>
      </c>
      <c r="D409" s="4" t="s">
        <v>434</v>
      </c>
      <c r="E409" s="4" t="s">
        <v>254</v>
      </c>
      <c r="F409" s="4" t="s">
        <v>3719</v>
      </c>
      <c r="G409" s="4" t="s">
        <v>3720</v>
      </c>
      <c r="H409" s="4" t="s">
        <v>61</v>
      </c>
      <c r="I409" s="4" t="s">
        <v>38</v>
      </c>
      <c r="J409" s="5"/>
      <c r="K409" s="5"/>
      <c r="L409" s="5"/>
      <c r="M409" s="4" t="s">
        <v>29</v>
      </c>
      <c r="N409" s="5"/>
    </row>
    <row r="410" spans="1:14" ht="14.4" thickBot="1" x14ac:dyDescent="0.35">
      <c r="A410" s="4" t="s">
        <v>19</v>
      </c>
      <c r="B410" s="4" t="s">
        <v>408</v>
      </c>
      <c r="C410" s="4" t="s">
        <v>433</v>
      </c>
      <c r="D410" s="4" t="s">
        <v>434</v>
      </c>
      <c r="E410" s="4" t="s">
        <v>254</v>
      </c>
      <c r="F410" s="4" t="s">
        <v>3721</v>
      </c>
      <c r="G410" s="4" t="s">
        <v>3722</v>
      </c>
      <c r="H410" s="4" t="s">
        <v>26</v>
      </c>
      <c r="I410" s="4" t="s">
        <v>94</v>
      </c>
      <c r="J410" s="5"/>
      <c r="K410" s="5"/>
      <c r="L410" s="5"/>
      <c r="M410" s="4" t="s">
        <v>29</v>
      </c>
      <c r="N410" s="5"/>
    </row>
    <row r="411" spans="1:14" ht="14.4" thickBot="1" x14ac:dyDescent="0.35">
      <c r="A411" s="4" t="s">
        <v>19</v>
      </c>
      <c r="B411" s="4" t="s">
        <v>408</v>
      </c>
      <c r="C411" s="4" t="s">
        <v>433</v>
      </c>
      <c r="D411" s="4" t="s">
        <v>434</v>
      </c>
      <c r="E411" s="4" t="s">
        <v>254</v>
      </c>
      <c r="F411" s="4" t="s">
        <v>4398</v>
      </c>
      <c r="G411" s="4" t="s">
        <v>4399</v>
      </c>
      <c r="H411" s="4" t="s">
        <v>26</v>
      </c>
      <c r="I411" s="4" t="s">
        <v>33</v>
      </c>
      <c r="J411" s="4" t="s">
        <v>27</v>
      </c>
      <c r="K411" s="4" t="s">
        <v>28</v>
      </c>
      <c r="L411" s="4" t="s">
        <v>28</v>
      </c>
      <c r="M411" s="4" t="s">
        <v>34</v>
      </c>
      <c r="N411" s="4" t="s">
        <v>28</v>
      </c>
    </row>
    <row r="412" spans="1:14" ht="14.4" thickBot="1" x14ac:dyDescent="0.35">
      <c r="A412" s="4" t="s">
        <v>19</v>
      </c>
      <c r="B412" s="4" t="s">
        <v>408</v>
      </c>
      <c r="C412" s="4" t="s">
        <v>433</v>
      </c>
      <c r="D412" s="4" t="s">
        <v>434</v>
      </c>
      <c r="E412" s="4" t="s">
        <v>254</v>
      </c>
      <c r="F412" s="4" t="s">
        <v>4400</v>
      </c>
      <c r="G412" s="4" t="s">
        <v>4401</v>
      </c>
      <c r="H412" s="4" t="s">
        <v>26</v>
      </c>
      <c r="I412" s="4" t="s">
        <v>94</v>
      </c>
      <c r="J412" s="4" t="s">
        <v>27</v>
      </c>
      <c r="K412" s="4" t="s">
        <v>28</v>
      </c>
      <c r="L412" s="4" t="s">
        <v>28</v>
      </c>
      <c r="M412" s="4" t="s">
        <v>34</v>
      </c>
      <c r="N412" s="4" t="s">
        <v>28</v>
      </c>
    </row>
    <row r="413" spans="1:14" ht="14.4" thickBot="1" x14ac:dyDescent="0.35">
      <c r="A413" s="4" t="s">
        <v>19</v>
      </c>
      <c r="B413" s="4" t="s">
        <v>408</v>
      </c>
      <c r="C413" s="4" t="s">
        <v>433</v>
      </c>
      <c r="D413" s="4" t="s">
        <v>434</v>
      </c>
      <c r="E413" s="4" t="s">
        <v>254</v>
      </c>
      <c r="F413" s="4" t="s">
        <v>4402</v>
      </c>
      <c r="G413" s="4" t="s">
        <v>4403</v>
      </c>
      <c r="H413" s="4" t="s">
        <v>37</v>
      </c>
      <c r="I413" s="4" t="s">
        <v>38</v>
      </c>
      <c r="J413" s="4" t="s">
        <v>28</v>
      </c>
      <c r="K413" s="4" t="s">
        <v>28</v>
      </c>
      <c r="L413" s="4" t="s">
        <v>27</v>
      </c>
      <c r="M413" s="4" t="s">
        <v>34</v>
      </c>
      <c r="N413" s="4" t="s">
        <v>28</v>
      </c>
    </row>
    <row r="414" spans="1:14" ht="14.4" thickBot="1" x14ac:dyDescent="0.35">
      <c r="A414" s="4" t="s">
        <v>19</v>
      </c>
      <c r="B414" s="4" t="s">
        <v>408</v>
      </c>
      <c r="C414" s="4" t="s">
        <v>433</v>
      </c>
      <c r="D414" s="4" t="s">
        <v>434</v>
      </c>
      <c r="E414" s="4" t="s">
        <v>254</v>
      </c>
      <c r="F414" s="4" t="s">
        <v>4404</v>
      </c>
      <c r="G414" s="4" t="s">
        <v>4405</v>
      </c>
      <c r="H414" s="4" t="s">
        <v>26</v>
      </c>
      <c r="I414" s="4" t="s">
        <v>33</v>
      </c>
      <c r="J414" s="4" t="s">
        <v>27</v>
      </c>
      <c r="K414" s="4" t="s">
        <v>28</v>
      </c>
      <c r="L414" s="4" t="s">
        <v>28</v>
      </c>
      <c r="M414" s="4" t="s">
        <v>34</v>
      </c>
      <c r="N414" s="4" t="s">
        <v>28</v>
      </c>
    </row>
    <row r="415" spans="1:14" ht="14.4" thickBot="1" x14ac:dyDescent="0.35">
      <c r="A415" s="4" t="s">
        <v>19</v>
      </c>
      <c r="B415" s="4" t="s">
        <v>408</v>
      </c>
      <c r="C415" s="4" t="s">
        <v>433</v>
      </c>
      <c r="D415" s="4" t="s">
        <v>434</v>
      </c>
      <c r="E415" s="4" t="s">
        <v>254</v>
      </c>
      <c r="F415" s="4" t="s">
        <v>4406</v>
      </c>
      <c r="G415" s="4" t="s">
        <v>2843</v>
      </c>
      <c r="H415" s="4" t="s">
        <v>135</v>
      </c>
      <c r="I415" s="4" t="s">
        <v>38</v>
      </c>
      <c r="J415" s="4" t="s">
        <v>28</v>
      </c>
      <c r="K415" s="4" t="s">
        <v>28</v>
      </c>
      <c r="L415" s="4" t="s">
        <v>27</v>
      </c>
      <c r="M415" s="4" t="s">
        <v>34</v>
      </c>
      <c r="N415" s="4" t="s">
        <v>28</v>
      </c>
    </row>
    <row r="416" spans="1:14" ht="14.4" thickBot="1" x14ac:dyDescent="0.35">
      <c r="A416" s="4" t="s">
        <v>19</v>
      </c>
      <c r="B416" s="4" t="s">
        <v>408</v>
      </c>
      <c r="C416" s="4" t="s">
        <v>433</v>
      </c>
      <c r="D416" s="4" t="s">
        <v>434</v>
      </c>
      <c r="E416" s="4" t="s">
        <v>254</v>
      </c>
      <c r="F416" s="4" t="s">
        <v>4407</v>
      </c>
      <c r="G416" s="4" t="s">
        <v>4408</v>
      </c>
      <c r="H416" s="4" t="s">
        <v>69</v>
      </c>
      <c r="I416" s="4" t="s">
        <v>94</v>
      </c>
      <c r="J416" s="4" t="s">
        <v>28</v>
      </c>
      <c r="K416" s="4" t="s">
        <v>27</v>
      </c>
      <c r="L416" s="4" t="s">
        <v>28</v>
      </c>
      <c r="M416" s="4" t="s">
        <v>34</v>
      </c>
      <c r="N416" s="4" t="s">
        <v>28</v>
      </c>
    </row>
    <row r="417" spans="1:14" ht="14.4" thickBot="1" x14ac:dyDescent="0.35">
      <c r="A417" s="4" t="s">
        <v>19</v>
      </c>
      <c r="B417" s="4" t="s">
        <v>408</v>
      </c>
      <c r="C417" s="4" t="s">
        <v>433</v>
      </c>
      <c r="D417" s="4" t="s">
        <v>434</v>
      </c>
      <c r="E417" s="4" t="s">
        <v>254</v>
      </c>
      <c r="F417" s="4" t="s">
        <v>4409</v>
      </c>
      <c r="G417" s="4" t="s">
        <v>4410</v>
      </c>
      <c r="H417" s="4" t="s">
        <v>26</v>
      </c>
      <c r="I417" s="4" t="s">
        <v>33</v>
      </c>
      <c r="J417" s="4" t="s">
        <v>27</v>
      </c>
      <c r="K417" s="4" t="s">
        <v>28</v>
      </c>
      <c r="L417" s="4" t="s">
        <v>28</v>
      </c>
      <c r="M417" s="4" t="s">
        <v>34</v>
      </c>
      <c r="N417" s="4" t="s">
        <v>28</v>
      </c>
    </row>
    <row r="418" spans="1:14" ht="14.4" thickBot="1" x14ac:dyDescent="0.35">
      <c r="A418" s="4" t="s">
        <v>19</v>
      </c>
      <c r="B418" s="4" t="s">
        <v>408</v>
      </c>
      <c r="C418" s="4" t="s">
        <v>433</v>
      </c>
      <c r="D418" s="4" t="s">
        <v>434</v>
      </c>
      <c r="E418" s="4" t="s">
        <v>254</v>
      </c>
      <c r="F418" s="4" t="s">
        <v>4501</v>
      </c>
      <c r="G418" s="4" t="s">
        <v>4502</v>
      </c>
      <c r="H418" s="4" t="s">
        <v>26</v>
      </c>
      <c r="I418" s="4" t="s">
        <v>26</v>
      </c>
      <c r="J418" s="4" t="s">
        <v>27</v>
      </c>
      <c r="K418" s="4" t="s">
        <v>28</v>
      </c>
      <c r="L418" s="4" t="s">
        <v>28</v>
      </c>
      <c r="M418" s="4" t="s">
        <v>29</v>
      </c>
      <c r="N418" s="4" t="s">
        <v>28</v>
      </c>
    </row>
    <row r="419" spans="1:14" ht="14.4" thickBot="1" x14ac:dyDescent="0.35">
      <c r="A419" s="4" t="s">
        <v>19</v>
      </c>
      <c r="B419" s="4" t="s">
        <v>408</v>
      </c>
      <c r="C419" s="4" t="s">
        <v>433</v>
      </c>
      <c r="D419" s="4" t="s">
        <v>434</v>
      </c>
      <c r="E419" s="4" t="s">
        <v>254</v>
      </c>
      <c r="F419" s="4" t="s">
        <v>4503</v>
      </c>
      <c r="G419" s="4" t="s">
        <v>4504</v>
      </c>
      <c r="H419" s="4" t="s">
        <v>26</v>
      </c>
      <c r="I419" s="4" t="s">
        <v>26</v>
      </c>
      <c r="J419" s="4" t="s">
        <v>27</v>
      </c>
      <c r="K419" s="4" t="s">
        <v>28</v>
      </c>
      <c r="L419" s="4" t="s">
        <v>28</v>
      </c>
      <c r="M419" s="4" t="s">
        <v>29</v>
      </c>
      <c r="N419" s="4" t="s">
        <v>28</v>
      </c>
    </row>
    <row r="420" spans="1:14" ht="14.4" thickBot="1" x14ac:dyDescent="0.35">
      <c r="A420" s="4" t="s">
        <v>19</v>
      </c>
      <c r="B420" s="4" t="s">
        <v>408</v>
      </c>
      <c r="C420" s="4" t="s">
        <v>433</v>
      </c>
      <c r="D420" s="4" t="s">
        <v>434</v>
      </c>
      <c r="E420" s="4" t="s">
        <v>254</v>
      </c>
      <c r="F420" s="4" t="s">
        <v>4505</v>
      </c>
      <c r="G420" s="4" t="s">
        <v>4506</v>
      </c>
      <c r="H420" s="4" t="s">
        <v>26</v>
      </c>
      <c r="I420" s="4" t="s">
        <v>26</v>
      </c>
      <c r="J420" s="4" t="s">
        <v>27</v>
      </c>
      <c r="K420" s="4" t="s">
        <v>28</v>
      </c>
      <c r="L420" s="4" t="s">
        <v>28</v>
      </c>
      <c r="M420" s="4" t="s">
        <v>130</v>
      </c>
      <c r="N420" s="4" t="s">
        <v>28</v>
      </c>
    </row>
    <row r="421" spans="1:14" ht="14.4" thickBot="1" x14ac:dyDescent="0.35">
      <c r="A421" s="4" t="s">
        <v>19</v>
      </c>
      <c r="B421" s="4" t="s">
        <v>408</v>
      </c>
      <c r="C421" s="4" t="s">
        <v>433</v>
      </c>
      <c r="D421" s="4" t="s">
        <v>434</v>
      </c>
      <c r="E421" s="4" t="s">
        <v>254</v>
      </c>
      <c r="F421" s="4" t="s">
        <v>4507</v>
      </c>
      <c r="G421" s="4" t="s">
        <v>4508</v>
      </c>
      <c r="H421" s="4" t="s">
        <v>26</v>
      </c>
      <c r="I421" s="4" t="s">
        <v>26</v>
      </c>
      <c r="J421" s="5"/>
      <c r="K421" s="5"/>
      <c r="L421" s="5"/>
      <c r="M421" s="4" t="s">
        <v>130</v>
      </c>
      <c r="N421" s="5"/>
    </row>
    <row r="422" spans="1:14" ht="14.4" thickBot="1" x14ac:dyDescent="0.35">
      <c r="A422" s="4" t="s">
        <v>19</v>
      </c>
      <c r="B422" s="4" t="s">
        <v>408</v>
      </c>
      <c r="C422" s="4" t="s">
        <v>433</v>
      </c>
      <c r="D422" s="4" t="s">
        <v>434</v>
      </c>
      <c r="E422" s="4" t="s">
        <v>254</v>
      </c>
      <c r="F422" s="4" t="s">
        <v>5080</v>
      </c>
      <c r="G422" s="4" t="s">
        <v>5081</v>
      </c>
      <c r="H422" s="4" t="s">
        <v>26</v>
      </c>
      <c r="I422" s="4" t="s">
        <v>33</v>
      </c>
      <c r="J422" s="4" t="s">
        <v>27</v>
      </c>
      <c r="K422" s="4" t="s">
        <v>28</v>
      </c>
      <c r="L422" s="4" t="s">
        <v>28</v>
      </c>
      <c r="M422" s="4" t="s">
        <v>34</v>
      </c>
      <c r="N422" s="4" t="s">
        <v>28</v>
      </c>
    </row>
    <row r="423" spans="1:14" ht="14.4" thickBot="1" x14ac:dyDescent="0.35">
      <c r="A423" s="4" t="s">
        <v>19</v>
      </c>
      <c r="B423" s="4" t="s">
        <v>408</v>
      </c>
      <c r="C423" s="4" t="s">
        <v>433</v>
      </c>
      <c r="D423" s="4" t="s">
        <v>434</v>
      </c>
      <c r="E423" s="4" t="s">
        <v>254</v>
      </c>
      <c r="F423" s="4" t="s">
        <v>5082</v>
      </c>
      <c r="G423" s="4" t="s">
        <v>5083</v>
      </c>
      <c r="H423" s="4" t="s">
        <v>26</v>
      </c>
      <c r="I423" s="4" t="s">
        <v>33</v>
      </c>
      <c r="J423" s="4" t="s">
        <v>27</v>
      </c>
      <c r="K423" s="4" t="s">
        <v>28</v>
      </c>
      <c r="L423" s="4" t="s">
        <v>28</v>
      </c>
      <c r="M423" s="4" t="s">
        <v>34</v>
      </c>
      <c r="N423" s="4" t="s">
        <v>28</v>
      </c>
    </row>
    <row r="424" spans="1:14" ht="14.4" thickBot="1" x14ac:dyDescent="0.35">
      <c r="A424" s="4" t="s">
        <v>19</v>
      </c>
      <c r="B424" s="4" t="s">
        <v>408</v>
      </c>
      <c r="C424" s="4" t="s">
        <v>433</v>
      </c>
      <c r="D424" s="4" t="s">
        <v>434</v>
      </c>
      <c r="E424" s="4" t="s">
        <v>254</v>
      </c>
      <c r="F424" s="4" t="s">
        <v>5084</v>
      </c>
      <c r="G424" s="4" t="s">
        <v>5085</v>
      </c>
      <c r="H424" s="4" t="s">
        <v>26</v>
      </c>
      <c r="I424" s="4" t="s">
        <v>33</v>
      </c>
      <c r="J424" s="4" t="s">
        <v>27</v>
      </c>
      <c r="K424" s="4" t="s">
        <v>28</v>
      </c>
      <c r="L424" s="4" t="s">
        <v>28</v>
      </c>
      <c r="M424" s="4" t="s">
        <v>34</v>
      </c>
      <c r="N424" s="4" t="s">
        <v>28</v>
      </c>
    </row>
    <row r="425" spans="1:14" ht="14.4" thickBot="1" x14ac:dyDescent="0.35">
      <c r="A425" s="4" t="s">
        <v>19</v>
      </c>
      <c r="B425" s="4" t="s">
        <v>408</v>
      </c>
      <c r="C425" s="4" t="s">
        <v>433</v>
      </c>
      <c r="D425" s="4" t="s">
        <v>434</v>
      </c>
      <c r="E425" s="4" t="s">
        <v>254</v>
      </c>
      <c r="F425" s="4" t="s">
        <v>5086</v>
      </c>
      <c r="G425" s="4" t="s">
        <v>5087</v>
      </c>
      <c r="H425" s="4" t="s">
        <v>26</v>
      </c>
      <c r="I425" s="4" t="s">
        <v>33</v>
      </c>
      <c r="J425" s="4" t="s">
        <v>27</v>
      </c>
      <c r="K425" s="4" t="s">
        <v>28</v>
      </c>
      <c r="L425" s="4" t="s">
        <v>28</v>
      </c>
      <c r="M425" s="4" t="s">
        <v>34</v>
      </c>
      <c r="N425" s="4" t="s">
        <v>28</v>
      </c>
    </row>
    <row r="426" spans="1:14" ht="14.4" thickBot="1" x14ac:dyDescent="0.35">
      <c r="A426" s="4" t="s">
        <v>19</v>
      </c>
      <c r="B426" s="4" t="s">
        <v>408</v>
      </c>
      <c r="C426" s="4" t="s">
        <v>433</v>
      </c>
      <c r="D426" s="4" t="s">
        <v>434</v>
      </c>
      <c r="E426" s="4" t="s">
        <v>254</v>
      </c>
      <c r="F426" s="4" t="s">
        <v>5088</v>
      </c>
      <c r="G426" s="4" t="s">
        <v>5089</v>
      </c>
      <c r="H426" s="4" t="s">
        <v>37</v>
      </c>
      <c r="I426" s="4" t="s">
        <v>38</v>
      </c>
      <c r="J426" s="4" t="s">
        <v>28</v>
      </c>
      <c r="K426" s="4" t="s">
        <v>28</v>
      </c>
      <c r="L426" s="4" t="s">
        <v>27</v>
      </c>
      <c r="M426" s="4" t="s">
        <v>34</v>
      </c>
      <c r="N426" s="4" t="s">
        <v>28</v>
      </c>
    </row>
    <row r="427" spans="1:14" ht="14.4" thickBot="1" x14ac:dyDescent="0.35">
      <c r="A427" s="4" t="s">
        <v>19</v>
      </c>
      <c r="B427" s="4" t="s">
        <v>408</v>
      </c>
      <c r="C427" s="4" t="s">
        <v>433</v>
      </c>
      <c r="D427" s="4" t="s">
        <v>434</v>
      </c>
      <c r="E427" s="4" t="s">
        <v>254</v>
      </c>
      <c r="F427" s="4" t="s">
        <v>5090</v>
      </c>
      <c r="G427" s="4" t="s">
        <v>5091</v>
      </c>
      <c r="H427" s="4" t="s">
        <v>26</v>
      </c>
      <c r="I427" s="4" t="s">
        <v>33</v>
      </c>
      <c r="J427" s="4" t="s">
        <v>27</v>
      </c>
      <c r="K427" s="4" t="s">
        <v>28</v>
      </c>
      <c r="L427" s="4" t="s">
        <v>28</v>
      </c>
      <c r="M427" s="4" t="s">
        <v>34</v>
      </c>
      <c r="N427" s="4" t="s">
        <v>28</v>
      </c>
    </row>
    <row r="428" spans="1:14" ht="14.4" thickBot="1" x14ac:dyDescent="0.35">
      <c r="A428" s="4" t="s">
        <v>19</v>
      </c>
      <c r="B428" s="4" t="s">
        <v>408</v>
      </c>
      <c r="C428" s="4" t="s">
        <v>433</v>
      </c>
      <c r="D428" s="4" t="s">
        <v>434</v>
      </c>
      <c r="E428" s="4" t="s">
        <v>254</v>
      </c>
      <c r="F428" s="4" t="s">
        <v>5092</v>
      </c>
      <c r="G428" s="4" t="s">
        <v>5093</v>
      </c>
      <c r="H428" s="4" t="s">
        <v>26</v>
      </c>
      <c r="I428" s="4" t="s">
        <v>33</v>
      </c>
      <c r="J428" s="4" t="s">
        <v>27</v>
      </c>
      <c r="K428" s="4" t="s">
        <v>28</v>
      </c>
      <c r="L428" s="4" t="s">
        <v>28</v>
      </c>
      <c r="M428" s="4" t="s">
        <v>34</v>
      </c>
      <c r="N428" s="4" t="s">
        <v>28</v>
      </c>
    </row>
    <row r="429" spans="1:14" ht="14.4" thickBot="1" x14ac:dyDescent="0.35">
      <c r="A429" s="4" t="s">
        <v>19</v>
      </c>
      <c r="B429" s="4" t="s">
        <v>408</v>
      </c>
      <c r="C429" s="4" t="s">
        <v>433</v>
      </c>
      <c r="D429" s="4" t="s">
        <v>434</v>
      </c>
      <c r="E429" s="4" t="s">
        <v>254</v>
      </c>
      <c r="F429" s="4" t="s">
        <v>5094</v>
      </c>
      <c r="G429" s="4" t="s">
        <v>5095</v>
      </c>
      <c r="H429" s="4" t="s">
        <v>26</v>
      </c>
      <c r="I429" s="4" t="s">
        <v>26</v>
      </c>
      <c r="J429" s="4" t="s">
        <v>27</v>
      </c>
      <c r="K429" s="4" t="s">
        <v>28</v>
      </c>
      <c r="L429" s="4" t="s">
        <v>28</v>
      </c>
      <c r="M429" s="4" t="s">
        <v>34</v>
      </c>
      <c r="N429" s="4" t="s">
        <v>28</v>
      </c>
    </row>
    <row r="430" spans="1:14" ht="14.4" thickBot="1" x14ac:dyDescent="0.35">
      <c r="A430" s="4" t="s">
        <v>19</v>
      </c>
      <c r="B430" s="4" t="s">
        <v>408</v>
      </c>
      <c r="C430" s="4" t="s">
        <v>433</v>
      </c>
      <c r="D430" s="4" t="s">
        <v>434</v>
      </c>
      <c r="E430" s="4" t="s">
        <v>254</v>
      </c>
      <c r="F430" s="4" t="s">
        <v>5096</v>
      </c>
      <c r="G430" s="4" t="s">
        <v>5097</v>
      </c>
      <c r="H430" s="4" t="s">
        <v>37</v>
      </c>
      <c r="I430" s="4" t="s">
        <v>38</v>
      </c>
      <c r="J430" s="4" t="s">
        <v>28</v>
      </c>
      <c r="K430" s="4" t="s">
        <v>28</v>
      </c>
      <c r="L430" s="4" t="s">
        <v>27</v>
      </c>
      <c r="M430" s="4" t="s">
        <v>34</v>
      </c>
      <c r="N430" s="4" t="s">
        <v>28</v>
      </c>
    </row>
    <row r="431" spans="1:14" ht="14.4" thickBot="1" x14ac:dyDescent="0.35">
      <c r="A431" s="4" t="s">
        <v>19</v>
      </c>
      <c r="B431" s="4" t="s">
        <v>408</v>
      </c>
      <c r="C431" s="4" t="s">
        <v>433</v>
      </c>
      <c r="D431" s="4" t="s">
        <v>434</v>
      </c>
      <c r="E431" s="4" t="s">
        <v>254</v>
      </c>
      <c r="F431" s="4" t="s">
        <v>5180</v>
      </c>
      <c r="G431" s="4" t="s">
        <v>5181</v>
      </c>
      <c r="H431" s="4" t="s">
        <v>26</v>
      </c>
      <c r="I431" s="4" t="s">
        <v>26</v>
      </c>
      <c r="J431" s="4" t="s">
        <v>27</v>
      </c>
      <c r="K431" s="4" t="s">
        <v>28</v>
      </c>
      <c r="L431" s="4" t="s">
        <v>28</v>
      </c>
      <c r="M431" s="4" t="s">
        <v>130</v>
      </c>
      <c r="N431" s="5"/>
    </row>
    <row r="432" spans="1:14" ht="14.4" thickBot="1" x14ac:dyDescent="0.35">
      <c r="A432" s="4" t="s">
        <v>19</v>
      </c>
      <c r="B432" s="4" t="s">
        <v>408</v>
      </c>
      <c r="C432" s="4" t="s">
        <v>433</v>
      </c>
      <c r="D432" s="4" t="s">
        <v>434</v>
      </c>
      <c r="E432" s="4" t="s">
        <v>254</v>
      </c>
      <c r="F432" s="4" t="s">
        <v>5182</v>
      </c>
      <c r="G432" s="4" t="s">
        <v>5183</v>
      </c>
      <c r="H432" s="4" t="s">
        <v>26</v>
      </c>
      <c r="I432" s="4" t="s">
        <v>158</v>
      </c>
      <c r="J432" s="4" t="s">
        <v>27</v>
      </c>
      <c r="K432" s="4" t="s">
        <v>28</v>
      </c>
      <c r="L432" s="4" t="s">
        <v>28</v>
      </c>
      <c r="M432" s="4" t="s">
        <v>29</v>
      </c>
      <c r="N432" s="4" t="s">
        <v>28</v>
      </c>
    </row>
    <row r="433" spans="1:14" ht="14.4" thickBot="1" x14ac:dyDescent="0.35">
      <c r="A433" s="4" t="s">
        <v>19</v>
      </c>
      <c r="B433" s="4" t="s">
        <v>408</v>
      </c>
      <c r="C433" s="4" t="s">
        <v>433</v>
      </c>
      <c r="D433" s="4" t="s">
        <v>434</v>
      </c>
      <c r="E433" s="4" t="s">
        <v>254</v>
      </c>
      <c r="F433" s="4" t="s">
        <v>5184</v>
      </c>
      <c r="G433" s="4" t="s">
        <v>5185</v>
      </c>
      <c r="H433" s="4" t="s">
        <v>26</v>
      </c>
      <c r="I433" s="4" t="s">
        <v>26</v>
      </c>
      <c r="J433" s="4" t="s">
        <v>27</v>
      </c>
      <c r="K433" s="4" t="s">
        <v>28</v>
      </c>
      <c r="L433" s="4" t="s">
        <v>28</v>
      </c>
      <c r="M433" s="4" t="s">
        <v>130</v>
      </c>
      <c r="N433" s="4" t="s">
        <v>28</v>
      </c>
    </row>
    <row r="434" spans="1:14" ht="14.4" thickBot="1" x14ac:dyDescent="0.35">
      <c r="A434" s="4" t="s">
        <v>19</v>
      </c>
      <c r="B434" s="4" t="s">
        <v>408</v>
      </c>
      <c r="C434" s="4" t="s">
        <v>433</v>
      </c>
      <c r="D434" s="4" t="s">
        <v>434</v>
      </c>
      <c r="E434" s="4" t="s">
        <v>254</v>
      </c>
      <c r="F434" s="4" t="s">
        <v>5186</v>
      </c>
      <c r="G434" s="4" t="s">
        <v>5187</v>
      </c>
      <c r="H434" s="4" t="s">
        <v>26</v>
      </c>
      <c r="I434" s="4" t="s">
        <v>26</v>
      </c>
      <c r="J434" s="4" t="s">
        <v>27</v>
      </c>
      <c r="K434" s="4" t="s">
        <v>28</v>
      </c>
      <c r="L434" s="4" t="s">
        <v>28</v>
      </c>
      <c r="M434" s="4" t="s">
        <v>29</v>
      </c>
      <c r="N434" s="4" t="s">
        <v>28</v>
      </c>
    </row>
    <row r="435" spans="1:14" ht="14.4" thickBot="1" x14ac:dyDescent="0.35">
      <c r="A435" s="4" t="s">
        <v>19</v>
      </c>
      <c r="B435" s="4" t="s">
        <v>408</v>
      </c>
      <c r="C435" s="4" t="s">
        <v>433</v>
      </c>
      <c r="D435" s="4" t="s">
        <v>434</v>
      </c>
      <c r="E435" s="4" t="s">
        <v>254</v>
      </c>
      <c r="F435" s="4" t="s">
        <v>5769</v>
      </c>
      <c r="G435" s="4" t="s">
        <v>5770</v>
      </c>
      <c r="H435" s="4" t="s">
        <v>37</v>
      </c>
      <c r="I435" s="4" t="s">
        <v>1005</v>
      </c>
      <c r="J435" s="4" t="s">
        <v>28</v>
      </c>
      <c r="K435" s="4" t="s">
        <v>28</v>
      </c>
      <c r="L435" s="4" t="s">
        <v>27</v>
      </c>
      <c r="M435" s="4" t="s">
        <v>34</v>
      </c>
      <c r="N435" s="4" t="s">
        <v>27</v>
      </c>
    </row>
    <row r="436" spans="1:14" ht="14.4" thickBot="1" x14ac:dyDescent="0.35">
      <c r="A436" s="4" t="s">
        <v>19</v>
      </c>
      <c r="B436" s="4" t="s">
        <v>408</v>
      </c>
      <c r="C436" s="4" t="s">
        <v>433</v>
      </c>
      <c r="D436" s="4" t="s">
        <v>434</v>
      </c>
      <c r="E436" s="4" t="s">
        <v>254</v>
      </c>
      <c r="F436" s="4" t="s">
        <v>5771</v>
      </c>
      <c r="G436" s="4" t="s">
        <v>5772</v>
      </c>
      <c r="H436" s="4" t="s">
        <v>26</v>
      </c>
      <c r="I436" s="4" t="s">
        <v>94</v>
      </c>
      <c r="J436" s="4" t="s">
        <v>27</v>
      </c>
      <c r="K436" s="4" t="s">
        <v>28</v>
      </c>
      <c r="L436" s="4" t="s">
        <v>28</v>
      </c>
      <c r="M436" s="4" t="s">
        <v>34</v>
      </c>
      <c r="N436" s="4" t="s">
        <v>28</v>
      </c>
    </row>
    <row r="437" spans="1:14" ht="14.4" thickBot="1" x14ac:dyDescent="0.35">
      <c r="A437" s="4" t="s">
        <v>19</v>
      </c>
      <c r="B437" s="4" t="s">
        <v>408</v>
      </c>
      <c r="C437" s="4" t="s">
        <v>433</v>
      </c>
      <c r="D437" s="4" t="s">
        <v>434</v>
      </c>
      <c r="E437" s="4" t="s">
        <v>254</v>
      </c>
      <c r="F437" s="4" t="s">
        <v>5773</v>
      </c>
      <c r="G437" s="4" t="s">
        <v>5774</v>
      </c>
      <c r="H437" s="4" t="s">
        <v>26</v>
      </c>
      <c r="I437" s="4" t="s">
        <v>33</v>
      </c>
      <c r="J437" s="4" t="s">
        <v>27</v>
      </c>
      <c r="K437" s="4" t="s">
        <v>28</v>
      </c>
      <c r="L437" s="4" t="s">
        <v>28</v>
      </c>
      <c r="M437" s="4" t="s">
        <v>34</v>
      </c>
      <c r="N437" s="4" t="s">
        <v>28</v>
      </c>
    </row>
    <row r="438" spans="1:14" ht="14.4" thickBot="1" x14ac:dyDescent="0.35">
      <c r="A438" s="4" t="s">
        <v>19</v>
      </c>
      <c r="B438" s="4" t="s">
        <v>408</v>
      </c>
      <c r="C438" s="4" t="s">
        <v>433</v>
      </c>
      <c r="D438" s="4" t="s">
        <v>434</v>
      </c>
      <c r="E438" s="4" t="s">
        <v>254</v>
      </c>
      <c r="F438" s="4" t="s">
        <v>5775</v>
      </c>
      <c r="G438" s="4" t="s">
        <v>5776</v>
      </c>
      <c r="H438" s="4" t="s">
        <v>26</v>
      </c>
      <c r="I438" s="4" t="s">
        <v>33</v>
      </c>
      <c r="J438" s="4" t="s">
        <v>27</v>
      </c>
      <c r="K438" s="4" t="s">
        <v>28</v>
      </c>
      <c r="L438" s="4" t="s">
        <v>28</v>
      </c>
      <c r="M438" s="4" t="s">
        <v>34</v>
      </c>
      <c r="N438" s="4" t="s">
        <v>28</v>
      </c>
    </row>
    <row r="439" spans="1:14" ht="14.4" thickBot="1" x14ac:dyDescent="0.35">
      <c r="A439" s="4" t="s">
        <v>19</v>
      </c>
      <c r="B439" s="4" t="s">
        <v>408</v>
      </c>
      <c r="C439" s="4" t="s">
        <v>433</v>
      </c>
      <c r="D439" s="4" t="s">
        <v>434</v>
      </c>
      <c r="E439" s="4" t="s">
        <v>254</v>
      </c>
      <c r="F439" s="4" t="s">
        <v>5777</v>
      </c>
      <c r="G439" s="4" t="s">
        <v>5778</v>
      </c>
      <c r="H439" s="4" t="s">
        <v>26</v>
      </c>
      <c r="I439" s="4" t="s">
        <v>33</v>
      </c>
      <c r="J439" s="4" t="s">
        <v>27</v>
      </c>
      <c r="K439" s="4" t="s">
        <v>28</v>
      </c>
      <c r="L439" s="4" t="s">
        <v>28</v>
      </c>
      <c r="M439" s="4" t="s">
        <v>34</v>
      </c>
      <c r="N439" s="4" t="s">
        <v>28</v>
      </c>
    </row>
    <row r="440" spans="1:14" ht="14.4" thickBot="1" x14ac:dyDescent="0.35">
      <c r="A440" s="4" t="s">
        <v>19</v>
      </c>
      <c r="B440" s="4" t="s">
        <v>408</v>
      </c>
      <c r="C440" s="4" t="s">
        <v>433</v>
      </c>
      <c r="D440" s="4" t="s">
        <v>434</v>
      </c>
      <c r="E440" s="4" t="s">
        <v>254</v>
      </c>
      <c r="F440" s="4" t="s">
        <v>5779</v>
      </c>
      <c r="G440" s="4" t="s">
        <v>5780</v>
      </c>
      <c r="H440" s="4" t="s">
        <v>26</v>
      </c>
      <c r="I440" s="4" t="s">
        <v>33</v>
      </c>
      <c r="J440" s="4" t="s">
        <v>27</v>
      </c>
      <c r="K440" s="4" t="s">
        <v>28</v>
      </c>
      <c r="L440" s="4" t="s">
        <v>28</v>
      </c>
      <c r="M440" s="4" t="s">
        <v>34</v>
      </c>
      <c r="N440" s="4" t="s">
        <v>28</v>
      </c>
    </row>
    <row r="441" spans="1:14" ht="14.4" thickBot="1" x14ac:dyDescent="0.35">
      <c r="A441" s="4" t="s">
        <v>19</v>
      </c>
      <c r="B441" s="4" t="s">
        <v>408</v>
      </c>
      <c r="C441" s="4" t="s">
        <v>433</v>
      </c>
      <c r="D441" s="4" t="s">
        <v>434</v>
      </c>
      <c r="E441" s="4" t="s">
        <v>254</v>
      </c>
      <c r="F441" s="4" t="s">
        <v>5859</v>
      </c>
      <c r="G441" s="4" t="s">
        <v>5860</v>
      </c>
      <c r="H441" s="4" t="s">
        <v>26</v>
      </c>
      <c r="I441" s="4" t="s">
        <v>26</v>
      </c>
      <c r="J441" s="5"/>
      <c r="K441" s="5"/>
      <c r="L441" s="5"/>
      <c r="M441" s="4" t="s">
        <v>130</v>
      </c>
      <c r="N441" s="5"/>
    </row>
    <row r="442" spans="1:14" ht="14.4" thickBot="1" x14ac:dyDescent="0.35">
      <c r="A442" s="4" t="s">
        <v>19</v>
      </c>
      <c r="B442" s="4" t="s">
        <v>408</v>
      </c>
      <c r="C442" s="4" t="s">
        <v>433</v>
      </c>
      <c r="D442" s="4" t="s">
        <v>434</v>
      </c>
      <c r="E442" s="4" t="s">
        <v>254</v>
      </c>
      <c r="F442" s="4" t="s">
        <v>5861</v>
      </c>
      <c r="G442" s="4" t="s">
        <v>5862</v>
      </c>
      <c r="H442" s="4" t="s">
        <v>26</v>
      </c>
      <c r="I442" s="4" t="s">
        <v>26</v>
      </c>
      <c r="J442" s="5"/>
      <c r="K442" s="5"/>
      <c r="L442" s="5"/>
      <c r="M442" s="4" t="s">
        <v>130</v>
      </c>
      <c r="N442" s="5"/>
    </row>
    <row r="443" spans="1:14" ht="14.4" thickBot="1" x14ac:dyDescent="0.35">
      <c r="A443" s="4" t="s">
        <v>19</v>
      </c>
      <c r="B443" s="4" t="s">
        <v>408</v>
      </c>
      <c r="C443" s="4" t="s">
        <v>445</v>
      </c>
      <c r="D443" s="4" t="s">
        <v>446</v>
      </c>
      <c r="E443" s="4" t="s">
        <v>48</v>
      </c>
      <c r="F443" s="4" t="s">
        <v>447</v>
      </c>
      <c r="G443" s="4" t="s">
        <v>448</v>
      </c>
      <c r="H443" s="4" t="s">
        <v>135</v>
      </c>
      <c r="I443" s="4" t="s">
        <v>69</v>
      </c>
      <c r="J443" s="4" t="s">
        <v>27</v>
      </c>
      <c r="K443" s="4" t="s">
        <v>28</v>
      </c>
      <c r="L443" s="4" t="s">
        <v>28</v>
      </c>
      <c r="M443" s="4" t="s">
        <v>34</v>
      </c>
      <c r="N443" s="4" t="s">
        <v>27</v>
      </c>
    </row>
    <row r="444" spans="1:14" ht="14.4" thickBot="1" x14ac:dyDescent="0.35">
      <c r="A444" s="4" t="s">
        <v>19</v>
      </c>
      <c r="B444" s="4" t="s">
        <v>408</v>
      </c>
      <c r="C444" s="4" t="s">
        <v>445</v>
      </c>
      <c r="D444" s="4" t="s">
        <v>446</v>
      </c>
      <c r="E444" s="4" t="s">
        <v>48</v>
      </c>
      <c r="F444" s="4" t="s">
        <v>1376</v>
      </c>
      <c r="G444" s="4" t="s">
        <v>1377</v>
      </c>
      <c r="H444" s="4" t="s">
        <v>37</v>
      </c>
      <c r="I444" s="4" t="s">
        <v>38</v>
      </c>
      <c r="J444" s="4" t="s">
        <v>28</v>
      </c>
      <c r="K444" s="4" t="s">
        <v>28</v>
      </c>
      <c r="L444" s="4" t="s">
        <v>27</v>
      </c>
      <c r="M444" s="4" t="s">
        <v>34</v>
      </c>
      <c r="N444" s="4" t="s">
        <v>27</v>
      </c>
    </row>
    <row r="445" spans="1:14" ht="14.4" thickBot="1" x14ac:dyDescent="0.35">
      <c r="A445" s="4" t="s">
        <v>19</v>
      </c>
      <c r="B445" s="4" t="s">
        <v>408</v>
      </c>
      <c r="C445" s="4" t="s">
        <v>445</v>
      </c>
      <c r="D445" s="4" t="s">
        <v>446</v>
      </c>
      <c r="E445" s="4" t="s">
        <v>48</v>
      </c>
      <c r="F445" s="4" t="s">
        <v>1378</v>
      </c>
      <c r="G445" s="4" t="s">
        <v>1379</v>
      </c>
      <c r="H445" s="4" t="s">
        <v>122</v>
      </c>
      <c r="I445" s="4" t="s">
        <v>38</v>
      </c>
      <c r="J445" s="4" t="s">
        <v>28</v>
      </c>
      <c r="K445" s="4" t="s">
        <v>28</v>
      </c>
      <c r="L445" s="4" t="s">
        <v>27</v>
      </c>
      <c r="M445" s="4" t="s">
        <v>34</v>
      </c>
      <c r="N445" s="4" t="s">
        <v>28</v>
      </c>
    </row>
    <row r="446" spans="1:14" ht="14.4" thickBot="1" x14ac:dyDescent="0.35">
      <c r="A446" s="4" t="s">
        <v>19</v>
      </c>
      <c r="B446" s="4" t="s">
        <v>408</v>
      </c>
      <c r="C446" s="4" t="s">
        <v>445</v>
      </c>
      <c r="D446" s="4" t="s">
        <v>446</v>
      </c>
      <c r="E446" s="4" t="s">
        <v>48</v>
      </c>
      <c r="F446" s="4" t="s">
        <v>2877</v>
      </c>
      <c r="G446" s="4" t="s">
        <v>2878</v>
      </c>
      <c r="H446" s="4" t="s">
        <v>26</v>
      </c>
      <c r="I446" s="4" t="s">
        <v>33</v>
      </c>
      <c r="J446" s="4" t="s">
        <v>27</v>
      </c>
      <c r="K446" s="4" t="s">
        <v>28</v>
      </c>
      <c r="L446" s="4" t="s">
        <v>28</v>
      </c>
      <c r="M446" s="4" t="s">
        <v>34</v>
      </c>
      <c r="N446" s="4" t="s">
        <v>27</v>
      </c>
    </row>
    <row r="447" spans="1:14" ht="14.4" thickBot="1" x14ac:dyDescent="0.35">
      <c r="A447" s="4" t="s">
        <v>19</v>
      </c>
      <c r="B447" s="4" t="s">
        <v>408</v>
      </c>
      <c r="C447" s="4" t="s">
        <v>445</v>
      </c>
      <c r="D447" s="4" t="s">
        <v>446</v>
      </c>
      <c r="E447" s="4" t="s">
        <v>48</v>
      </c>
      <c r="F447" s="4" t="s">
        <v>3635</v>
      </c>
      <c r="G447" s="4" t="s">
        <v>3636</v>
      </c>
      <c r="H447" s="4" t="s">
        <v>37</v>
      </c>
      <c r="I447" s="4" t="s">
        <v>38</v>
      </c>
      <c r="J447" s="4" t="s">
        <v>28</v>
      </c>
      <c r="K447" s="4" t="s">
        <v>28</v>
      </c>
      <c r="L447" s="4" t="s">
        <v>27</v>
      </c>
      <c r="M447" s="4" t="s">
        <v>34</v>
      </c>
      <c r="N447" s="4" t="s">
        <v>27</v>
      </c>
    </row>
    <row r="448" spans="1:14" ht="14.4" thickBot="1" x14ac:dyDescent="0.35">
      <c r="A448" s="4" t="s">
        <v>19</v>
      </c>
      <c r="B448" s="4" t="s">
        <v>408</v>
      </c>
      <c r="C448" s="4" t="s">
        <v>445</v>
      </c>
      <c r="D448" s="4" t="s">
        <v>446</v>
      </c>
      <c r="E448" s="4" t="s">
        <v>48</v>
      </c>
      <c r="F448" s="4" t="s">
        <v>3637</v>
      </c>
      <c r="G448" s="4" t="s">
        <v>3638</v>
      </c>
      <c r="H448" s="4" t="s">
        <v>122</v>
      </c>
      <c r="I448" s="4" t="s">
        <v>94</v>
      </c>
      <c r="J448" s="4" t="s">
        <v>28</v>
      </c>
      <c r="K448" s="4" t="s">
        <v>27</v>
      </c>
      <c r="L448" s="4" t="s">
        <v>28</v>
      </c>
      <c r="M448" s="4" t="s">
        <v>34</v>
      </c>
      <c r="N448" s="4" t="s">
        <v>27</v>
      </c>
    </row>
    <row r="449" spans="1:14" ht="14.4" thickBot="1" x14ac:dyDescent="0.35">
      <c r="A449" s="4" t="s">
        <v>19</v>
      </c>
      <c r="B449" s="4" t="s">
        <v>408</v>
      </c>
      <c r="C449" s="4" t="s">
        <v>445</v>
      </c>
      <c r="D449" s="4" t="s">
        <v>446</v>
      </c>
      <c r="E449" s="4" t="s">
        <v>48</v>
      </c>
      <c r="F449" s="4" t="s">
        <v>4411</v>
      </c>
      <c r="G449" s="4" t="s">
        <v>4412</v>
      </c>
      <c r="H449" s="4" t="s">
        <v>69</v>
      </c>
      <c r="I449" s="4" t="s">
        <v>94</v>
      </c>
      <c r="J449" s="4" t="s">
        <v>28</v>
      </c>
      <c r="K449" s="4" t="s">
        <v>27</v>
      </c>
      <c r="L449" s="4" t="s">
        <v>28</v>
      </c>
      <c r="M449" s="4" t="s">
        <v>34</v>
      </c>
      <c r="N449" s="4" t="s">
        <v>27</v>
      </c>
    </row>
    <row r="450" spans="1:14" ht="14.4" thickBot="1" x14ac:dyDescent="0.35">
      <c r="A450" s="4" t="s">
        <v>19</v>
      </c>
      <c r="B450" s="4" t="s">
        <v>408</v>
      </c>
      <c r="C450" s="4" t="s">
        <v>445</v>
      </c>
      <c r="D450" s="4" t="s">
        <v>446</v>
      </c>
      <c r="E450" s="4" t="s">
        <v>48</v>
      </c>
      <c r="F450" s="4" t="s">
        <v>4413</v>
      </c>
      <c r="G450" s="4" t="s">
        <v>4414</v>
      </c>
      <c r="H450" s="4" t="s">
        <v>26</v>
      </c>
      <c r="I450" s="4" t="s">
        <v>69</v>
      </c>
      <c r="J450" s="4" t="s">
        <v>27</v>
      </c>
      <c r="K450" s="4" t="s">
        <v>28</v>
      </c>
      <c r="L450" s="4" t="s">
        <v>28</v>
      </c>
      <c r="M450" s="4" t="s">
        <v>34</v>
      </c>
      <c r="N450" s="4" t="s">
        <v>28</v>
      </c>
    </row>
    <row r="451" spans="1:14" ht="14.4" thickBot="1" x14ac:dyDescent="0.35">
      <c r="A451" s="4" t="s">
        <v>19</v>
      </c>
      <c r="B451" s="4" t="s">
        <v>408</v>
      </c>
      <c r="C451" s="4" t="s">
        <v>445</v>
      </c>
      <c r="D451" s="4" t="s">
        <v>446</v>
      </c>
      <c r="E451" s="4" t="s">
        <v>48</v>
      </c>
      <c r="F451" s="4" t="s">
        <v>5098</v>
      </c>
      <c r="G451" s="4" t="s">
        <v>5099</v>
      </c>
      <c r="H451" s="4" t="s">
        <v>69</v>
      </c>
      <c r="I451" s="4" t="s">
        <v>94</v>
      </c>
      <c r="J451" s="4" t="s">
        <v>28</v>
      </c>
      <c r="K451" s="4" t="s">
        <v>27</v>
      </c>
      <c r="L451" s="4" t="s">
        <v>28</v>
      </c>
      <c r="M451" s="4" t="s">
        <v>34</v>
      </c>
      <c r="N451" s="4" t="s">
        <v>27</v>
      </c>
    </row>
    <row r="452" spans="1:14" ht="14.4" thickBot="1" x14ac:dyDescent="0.35">
      <c r="A452" s="4" t="s">
        <v>19</v>
      </c>
      <c r="B452" s="4" t="s">
        <v>408</v>
      </c>
      <c r="C452" s="4" t="s">
        <v>445</v>
      </c>
      <c r="D452" s="4" t="s">
        <v>446</v>
      </c>
      <c r="E452" s="4" t="s">
        <v>48</v>
      </c>
      <c r="F452" s="4" t="s">
        <v>5781</v>
      </c>
      <c r="G452" s="4" t="s">
        <v>5782</v>
      </c>
      <c r="H452" s="4" t="s">
        <v>37</v>
      </c>
      <c r="I452" s="4" t="s">
        <v>38</v>
      </c>
      <c r="J452" s="4" t="s">
        <v>28</v>
      </c>
      <c r="K452" s="4" t="s">
        <v>28</v>
      </c>
      <c r="L452" s="4" t="s">
        <v>27</v>
      </c>
      <c r="M452" s="4" t="s">
        <v>34</v>
      </c>
      <c r="N452" s="4" t="s">
        <v>27</v>
      </c>
    </row>
    <row r="453" spans="1:14" ht="14.4" thickBot="1" x14ac:dyDescent="0.35">
      <c r="A453" s="4" t="s">
        <v>19</v>
      </c>
      <c r="B453" s="4" t="s">
        <v>449</v>
      </c>
      <c r="C453" s="4" t="s">
        <v>450</v>
      </c>
      <c r="D453" s="4" t="s">
        <v>451</v>
      </c>
      <c r="E453" s="4" t="s">
        <v>23</v>
      </c>
      <c r="F453" s="4" t="s">
        <v>452</v>
      </c>
      <c r="G453" s="4" t="s">
        <v>453</v>
      </c>
      <c r="H453" s="4" t="s">
        <v>135</v>
      </c>
      <c r="I453" s="4" t="s">
        <v>454</v>
      </c>
      <c r="J453" s="4" t="s">
        <v>27</v>
      </c>
      <c r="K453" s="4" t="s">
        <v>28</v>
      </c>
      <c r="L453" s="4" t="s">
        <v>28</v>
      </c>
      <c r="M453" s="4" t="s">
        <v>34</v>
      </c>
      <c r="N453" s="4" t="s">
        <v>28</v>
      </c>
    </row>
    <row r="454" spans="1:14" ht="14.4" thickBot="1" x14ac:dyDescent="0.35">
      <c r="A454" s="4" t="s">
        <v>19</v>
      </c>
      <c r="B454" s="4" t="s">
        <v>449</v>
      </c>
      <c r="C454" s="4" t="s">
        <v>450</v>
      </c>
      <c r="D454" s="4" t="s">
        <v>451</v>
      </c>
      <c r="E454" s="4" t="s">
        <v>23</v>
      </c>
      <c r="F454" s="4" t="s">
        <v>573</v>
      </c>
      <c r="G454" s="4" t="s">
        <v>574</v>
      </c>
      <c r="H454" s="4" t="s">
        <v>26</v>
      </c>
      <c r="I454" s="4" t="s">
        <v>69</v>
      </c>
      <c r="J454" s="5"/>
      <c r="K454" s="5"/>
      <c r="L454" s="5"/>
      <c r="M454" s="4" t="s">
        <v>29</v>
      </c>
      <c r="N454" s="5"/>
    </row>
    <row r="455" spans="1:14" ht="14.4" thickBot="1" x14ac:dyDescent="0.35">
      <c r="A455" s="4" t="s">
        <v>19</v>
      </c>
      <c r="B455" s="4" t="s">
        <v>449</v>
      </c>
      <c r="C455" s="4" t="s">
        <v>450</v>
      </c>
      <c r="D455" s="4" t="s">
        <v>451</v>
      </c>
      <c r="E455" s="4" t="s">
        <v>23</v>
      </c>
      <c r="F455" s="4" t="s">
        <v>1507</v>
      </c>
      <c r="G455" s="4" t="s">
        <v>1508</v>
      </c>
      <c r="H455" s="4" t="s">
        <v>26</v>
      </c>
      <c r="I455" s="4" t="s">
        <v>26</v>
      </c>
      <c r="J455" s="4" t="s">
        <v>27</v>
      </c>
      <c r="K455" s="4" t="s">
        <v>28</v>
      </c>
      <c r="L455" s="4" t="s">
        <v>28</v>
      </c>
      <c r="M455" s="4" t="s">
        <v>130</v>
      </c>
      <c r="N455" s="5"/>
    </row>
    <row r="456" spans="1:14" ht="14.4" thickBot="1" x14ac:dyDescent="0.35">
      <c r="A456" s="4" t="s">
        <v>19</v>
      </c>
      <c r="B456" s="4" t="s">
        <v>449</v>
      </c>
      <c r="C456" s="4" t="s">
        <v>450</v>
      </c>
      <c r="D456" s="4" t="s">
        <v>451</v>
      </c>
      <c r="E456" s="4" t="s">
        <v>23</v>
      </c>
      <c r="F456" s="4" t="s">
        <v>2158</v>
      </c>
      <c r="G456" s="4" t="s">
        <v>2159</v>
      </c>
      <c r="H456" s="4" t="s">
        <v>135</v>
      </c>
      <c r="I456" s="4" t="s">
        <v>122</v>
      </c>
      <c r="J456" s="4" t="s">
        <v>27</v>
      </c>
      <c r="K456" s="4" t="s">
        <v>28</v>
      </c>
      <c r="L456" s="4" t="s">
        <v>28</v>
      </c>
      <c r="M456" s="4" t="s">
        <v>34</v>
      </c>
      <c r="N456" s="4" t="s">
        <v>27</v>
      </c>
    </row>
    <row r="457" spans="1:14" ht="14.4" thickBot="1" x14ac:dyDescent="0.35">
      <c r="A457" s="4" t="s">
        <v>19</v>
      </c>
      <c r="B457" s="4" t="s">
        <v>449</v>
      </c>
      <c r="C457" s="4" t="s">
        <v>450</v>
      </c>
      <c r="D457" s="4" t="s">
        <v>451</v>
      </c>
      <c r="E457" s="4" t="s">
        <v>23</v>
      </c>
      <c r="F457" s="4" t="s">
        <v>2879</v>
      </c>
      <c r="G457" s="4" t="s">
        <v>2880</v>
      </c>
      <c r="H457" s="4" t="s">
        <v>37</v>
      </c>
      <c r="I457" s="4" t="s">
        <v>38</v>
      </c>
      <c r="J457" s="4" t="s">
        <v>28</v>
      </c>
      <c r="K457" s="4" t="s">
        <v>28</v>
      </c>
      <c r="L457" s="4" t="s">
        <v>27</v>
      </c>
      <c r="M457" s="4" t="s">
        <v>34</v>
      </c>
      <c r="N457" s="4" t="s">
        <v>28</v>
      </c>
    </row>
    <row r="458" spans="1:14" ht="14.4" thickBot="1" x14ac:dyDescent="0.35">
      <c r="A458" s="4" t="s">
        <v>19</v>
      </c>
      <c r="B458" s="4" t="s">
        <v>449</v>
      </c>
      <c r="C458" s="4" t="s">
        <v>450</v>
      </c>
      <c r="D458" s="4" t="s">
        <v>451</v>
      </c>
      <c r="E458" s="4" t="s">
        <v>23</v>
      </c>
      <c r="F458" s="4" t="s">
        <v>2881</v>
      </c>
      <c r="G458" s="4" t="s">
        <v>2882</v>
      </c>
      <c r="H458" s="4" t="s">
        <v>33</v>
      </c>
      <c r="I458" s="4" t="s">
        <v>94</v>
      </c>
      <c r="J458" s="4" t="s">
        <v>28</v>
      </c>
      <c r="K458" s="4" t="s">
        <v>27</v>
      </c>
      <c r="L458" s="4" t="s">
        <v>28</v>
      </c>
      <c r="M458" s="4" t="s">
        <v>34</v>
      </c>
      <c r="N458" s="4" t="s">
        <v>28</v>
      </c>
    </row>
    <row r="459" spans="1:14" ht="14.4" thickBot="1" x14ac:dyDescent="0.35">
      <c r="A459" s="4" t="s">
        <v>19</v>
      </c>
      <c r="B459" s="4" t="s">
        <v>449</v>
      </c>
      <c r="C459" s="4" t="s">
        <v>450</v>
      </c>
      <c r="D459" s="4" t="s">
        <v>451</v>
      </c>
      <c r="E459" s="4" t="s">
        <v>23</v>
      </c>
      <c r="F459" s="4" t="s">
        <v>3723</v>
      </c>
      <c r="G459" s="4" t="s">
        <v>3724</v>
      </c>
      <c r="H459" s="4" t="s">
        <v>26</v>
      </c>
      <c r="I459" s="4" t="s">
        <v>26</v>
      </c>
      <c r="J459" s="5"/>
      <c r="K459" s="5"/>
      <c r="L459" s="5"/>
      <c r="M459" s="4" t="s">
        <v>29</v>
      </c>
      <c r="N459" s="5"/>
    </row>
    <row r="460" spans="1:14" ht="14.4" thickBot="1" x14ac:dyDescent="0.35">
      <c r="A460" s="4" t="s">
        <v>19</v>
      </c>
      <c r="B460" s="4" t="s">
        <v>449</v>
      </c>
      <c r="C460" s="4" t="s">
        <v>450</v>
      </c>
      <c r="D460" s="4" t="s">
        <v>451</v>
      </c>
      <c r="E460" s="4" t="s">
        <v>23</v>
      </c>
      <c r="F460" s="4" t="s">
        <v>4509</v>
      </c>
      <c r="G460" s="4" t="s">
        <v>4510</v>
      </c>
      <c r="H460" s="4" t="s">
        <v>190</v>
      </c>
      <c r="I460" s="4" t="s">
        <v>26</v>
      </c>
      <c r="J460" s="4" t="s">
        <v>27</v>
      </c>
      <c r="K460" s="4" t="s">
        <v>28</v>
      </c>
      <c r="L460" s="4" t="s">
        <v>28</v>
      </c>
      <c r="M460" s="4" t="s">
        <v>29</v>
      </c>
      <c r="N460" s="4" t="s">
        <v>28</v>
      </c>
    </row>
    <row r="461" spans="1:14" ht="14.4" thickBot="1" x14ac:dyDescent="0.35">
      <c r="A461" s="4" t="s">
        <v>19</v>
      </c>
      <c r="B461" s="4" t="s">
        <v>449</v>
      </c>
      <c r="C461" s="4" t="s">
        <v>450</v>
      </c>
      <c r="D461" s="4" t="s">
        <v>451</v>
      </c>
      <c r="E461" s="4" t="s">
        <v>23</v>
      </c>
      <c r="F461" s="4" t="s">
        <v>5783</v>
      </c>
      <c r="G461" s="4" t="s">
        <v>5784</v>
      </c>
      <c r="H461" s="4" t="s">
        <v>37</v>
      </c>
      <c r="I461" s="4" t="s">
        <v>38</v>
      </c>
      <c r="J461" s="4" t="s">
        <v>28</v>
      </c>
      <c r="K461" s="4" t="s">
        <v>28</v>
      </c>
      <c r="L461" s="4" t="s">
        <v>27</v>
      </c>
      <c r="M461" s="4" t="s">
        <v>34</v>
      </c>
      <c r="N461" s="4" t="s">
        <v>28</v>
      </c>
    </row>
    <row r="462" spans="1:14" ht="14.4" thickBot="1" x14ac:dyDescent="0.35">
      <c r="A462" s="4" t="s">
        <v>19</v>
      </c>
      <c r="B462" s="4" t="s">
        <v>449</v>
      </c>
      <c r="C462" s="4" t="s">
        <v>450</v>
      </c>
      <c r="D462" s="4" t="s">
        <v>451</v>
      </c>
      <c r="E462" s="4" t="s">
        <v>23</v>
      </c>
      <c r="F462" s="4" t="s">
        <v>5863</v>
      </c>
      <c r="G462" s="4" t="s">
        <v>5864</v>
      </c>
      <c r="H462" s="4" t="s">
        <v>135</v>
      </c>
      <c r="I462" s="4" t="s">
        <v>37</v>
      </c>
      <c r="J462" s="4" t="s">
        <v>27</v>
      </c>
      <c r="K462" s="4" t="s">
        <v>28</v>
      </c>
      <c r="L462" s="4" t="s">
        <v>28</v>
      </c>
      <c r="M462" s="4" t="s">
        <v>29</v>
      </c>
      <c r="N462" s="4" t="s">
        <v>28</v>
      </c>
    </row>
    <row r="463" spans="1:14" ht="14.4" thickBot="1" x14ac:dyDescent="0.35">
      <c r="A463" s="4" t="s">
        <v>19</v>
      </c>
      <c r="B463" s="4" t="s">
        <v>449</v>
      </c>
      <c r="C463" s="4" t="s">
        <v>450</v>
      </c>
      <c r="D463" s="4" t="s">
        <v>451</v>
      </c>
      <c r="E463" s="4" t="s">
        <v>23</v>
      </c>
      <c r="F463" s="4" t="s">
        <v>5865</v>
      </c>
      <c r="G463" s="4" t="s">
        <v>5866</v>
      </c>
      <c r="H463" s="4" t="s">
        <v>26</v>
      </c>
      <c r="I463" s="4" t="s">
        <v>26</v>
      </c>
      <c r="J463" s="4" t="s">
        <v>27</v>
      </c>
      <c r="K463" s="4" t="s">
        <v>28</v>
      </c>
      <c r="L463" s="4" t="s">
        <v>28</v>
      </c>
      <c r="M463" s="4" t="s">
        <v>29</v>
      </c>
      <c r="N463" s="4" t="s">
        <v>28</v>
      </c>
    </row>
    <row r="464" spans="1:14" ht="14.4" thickBot="1" x14ac:dyDescent="0.35">
      <c r="A464" s="4" t="s">
        <v>19</v>
      </c>
      <c r="B464" s="4" t="s">
        <v>455</v>
      </c>
      <c r="C464" s="4" t="s">
        <v>1380</v>
      </c>
      <c r="D464" s="4" t="s">
        <v>1381</v>
      </c>
      <c r="E464" s="4" t="s">
        <v>48</v>
      </c>
      <c r="F464" s="4" t="s">
        <v>1382</v>
      </c>
      <c r="G464" s="4" t="s">
        <v>1383</v>
      </c>
      <c r="H464" s="4" t="s">
        <v>26</v>
      </c>
      <c r="I464" s="4" t="s">
        <v>69</v>
      </c>
      <c r="J464" s="4" t="s">
        <v>27</v>
      </c>
      <c r="K464" s="4" t="s">
        <v>28</v>
      </c>
      <c r="L464" s="4" t="s">
        <v>28</v>
      </c>
      <c r="M464" s="4" t="s">
        <v>34</v>
      </c>
      <c r="N464" s="4" t="s">
        <v>28</v>
      </c>
    </row>
    <row r="465" spans="1:14" ht="14.4" thickBot="1" x14ac:dyDescent="0.35">
      <c r="A465" s="4" t="s">
        <v>19</v>
      </c>
      <c r="B465" s="4" t="s">
        <v>455</v>
      </c>
      <c r="C465" s="4" t="s">
        <v>1380</v>
      </c>
      <c r="D465" s="4" t="s">
        <v>1381</v>
      </c>
      <c r="E465" s="4" t="s">
        <v>48</v>
      </c>
      <c r="F465" s="4" t="s">
        <v>1384</v>
      </c>
      <c r="G465" s="4" t="s">
        <v>1385</v>
      </c>
      <c r="H465" s="4" t="s">
        <v>122</v>
      </c>
      <c r="I465" s="4" t="s">
        <v>38</v>
      </c>
      <c r="J465" s="4" t="s">
        <v>28</v>
      </c>
      <c r="K465" s="4" t="s">
        <v>28</v>
      </c>
      <c r="L465" s="4" t="s">
        <v>27</v>
      </c>
      <c r="M465" s="4" t="s">
        <v>34</v>
      </c>
      <c r="N465" s="4" t="s">
        <v>28</v>
      </c>
    </row>
    <row r="466" spans="1:14" ht="14.4" thickBot="1" x14ac:dyDescent="0.35">
      <c r="A466" s="4" t="s">
        <v>19</v>
      </c>
      <c r="B466" s="4" t="s">
        <v>455</v>
      </c>
      <c r="C466" s="4" t="s">
        <v>2160</v>
      </c>
      <c r="D466" s="4" t="s">
        <v>2161</v>
      </c>
      <c r="E466" s="4" t="s">
        <v>48</v>
      </c>
      <c r="F466" s="4" t="s">
        <v>2162</v>
      </c>
      <c r="G466" s="4" t="s">
        <v>2163</v>
      </c>
      <c r="H466" s="4" t="s">
        <v>37</v>
      </c>
      <c r="I466" s="4" t="s">
        <v>38</v>
      </c>
      <c r="J466" s="4" t="s">
        <v>28</v>
      </c>
      <c r="K466" s="4" t="s">
        <v>28</v>
      </c>
      <c r="L466" s="4" t="s">
        <v>27</v>
      </c>
      <c r="M466" s="4" t="s">
        <v>34</v>
      </c>
      <c r="N466" s="4" t="s">
        <v>28</v>
      </c>
    </row>
    <row r="467" spans="1:14" ht="14.4" thickBot="1" x14ac:dyDescent="0.35">
      <c r="A467" s="4" t="s">
        <v>19</v>
      </c>
      <c r="B467" s="4" t="s">
        <v>455</v>
      </c>
      <c r="C467" s="4" t="s">
        <v>2160</v>
      </c>
      <c r="D467" s="4" t="s">
        <v>2161</v>
      </c>
      <c r="E467" s="4" t="s">
        <v>48</v>
      </c>
      <c r="F467" s="4" t="s">
        <v>2883</v>
      </c>
      <c r="G467" s="4" t="s">
        <v>2884</v>
      </c>
      <c r="H467" s="4" t="s">
        <v>69</v>
      </c>
      <c r="I467" s="4" t="s">
        <v>94</v>
      </c>
      <c r="J467" s="4" t="s">
        <v>28</v>
      </c>
      <c r="K467" s="4" t="s">
        <v>27</v>
      </c>
      <c r="L467" s="4" t="s">
        <v>28</v>
      </c>
      <c r="M467" s="4" t="s">
        <v>34</v>
      </c>
      <c r="N467" s="4" t="s">
        <v>28</v>
      </c>
    </row>
    <row r="468" spans="1:14" ht="14.4" thickBot="1" x14ac:dyDescent="0.35">
      <c r="A468" s="4" t="s">
        <v>19</v>
      </c>
      <c r="B468" s="4" t="s">
        <v>455</v>
      </c>
      <c r="C468" s="4" t="s">
        <v>2160</v>
      </c>
      <c r="D468" s="4" t="s">
        <v>2161</v>
      </c>
      <c r="E468" s="4" t="s">
        <v>48</v>
      </c>
      <c r="F468" s="4" t="s">
        <v>4415</v>
      </c>
      <c r="G468" s="4" t="s">
        <v>4416</v>
      </c>
      <c r="H468" s="4" t="s">
        <v>26</v>
      </c>
      <c r="I468" s="4" t="s">
        <v>33</v>
      </c>
      <c r="J468" s="4" t="s">
        <v>27</v>
      </c>
      <c r="K468" s="4" t="s">
        <v>28</v>
      </c>
      <c r="L468" s="4" t="s">
        <v>28</v>
      </c>
      <c r="M468" s="4" t="s">
        <v>34</v>
      </c>
      <c r="N468" s="4" t="s">
        <v>28</v>
      </c>
    </row>
    <row r="469" spans="1:14" ht="14.4" thickBot="1" x14ac:dyDescent="0.35">
      <c r="A469" s="4" t="s">
        <v>19</v>
      </c>
      <c r="B469" s="4" t="s">
        <v>455</v>
      </c>
      <c r="C469" s="4" t="s">
        <v>3809</v>
      </c>
      <c r="D469" s="4" t="s">
        <v>5303</v>
      </c>
      <c r="E469" s="4" t="s">
        <v>23</v>
      </c>
      <c r="F469" s="4" t="s">
        <v>5304</v>
      </c>
      <c r="G469" s="4" t="s">
        <v>5305</v>
      </c>
      <c r="H469" s="4" t="s">
        <v>69</v>
      </c>
      <c r="I469" s="4" t="s">
        <v>38</v>
      </c>
      <c r="J469" s="4" t="s">
        <v>28</v>
      </c>
      <c r="K469" s="4" t="s">
        <v>28</v>
      </c>
      <c r="L469" s="4" t="s">
        <v>27</v>
      </c>
      <c r="M469" s="4" t="s">
        <v>34</v>
      </c>
      <c r="N469" s="4" t="s">
        <v>28</v>
      </c>
    </row>
    <row r="470" spans="1:14" ht="14.4" thickBot="1" x14ac:dyDescent="0.35">
      <c r="A470" s="4" t="s">
        <v>19</v>
      </c>
      <c r="B470" s="4" t="s">
        <v>455</v>
      </c>
      <c r="C470" s="4" t="s">
        <v>3809</v>
      </c>
      <c r="D470" s="4" t="s">
        <v>5303</v>
      </c>
      <c r="E470" s="4" t="s">
        <v>23</v>
      </c>
      <c r="F470" s="4" t="s">
        <v>5306</v>
      </c>
      <c r="G470" s="4" t="s">
        <v>5307</v>
      </c>
      <c r="H470" s="4" t="s">
        <v>26</v>
      </c>
      <c r="I470" s="4" t="s">
        <v>33</v>
      </c>
      <c r="J470" s="4" t="s">
        <v>27</v>
      </c>
      <c r="K470" s="4" t="s">
        <v>28</v>
      </c>
      <c r="L470" s="4" t="s">
        <v>28</v>
      </c>
      <c r="M470" s="4" t="s">
        <v>34</v>
      </c>
      <c r="N470" s="4" t="s">
        <v>28</v>
      </c>
    </row>
    <row r="471" spans="1:14" ht="14.4" thickBot="1" x14ac:dyDescent="0.35">
      <c r="A471" s="4" t="s">
        <v>19</v>
      </c>
      <c r="B471" s="4" t="s">
        <v>455</v>
      </c>
      <c r="C471" s="4" t="s">
        <v>456</v>
      </c>
      <c r="D471" s="4" t="s">
        <v>457</v>
      </c>
      <c r="E471" s="4" t="s">
        <v>48</v>
      </c>
      <c r="F471" s="4" t="s">
        <v>458</v>
      </c>
      <c r="G471" s="4" t="s">
        <v>459</v>
      </c>
      <c r="H471" s="4" t="s">
        <v>122</v>
      </c>
      <c r="I471" s="4" t="s">
        <v>38</v>
      </c>
      <c r="J471" s="4" t="s">
        <v>28</v>
      </c>
      <c r="K471" s="4" t="s">
        <v>28</v>
      </c>
      <c r="L471" s="4" t="s">
        <v>27</v>
      </c>
      <c r="M471" s="4" t="s">
        <v>34</v>
      </c>
      <c r="N471" s="4" t="s">
        <v>28</v>
      </c>
    </row>
    <row r="472" spans="1:14" ht="14.4" thickBot="1" x14ac:dyDescent="0.35">
      <c r="A472" s="4" t="s">
        <v>19</v>
      </c>
      <c r="B472" s="4" t="s">
        <v>455</v>
      </c>
      <c r="C472" s="4" t="s">
        <v>456</v>
      </c>
      <c r="D472" s="4" t="s">
        <v>457</v>
      </c>
      <c r="E472" s="4" t="s">
        <v>48</v>
      </c>
      <c r="F472" s="4" t="s">
        <v>2164</v>
      </c>
      <c r="G472" s="4" t="s">
        <v>2165</v>
      </c>
      <c r="H472" s="4" t="s">
        <v>26</v>
      </c>
      <c r="I472" s="4" t="s">
        <v>69</v>
      </c>
      <c r="J472" s="4" t="s">
        <v>27</v>
      </c>
      <c r="K472" s="4" t="s">
        <v>28</v>
      </c>
      <c r="L472" s="4" t="s">
        <v>28</v>
      </c>
      <c r="M472" s="4" t="s">
        <v>34</v>
      </c>
      <c r="N472" s="4" t="s">
        <v>28</v>
      </c>
    </row>
    <row r="473" spans="1:14" ht="14.4" thickBot="1" x14ac:dyDescent="0.35">
      <c r="A473" s="4" t="s">
        <v>19</v>
      </c>
      <c r="B473" s="4" t="s">
        <v>455</v>
      </c>
      <c r="C473" s="4" t="s">
        <v>3639</v>
      </c>
      <c r="D473" s="4" t="s">
        <v>3640</v>
      </c>
      <c r="E473" s="4" t="s">
        <v>48</v>
      </c>
      <c r="F473" s="4" t="s">
        <v>3641</v>
      </c>
      <c r="G473" s="4" t="s">
        <v>3642</v>
      </c>
      <c r="H473" s="4" t="s">
        <v>190</v>
      </c>
      <c r="I473" s="4" t="s">
        <v>33</v>
      </c>
      <c r="J473" s="4" t="s">
        <v>27</v>
      </c>
      <c r="K473" s="4" t="s">
        <v>28</v>
      </c>
      <c r="L473" s="4" t="s">
        <v>28</v>
      </c>
      <c r="M473" s="4" t="s">
        <v>34</v>
      </c>
      <c r="N473" s="4" t="s">
        <v>28</v>
      </c>
    </row>
    <row r="474" spans="1:14" ht="14.4" thickBot="1" x14ac:dyDescent="0.35">
      <c r="A474" s="4" t="s">
        <v>19</v>
      </c>
      <c r="B474" s="4" t="s">
        <v>455</v>
      </c>
      <c r="C474" s="4" t="s">
        <v>3639</v>
      </c>
      <c r="D474" s="4" t="s">
        <v>3640</v>
      </c>
      <c r="E474" s="4" t="s">
        <v>48</v>
      </c>
      <c r="F474" s="4" t="s">
        <v>5785</v>
      </c>
      <c r="G474" s="4" t="s">
        <v>5786</v>
      </c>
      <c r="H474" s="4" t="s">
        <v>69</v>
      </c>
      <c r="I474" s="4" t="s">
        <v>38</v>
      </c>
      <c r="J474" s="4" t="s">
        <v>28</v>
      </c>
      <c r="K474" s="4" t="s">
        <v>28</v>
      </c>
      <c r="L474" s="4" t="s">
        <v>27</v>
      </c>
      <c r="M474" s="4" t="s">
        <v>34</v>
      </c>
      <c r="N474" s="4" t="s">
        <v>28</v>
      </c>
    </row>
    <row r="475" spans="1:14" ht="14.4" thickBot="1" x14ac:dyDescent="0.35">
      <c r="A475" s="4" t="s">
        <v>19</v>
      </c>
      <c r="B475" s="4" t="s">
        <v>734</v>
      </c>
      <c r="C475" s="4" t="s">
        <v>735</v>
      </c>
      <c r="D475" s="4" t="s">
        <v>736</v>
      </c>
      <c r="E475" s="4" t="s">
        <v>23</v>
      </c>
      <c r="F475" s="4" t="s">
        <v>737</v>
      </c>
      <c r="G475" s="4" t="s">
        <v>738</v>
      </c>
      <c r="H475" s="4" t="s">
        <v>69</v>
      </c>
      <c r="I475" s="4" t="s">
        <v>38</v>
      </c>
      <c r="J475" s="4" t="s">
        <v>28</v>
      </c>
      <c r="K475" s="4" t="s">
        <v>28</v>
      </c>
      <c r="L475" s="4" t="s">
        <v>27</v>
      </c>
      <c r="M475" s="4" t="s">
        <v>34</v>
      </c>
      <c r="N475" s="4" t="s">
        <v>28</v>
      </c>
    </row>
    <row r="476" spans="1:14" ht="14.4" thickBot="1" x14ac:dyDescent="0.35">
      <c r="A476" s="4" t="s">
        <v>19</v>
      </c>
      <c r="B476" s="4" t="s">
        <v>734</v>
      </c>
      <c r="C476" s="4" t="s">
        <v>735</v>
      </c>
      <c r="D476" s="4" t="s">
        <v>736</v>
      </c>
      <c r="E476" s="4" t="s">
        <v>23</v>
      </c>
      <c r="F476" s="4" t="s">
        <v>739</v>
      </c>
      <c r="G476" s="4" t="s">
        <v>740</v>
      </c>
      <c r="H476" s="4" t="s">
        <v>69</v>
      </c>
      <c r="I476" s="4" t="s">
        <v>38</v>
      </c>
      <c r="J476" s="4" t="s">
        <v>28</v>
      </c>
      <c r="K476" s="4" t="s">
        <v>28</v>
      </c>
      <c r="L476" s="4" t="s">
        <v>27</v>
      </c>
      <c r="M476" s="4" t="s">
        <v>34</v>
      </c>
      <c r="N476" s="4" t="s">
        <v>28</v>
      </c>
    </row>
    <row r="477" spans="1:14" ht="14.4" thickBot="1" x14ac:dyDescent="0.35">
      <c r="A477" s="4" t="s">
        <v>19</v>
      </c>
      <c r="B477" s="4" t="s">
        <v>734</v>
      </c>
      <c r="C477" s="4" t="s">
        <v>735</v>
      </c>
      <c r="D477" s="4" t="s">
        <v>736</v>
      </c>
      <c r="E477" s="4" t="s">
        <v>23</v>
      </c>
      <c r="F477" s="4" t="s">
        <v>741</v>
      </c>
      <c r="G477" s="4" t="s">
        <v>742</v>
      </c>
      <c r="H477" s="4" t="s">
        <v>37</v>
      </c>
      <c r="I477" s="4" t="s">
        <v>38</v>
      </c>
      <c r="J477" s="4" t="s">
        <v>28</v>
      </c>
      <c r="K477" s="4" t="s">
        <v>28</v>
      </c>
      <c r="L477" s="4" t="s">
        <v>27</v>
      </c>
      <c r="M477" s="4" t="s">
        <v>34</v>
      </c>
      <c r="N477" s="4" t="s">
        <v>28</v>
      </c>
    </row>
    <row r="478" spans="1:14" ht="14.4" thickBot="1" x14ac:dyDescent="0.35">
      <c r="A478" s="4" t="s">
        <v>19</v>
      </c>
      <c r="B478" s="4" t="s">
        <v>734</v>
      </c>
      <c r="C478" s="4" t="s">
        <v>735</v>
      </c>
      <c r="D478" s="4" t="s">
        <v>736</v>
      </c>
      <c r="E478" s="4" t="s">
        <v>23</v>
      </c>
      <c r="F478" s="4" t="s">
        <v>1638</v>
      </c>
      <c r="G478" s="4" t="s">
        <v>1639</v>
      </c>
      <c r="H478" s="4" t="s">
        <v>122</v>
      </c>
      <c r="I478" s="4" t="s">
        <v>94</v>
      </c>
      <c r="J478" s="4" t="s">
        <v>28</v>
      </c>
      <c r="K478" s="4" t="s">
        <v>27</v>
      </c>
      <c r="L478" s="4" t="s">
        <v>28</v>
      </c>
      <c r="M478" s="4" t="s">
        <v>34</v>
      </c>
      <c r="N478" s="4" t="s">
        <v>28</v>
      </c>
    </row>
    <row r="479" spans="1:14" ht="14.4" thickBot="1" x14ac:dyDescent="0.35">
      <c r="A479" s="4" t="s">
        <v>19</v>
      </c>
      <c r="B479" s="4" t="s">
        <v>734</v>
      </c>
      <c r="C479" s="4" t="s">
        <v>735</v>
      </c>
      <c r="D479" s="4" t="s">
        <v>736</v>
      </c>
      <c r="E479" s="4" t="s">
        <v>23</v>
      </c>
      <c r="F479" s="4" t="s">
        <v>2337</v>
      </c>
      <c r="G479" s="4" t="s">
        <v>2338</v>
      </c>
      <c r="H479" s="4" t="s">
        <v>135</v>
      </c>
      <c r="I479" s="4" t="s">
        <v>69</v>
      </c>
      <c r="J479" s="4" t="s">
        <v>27</v>
      </c>
      <c r="K479" s="4" t="s">
        <v>28</v>
      </c>
      <c r="L479" s="4" t="s">
        <v>28</v>
      </c>
      <c r="M479" s="4" t="s">
        <v>34</v>
      </c>
      <c r="N479" s="4" t="s">
        <v>28</v>
      </c>
    </row>
    <row r="480" spans="1:14" ht="14.4" thickBot="1" x14ac:dyDescent="0.35">
      <c r="A480" s="4" t="s">
        <v>19</v>
      </c>
      <c r="B480" s="4" t="s">
        <v>734</v>
      </c>
      <c r="C480" s="4" t="s">
        <v>735</v>
      </c>
      <c r="D480" s="4" t="s">
        <v>736</v>
      </c>
      <c r="E480" s="4" t="s">
        <v>23</v>
      </c>
      <c r="F480" s="4" t="s">
        <v>3230</v>
      </c>
      <c r="G480" s="4" t="s">
        <v>3231</v>
      </c>
      <c r="H480" s="4" t="s">
        <v>26</v>
      </c>
      <c r="I480" s="4" t="s">
        <v>26</v>
      </c>
      <c r="J480" s="4" t="s">
        <v>27</v>
      </c>
      <c r="K480" s="4" t="s">
        <v>28</v>
      </c>
      <c r="L480" s="4" t="s">
        <v>28</v>
      </c>
      <c r="M480" s="4" t="s">
        <v>130</v>
      </c>
      <c r="N480" s="4" t="s">
        <v>28</v>
      </c>
    </row>
    <row r="481" spans="1:14" ht="14.4" thickBot="1" x14ac:dyDescent="0.35">
      <c r="A481" s="4" t="s">
        <v>19</v>
      </c>
      <c r="B481" s="4" t="s">
        <v>734</v>
      </c>
      <c r="C481" s="4" t="s">
        <v>735</v>
      </c>
      <c r="D481" s="4" t="s">
        <v>736</v>
      </c>
      <c r="E481" s="4" t="s">
        <v>23</v>
      </c>
      <c r="F481" s="4" t="s">
        <v>4619</v>
      </c>
      <c r="G481" s="4" t="s">
        <v>4620</v>
      </c>
      <c r="H481" s="4" t="s">
        <v>26</v>
      </c>
      <c r="I481" s="4" t="s">
        <v>26</v>
      </c>
      <c r="J481" s="4" t="s">
        <v>27</v>
      </c>
      <c r="K481" s="4" t="s">
        <v>28</v>
      </c>
      <c r="L481" s="4" t="s">
        <v>28</v>
      </c>
      <c r="M481" s="4" t="s">
        <v>34</v>
      </c>
      <c r="N481" s="4" t="s">
        <v>28</v>
      </c>
    </row>
    <row r="482" spans="1:14" ht="14.4" thickBot="1" x14ac:dyDescent="0.35">
      <c r="A482" s="4" t="s">
        <v>19</v>
      </c>
      <c r="B482" s="4" t="s">
        <v>734</v>
      </c>
      <c r="C482" s="4" t="s">
        <v>735</v>
      </c>
      <c r="D482" s="4" t="s">
        <v>736</v>
      </c>
      <c r="E482" s="4" t="s">
        <v>23</v>
      </c>
      <c r="F482" s="4" t="s">
        <v>5440</v>
      </c>
      <c r="G482" s="4" t="s">
        <v>5441</v>
      </c>
      <c r="H482" s="4" t="s">
        <v>26</v>
      </c>
      <c r="I482" s="4" t="s">
        <v>26</v>
      </c>
      <c r="J482" s="4" t="s">
        <v>27</v>
      </c>
      <c r="K482" s="4" t="s">
        <v>28</v>
      </c>
      <c r="L482" s="4" t="s">
        <v>28</v>
      </c>
      <c r="M482" s="4" t="s">
        <v>29</v>
      </c>
      <c r="N482" s="4" t="s">
        <v>28</v>
      </c>
    </row>
    <row r="483" spans="1:14" ht="14.4" thickBot="1" x14ac:dyDescent="0.35">
      <c r="A483" s="4" t="s">
        <v>19</v>
      </c>
      <c r="B483" s="4" t="s">
        <v>734</v>
      </c>
      <c r="C483" s="4" t="s">
        <v>1640</v>
      </c>
      <c r="D483" s="4" t="s">
        <v>1641</v>
      </c>
      <c r="E483" s="4" t="s">
        <v>48</v>
      </c>
      <c r="F483" s="4" t="s">
        <v>1642</v>
      </c>
      <c r="G483" s="4" t="s">
        <v>1643</v>
      </c>
      <c r="H483" s="4" t="s">
        <v>122</v>
      </c>
      <c r="I483" s="4" t="s">
        <v>38</v>
      </c>
      <c r="J483" s="4" t="s">
        <v>28</v>
      </c>
      <c r="K483" s="4" t="s">
        <v>28</v>
      </c>
      <c r="L483" s="4" t="s">
        <v>27</v>
      </c>
      <c r="M483" s="4" t="s">
        <v>34</v>
      </c>
      <c r="N483" s="4" t="s">
        <v>28</v>
      </c>
    </row>
    <row r="484" spans="1:14" ht="14.4" thickBot="1" x14ac:dyDescent="0.35">
      <c r="A484" s="4" t="s">
        <v>19</v>
      </c>
      <c r="B484" s="4" t="s">
        <v>734</v>
      </c>
      <c r="C484" s="4" t="s">
        <v>1640</v>
      </c>
      <c r="D484" s="4" t="s">
        <v>1641</v>
      </c>
      <c r="E484" s="4" t="s">
        <v>48</v>
      </c>
      <c r="F484" s="4" t="s">
        <v>1644</v>
      </c>
      <c r="G484" s="4" t="s">
        <v>1645</v>
      </c>
      <c r="H484" s="4" t="s">
        <v>26</v>
      </c>
      <c r="I484" s="4" t="s">
        <v>69</v>
      </c>
      <c r="J484" s="4" t="s">
        <v>27</v>
      </c>
      <c r="K484" s="4" t="s">
        <v>28</v>
      </c>
      <c r="L484" s="4" t="s">
        <v>28</v>
      </c>
      <c r="M484" s="4" t="s">
        <v>34</v>
      </c>
      <c r="N484" s="4" t="s">
        <v>28</v>
      </c>
    </row>
    <row r="485" spans="1:14" ht="14.4" thickBot="1" x14ac:dyDescent="0.35">
      <c r="A485" s="4" t="s">
        <v>19</v>
      </c>
      <c r="B485" s="4" t="s">
        <v>370</v>
      </c>
      <c r="C485" s="4" t="s">
        <v>371</v>
      </c>
      <c r="D485" s="4" t="s">
        <v>372</v>
      </c>
      <c r="E485" s="4" t="s">
        <v>254</v>
      </c>
      <c r="F485" s="4" t="s">
        <v>373</v>
      </c>
      <c r="G485" s="4" t="s">
        <v>374</v>
      </c>
      <c r="H485" s="4" t="s">
        <v>69</v>
      </c>
      <c r="I485" s="4" t="s">
        <v>38</v>
      </c>
      <c r="J485" s="4" t="s">
        <v>28</v>
      </c>
      <c r="K485" s="4" t="s">
        <v>28</v>
      </c>
      <c r="L485" s="4" t="s">
        <v>27</v>
      </c>
      <c r="M485" s="4" t="s">
        <v>375</v>
      </c>
      <c r="N485" s="4" t="s">
        <v>28</v>
      </c>
    </row>
    <row r="486" spans="1:14" ht="14.4" thickBot="1" x14ac:dyDescent="0.35">
      <c r="A486" s="4" t="s">
        <v>19</v>
      </c>
      <c r="B486" s="4" t="s">
        <v>370</v>
      </c>
      <c r="C486" s="4" t="s">
        <v>371</v>
      </c>
      <c r="D486" s="4" t="s">
        <v>372</v>
      </c>
      <c r="E486" s="4" t="s">
        <v>254</v>
      </c>
      <c r="F486" s="4" t="s">
        <v>376</v>
      </c>
      <c r="G486" s="4" t="s">
        <v>377</v>
      </c>
      <c r="H486" s="4" t="s">
        <v>26</v>
      </c>
      <c r="I486" s="4" t="s">
        <v>32</v>
      </c>
      <c r="J486" s="4" t="s">
        <v>27</v>
      </c>
      <c r="K486" s="4" t="s">
        <v>28</v>
      </c>
      <c r="L486" s="4" t="s">
        <v>28</v>
      </c>
      <c r="M486" s="4" t="s">
        <v>29</v>
      </c>
      <c r="N486" s="4" t="s">
        <v>28</v>
      </c>
    </row>
    <row r="487" spans="1:14" ht="14.4" thickBot="1" x14ac:dyDescent="0.35">
      <c r="A487" s="4" t="s">
        <v>19</v>
      </c>
      <c r="B487" s="4" t="s">
        <v>370</v>
      </c>
      <c r="C487" s="4" t="s">
        <v>371</v>
      </c>
      <c r="D487" s="4" t="s">
        <v>372</v>
      </c>
      <c r="E487" s="4" t="s">
        <v>254</v>
      </c>
      <c r="F487" s="4" t="s">
        <v>378</v>
      </c>
      <c r="G487" s="4" t="s">
        <v>379</v>
      </c>
      <c r="H487" s="4" t="s">
        <v>26</v>
      </c>
      <c r="I487" s="4" t="s">
        <v>26</v>
      </c>
      <c r="J487" s="4" t="s">
        <v>27</v>
      </c>
      <c r="K487" s="4" t="s">
        <v>28</v>
      </c>
      <c r="L487" s="4" t="s">
        <v>28</v>
      </c>
      <c r="M487" s="4" t="s">
        <v>130</v>
      </c>
      <c r="N487" s="4" t="s">
        <v>28</v>
      </c>
    </row>
    <row r="488" spans="1:14" ht="14.4" thickBot="1" x14ac:dyDescent="0.35">
      <c r="A488" s="4" t="s">
        <v>19</v>
      </c>
      <c r="B488" s="4" t="s">
        <v>370</v>
      </c>
      <c r="C488" s="4" t="s">
        <v>371</v>
      </c>
      <c r="D488" s="4" t="s">
        <v>372</v>
      </c>
      <c r="E488" s="4" t="s">
        <v>254</v>
      </c>
      <c r="F488" s="4" t="s">
        <v>380</v>
      </c>
      <c r="G488" s="4" t="s">
        <v>381</v>
      </c>
      <c r="H488" s="4" t="s">
        <v>26</v>
      </c>
      <c r="I488" s="4" t="s">
        <v>26</v>
      </c>
      <c r="J488" s="4" t="s">
        <v>27</v>
      </c>
      <c r="K488" s="4" t="s">
        <v>28</v>
      </c>
      <c r="L488" s="4" t="s">
        <v>28</v>
      </c>
      <c r="M488" s="4" t="s">
        <v>34</v>
      </c>
      <c r="N488" s="4" t="s">
        <v>28</v>
      </c>
    </row>
    <row r="489" spans="1:14" ht="14.4" thickBot="1" x14ac:dyDescent="0.35">
      <c r="A489" s="4" t="s">
        <v>19</v>
      </c>
      <c r="B489" s="4" t="s">
        <v>370</v>
      </c>
      <c r="C489" s="4" t="s">
        <v>371</v>
      </c>
      <c r="D489" s="4" t="s">
        <v>372</v>
      </c>
      <c r="E489" s="4" t="s">
        <v>254</v>
      </c>
      <c r="F489" s="4" t="s">
        <v>382</v>
      </c>
      <c r="G489" s="4" t="s">
        <v>383</v>
      </c>
      <c r="H489" s="4" t="s">
        <v>26</v>
      </c>
      <c r="I489" s="4" t="s">
        <v>33</v>
      </c>
      <c r="J489" s="4" t="s">
        <v>27</v>
      </c>
      <c r="K489" s="4" t="s">
        <v>28</v>
      </c>
      <c r="L489" s="4" t="s">
        <v>28</v>
      </c>
      <c r="M489" s="4" t="s">
        <v>34</v>
      </c>
      <c r="N489" s="4" t="s">
        <v>28</v>
      </c>
    </row>
    <row r="490" spans="1:14" ht="14.4" thickBot="1" x14ac:dyDescent="0.35">
      <c r="A490" s="4" t="s">
        <v>19</v>
      </c>
      <c r="B490" s="4" t="s">
        <v>370</v>
      </c>
      <c r="C490" s="4" t="s">
        <v>371</v>
      </c>
      <c r="D490" s="4" t="s">
        <v>372</v>
      </c>
      <c r="E490" s="4" t="s">
        <v>254</v>
      </c>
      <c r="F490" s="4" t="s">
        <v>384</v>
      </c>
      <c r="G490" s="4" t="s">
        <v>385</v>
      </c>
      <c r="H490" s="4" t="s">
        <v>26</v>
      </c>
      <c r="I490" s="4" t="s">
        <v>26</v>
      </c>
      <c r="J490" s="5"/>
      <c r="K490" s="5"/>
      <c r="L490" s="5"/>
      <c r="M490" s="4" t="s">
        <v>130</v>
      </c>
      <c r="N490" s="5"/>
    </row>
    <row r="491" spans="1:14" ht="14.4" thickBot="1" x14ac:dyDescent="0.35">
      <c r="A491" s="4" t="s">
        <v>19</v>
      </c>
      <c r="B491" s="4" t="s">
        <v>370</v>
      </c>
      <c r="C491" s="4" t="s">
        <v>371</v>
      </c>
      <c r="D491" s="4" t="s">
        <v>372</v>
      </c>
      <c r="E491" s="4" t="s">
        <v>254</v>
      </c>
      <c r="F491" s="4" t="s">
        <v>386</v>
      </c>
      <c r="G491" s="4" t="s">
        <v>387</v>
      </c>
      <c r="H491" s="4" t="s">
        <v>26</v>
      </c>
      <c r="I491" s="4" t="s">
        <v>26</v>
      </c>
      <c r="J491" s="5"/>
      <c r="K491" s="5"/>
      <c r="L491" s="5"/>
      <c r="M491" s="4" t="s">
        <v>29</v>
      </c>
      <c r="N491" s="5"/>
    </row>
    <row r="492" spans="1:14" ht="14.4" thickBot="1" x14ac:dyDescent="0.35">
      <c r="A492" s="4" t="s">
        <v>19</v>
      </c>
      <c r="B492" s="4" t="s">
        <v>370</v>
      </c>
      <c r="C492" s="4" t="s">
        <v>371</v>
      </c>
      <c r="D492" s="4" t="s">
        <v>372</v>
      </c>
      <c r="E492" s="4" t="s">
        <v>254</v>
      </c>
      <c r="F492" s="4" t="s">
        <v>388</v>
      </c>
      <c r="G492" s="4" t="s">
        <v>389</v>
      </c>
      <c r="H492" s="4" t="s">
        <v>26</v>
      </c>
      <c r="I492" s="4" t="s">
        <v>94</v>
      </c>
      <c r="J492" s="4" t="s">
        <v>27</v>
      </c>
      <c r="K492" s="4" t="s">
        <v>28</v>
      </c>
      <c r="L492" s="4" t="s">
        <v>28</v>
      </c>
      <c r="M492" s="4" t="s">
        <v>29</v>
      </c>
      <c r="N492" s="4" t="s">
        <v>28</v>
      </c>
    </row>
    <row r="493" spans="1:14" ht="14.4" thickBot="1" x14ac:dyDescent="0.35">
      <c r="A493" s="4" t="s">
        <v>19</v>
      </c>
      <c r="B493" s="4" t="s">
        <v>370</v>
      </c>
      <c r="C493" s="4" t="s">
        <v>371</v>
      </c>
      <c r="D493" s="4" t="s">
        <v>372</v>
      </c>
      <c r="E493" s="4" t="s">
        <v>254</v>
      </c>
      <c r="F493" s="4" t="s">
        <v>390</v>
      </c>
      <c r="G493" s="4" t="s">
        <v>391</v>
      </c>
      <c r="H493" s="4" t="s">
        <v>37</v>
      </c>
      <c r="I493" s="4" t="s">
        <v>38</v>
      </c>
      <c r="J493" s="4" t="s">
        <v>28</v>
      </c>
      <c r="K493" s="4" t="s">
        <v>28</v>
      </c>
      <c r="L493" s="4" t="s">
        <v>27</v>
      </c>
      <c r="M493" s="4" t="s">
        <v>34</v>
      </c>
      <c r="N493" s="4" t="s">
        <v>28</v>
      </c>
    </row>
    <row r="494" spans="1:14" ht="14.4" thickBot="1" x14ac:dyDescent="0.35">
      <c r="A494" s="4" t="s">
        <v>19</v>
      </c>
      <c r="B494" s="4" t="s">
        <v>370</v>
      </c>
      <c r="C494" s="4" t="s">
        <v>371</v>
      </c>
      <c r="D494" s="4" t="s">
        <v>372</v>
      </c>
      <c r="E494" s="4" t="s">
        <v>254</v>
      </c>
      <c r="F494" s="4" t="s">
        <v>392</v>
      </c>
      <c r="G494" s="4" t="s">
        <v>393</v>
      </c>
      <c r="H494" s="4" t="s">
        <v>69</v>
      </c>
      <c r="I494" s="4" t="s">
        <v>38</v>
      </c>
      <c r="J494" s="4" t="s">
        <v>28</v>
      </c>
      <c r="K494" s="4" t="s">
        <v>28</v>
      </c>
      <c r="L494" s="4" t="s">
        <v>27</v>
      </c>
      <c r="M494" s="4" t="s">
        <v>34</v>
      </c>
      <c r="N494" s="4" t="s">
        <v>28</v>
      </c>
    </row>
    <row r="495" spans="1:14" ht="14.4" thickBot="1" x14ac:dyDescent="0.35">
      <c r="A495" s="4" t="s">
        <v>19</v>
      </c>
      <c r="B495" s="4" t="s">
        <v>370</v>
      </c>
      <c r="C495" s="4" t="s">
        <v>371</v>
      </c>
      <c r="D495" s="4" t="s">
        <v>372</v>
      </c>
      <c r="E495" s="4" t="s">
        <v>254</v>
      </c>
      <c r="F495" s="4" t="s">
        <v>394</v>
      </c>
      <c r="G495" s="4" t="s">
        <v>395</v>
      </c>
      <c r="H495" s="4" t="s">
        <v>37</v>
      </c>
      <c r="I495" s="4" t="s">
        <v>38</v>
      </c>
      <c r="J495" s="4" t="s">
        <v>28</v>
      </c>
      <c r="K495" s="4" t="s">
        <v>28</v>
      </c>
      <c r="L495" s="4" t="s">
        <v>27</v>
      </c>
      <c r="M495" s="4" t="s">
        <v>34</v>
      </c>
      <c r="N495" s="4" t="s">
        <v>28</v>
      </c>
    </row>
    <row r="496" spans="1:14" ht="14.4" thickBot="1" x14ac:dyDescent="0.35">
      <c r="A496" s="4" t="s">
        <v>19</v>
      </c>
      <c r="B496" s="4" t="s">
        <v>370</v>
      </c>
      <c r="C496" s="4" t="s">
        <v>371</v>
      </c>
      <c r="D496" s="4" t="s">
        <v>372</v>
      </c>
      <c r="E496" s="4" t="s">
        <v>254</v>
      </c>
      <c r="F496" s="4" t="s">
        <v>396</v>
      </c>
      <c r="G496" s="4" t="s">
        <v>397</v>
      </c>
      <c r="H496" s="4" t="s">
        <v>26</v>
      </c>
      <c r="I496" s="4" t="s">
        <v>33</v>
      </c>
      <c r="J496" s="4" t="s">
        <v>27</v>
      </c>
      <c r="K496" s="4" t="s">
        <v>28</v>
      </c>
      <c r="L496" s="4" t="s">
        <v>28</v>
      </c>
      <c r="M496" s="4" t="s">
        <v>34</v>
      </c>
      <c r="N496" s="4" t="s">
        <v>28</v>
      </c>
    </row>
    <row r="497" spans="1:14" ht="14.4" thickBot="1" x14ac:dyDescent="0.35">
      <c r="A497" s="4" t="s">
        <v>19</v>
      </c>
      <c r="B497" s="4" t="s">
        <v>370</v>
      </c>
      <c r="C497" s="4" t="s">
        <v>371</v>
      </c>
      <c r="D497" s="4" t="s">
        <v>372</v>
      </c>
      <c r="E497" s="4" t="s">
        <v>254</v>
      </c>
      <c r="F497" s="4" t="s">
        <v>1291</v>
      </c>
      <c r="G497" s="4" t="s">
        <v>1292</v>
      </c>
      <c r="H497" s="4" t="s">
        <v>26</v>
      </c>
      <c r="I497" s="4" t="s">
        <v>135</v>
      </c>
      <c r="J497" s="4" t="s">
        <v>27</v>
      </c>
      <c r="K497" s="4" t="s">
        <v>28</v>
      </c>
      <c r="L497" s="4" t="s">
        <v>28</v>
      </c>
      <c r="M497" s="4" t="s">
        <v>29</v>
      </c>
      <c r="N497" s="4" t="s">
        <v>28</v>
      </c>
    </row>
    <row r="498" spans="1:14" ht="14.4" thickBot="1" x14ac:dyDescent="0.35">
      <c r="A498" s="4" t="s">
        <v>19</v>
      </c>
      <c r="B498" s="4" t="s">
        <v>370</v>
      </c>
      <c r="C498" s="4" t="s">
        <v>371</v>
      </c>
      <c r="D498" s="4" t="s">
        <v>372</v>
      </c>
      <c r="E498" s="4" t="s">
        <v>254</v>
      </c>
      <c r="F498" s="4" t="s">
        <v>1195</v>
      </c>
      <c r="G498" s="4" t="s">
        <v>1293</v>
      </c>
      <c r="H498" s="4" t="s">
        <v>26</v>
      </c>
      <c r="I498" s="4" t="s">
        <v>69</v>
      </c>
      <c r="J498" s="4" t="s">
        <v>27</v>
      </c>
      <c r="K498" s="4" t="s">
        <v>28</v>
      </c>
      <c r="L498" s="4" t="s">
        <v>28</v>
      </c>
      <c r="M498" s="4" t="s">
        <v>29</v>
      </c>
      <c r="N498" s="4" t="s">
        <v>28</v>
      </c>
    </row>
    <row r="499" spans="1:14" ht="14.4" thickBot="1" x14ac:dyDescent="0.35">
      <c r="A499" s="4" t="s">
        <v>19</v>
      </c>
      <c r="B499" s="4" t="s">
        <v>370</v>
      </c>
      <c r="C499" s="4" t="s">
        <v>371</v>
      </c>
      <c r="D499" s="4" t="s">
        <v>372</v>
      </c>
      <c r="E499" s="4" t="s">
        <v>254</v>
      </c>
      <c r="F499" s="4" t="s">
        <v>1294</v>
      </c>
      <c r="G499" s="4" t="s">
        <v>1295</v>
      </c>
      <c r="H499" s="4" t="s">
        <v>26</v>
      </c>
      <c r="I499" s="4" t="s">
        <v>94</v>
      </c>
      <c r="J499" s="4" t="s">
        <v>27</v>
      </c>
      <c r="K499" s="4" t="s">
        <v>28</v>
      </c>
      <c r="L499" s="4" t="s">
        <v>28</v>
      </c>
      <c r="M499" s="4" t="s">
        <v>34</v>
      </c>
      <c r="N499" s="4" t="s">
        <v>28</v>
      </c>
    </row>
    <row r="500" spans="1:14" ht="14.4" thickBot="1" x14ac:dyDescent="0.35">
      <c r="A500" s="4" t="s">
        <v>19</v>
      </c>
      <c r="B500" s="4" t="s">
        <v>370</v>
      </c>
      <c r="C500" s="4" t="s">
        <v>371</v>
      </c>
      <c r="D500" s="4" t="s">
        <v>372</v>
      </c>
      <c r="E500" s="4" t="s">
        <v>254</v>
      </c>
      <c r="F500" s="4" t="s">
        <v>1296</v>
      </c>
      <c r="G500" s="4" t="s">
        <v>1297</v>
      </c>
      <c r="H500" s="4" t="s">
        <v>26</v>
      </c>
      <c r="I500" s="4" t="s">
        <v>26</v>
      </c>
      <c r="J500" s="4" t="s">
        <v>27</v>
      </c>
      <c r="K500" s="4" t="s">
        <v>28</v>
      </c>
      <c r="L500" s="4" t="s">
        <v>28</v>
      </c>
      <c r="M500" s="4" t="s">
        <v>29</v>
      </c>
      <c r="N500" s="4" t="s">
        <v>28</v>
      </c>
    </row>
    <row r="501" spans="1:14" ht="14.4" thickBot="1" x14ac:dyDescent="0.35">
      <c r="A501" s="4" t="s">
        <v>19</v>
      </c>
      <c r="B501" s="4" t="s">
        <v>370</v>
      </c>
      <c r="C501" s="4" t="s">
        <v>371</v>
      </c>
      <c r="D501" s="4" t="s">
        <v>372</v>
      </c>
      <c r="E501" s="4" t="s">
        <v>254</v>
      </c>
      <c r="F501" s="4" t="s">
        <v>1298</v>
      </c>
      <c r="G501" s="4" t="s">
        <v>1299</v>
      </c>
      <c r="H501" s="4" t="s">
        <v>26</v>
      </c>
      <c r="I501" s="4" t="s">
        <v>33</v>
      </c>
      <c r="J501" s="4" t="s">
        <v>27</v>
      </c>
      <c r="K501" s="4" t="s">
        <v>28</v>
      </c>
      <c r="L501" s="4" t="s">
        <v>28</v>
      </c>
      <c r="M501" s="4" t="s">
        <v>34</v>
      </c>
      <c r="N501" s="4" t="s">
        <v>28</v>
      </c>
    </row>
    <row r="502" spans="1:14" ht="14.4" thickBot="1" x14ac:dyDescent="0.35">
      <c r="A502" s="4" t="s">
        <v>19</v>
      </c>
      <c r="B502" s="4" t="s">
        <v>370</v>
      </c>
      <c r="C502" s="4" t="s">
        <v>371</v>
      </c>
      <c r="D502" s="4" t="s">
        <v>372</v>
      </c>
      <c r="E502" s="4" t="s">
        <v>254</v>
      </c>
      <c r="F502" s="4" t="s">
        <v>1300</v>
      </c>
      <c r="G502" s="4" t="s">
        <v>1301</v>
      </c>
      <c r="H502" s="4" t="s">
        <v>26</v>
      </c>
      <c r="I502" s="4" t="s">
        <v>94</v>
      </c>
      <c r="J502" s="4" t="s">
        <v>27</v>
      </c>
      <c r="K502" s="4" t="s">
        <v>28</v>
      </c>
      <c r="L502" s="4" t="s">
        <v>28</v>
      </c>
      <c r="M502" s="4" t="s">
        <v>34</v>
      </c>
      <c r="N502" s="4" t="s">
        <v>27</v>
      </c>
    </row>
    <row r="503" spans="1:14" ht="14.4" thickBot="1" x14ac:dyDescent="0.35">
      <c r="A503" s="4" t="s">
        <v>19</v>
      </c>
      <c r="B503" s="4" t="s">
        <v>370</v>
      </c>
      <c r="C503" s="4" t="s">
        <v>371</v>
      </c>
      <c r="D503" s="4" t="s">
        <v>372</v>
      </c>
      <c r="E503" s="4" t="s">
        <v>254</v>
      </c>
      <c r="F503" s="4" t="s">
        <v>1302</v>
      </c>
      <c r="G503" s="4" t="s">
        <v>1303</v>
      </c>
      <c r="H503" s="4" t="s">
        <v>26</v>
      </c>
      <c r="I503" s="4" t="s">
        <v>135</v>
      </c>
      <c r="J503" s="5"/>
      <c r="K503" s="5"/>
      <c r="L503" s="5"/>
      <c r="M503" s="4" t="s">
        <v>29</v>
      </c>
      <c r="N503" s="5"/>
    </row>
    <row r="504" spans="1:14" ht="14.4" thickBot="1" x14ac:dyDescent="0.35">
      <c r="A504" s="4" t="s">
        <v>19</v>
      </c>
      <c r="B504" s="4" t="s">
        <v>370</v>
      </c>
      <c r="C504" s="4" t="s">
        <v>371</v>
      </c>
      <c r="D504" s="4" t="s">
        <v>372</v>
      </c>
      <c r="E504" s="4" t="s">
        <v>254</v>
      </c>
      <c r="F504" s="4" t="s">
        <v>1304</v>
      </c>
      <c r="G504" s="4" t="s">
        <v>1305</v>
      </c>
      <c r="H504" s="4" t="s">
        <v>26</v>
      </c>
      <c r="I504" s="4" t="s">
        <v>26</v>
      </c>
      <c r="J504" s="4" t="s">
        <v>27</v>
      </c>
      <c r="K504" s="4" t="s">
        <v>28</v>
      </c>
      <c r="L504" s="4" t="s">
        <v>28</v>
      </c>
      <c r="M504" s="4" t="s">
        <v>29</v>
      </c>
      <c r="N504" s="4" t="s">
        <v>28</v>
      </c>
    </row>
    <row r="505" spans="1:14" ht="14.4" thickBot="1" x14ac:dyDescent="0.35">
      <c r="A505" s="4" t="s">
        <v>19</v>
      </c>
      <c r="B505" s="4" t="s">
        <v>370</v>
      </c>
      <c r="C505" s="4" t="s">
        <v>371</v>
      </c>
      <c r="D505" s="4" t="s">
        <v>372</v>
      </c>
      <c r="E505" s="4" t="s">
        <v>254</v>
      </c>
      <c r="F505" s="4" t="s">
        <v>1306</v>
      </c>
      <c r="G505" s="4" t="s">
        <v>1307</v>
      </c>
      <c r="H505" s="4" t="s">
        <v>37</v>
      </c>
      <c r="I505" s="4" t="s">
        <v>38</v>
      </c>
      <c r="J505" s="4" t="s">
        <v>28</v>
      </c>
      <c r="K505" s="4" t="s">
        <v>28</v>
      </c>
      <c r="L505" s="4" t="s">
        <v>27</v>
      </c>
      <c r="M505" s="4" t="s">
        <v>34</v>
      </c>
      <c r="N505" s="4" t="s">
        <v>28</v>
      </c>
    </row>
    <row r="506" spans="1:14" ht="14.4" thickBot="1" x14ac:dyDescent="0.35">
      <c r="A506" s="4" t="s">
        <v>19</v>
      </c>
      <c r="B506" s="4" t="s">
        <v>370</v>
      </c>
      <c r="C506" s="4" t="s">
        <v>371</v>
      </c>
      <c r="D506" s="4" t="s">
        <v>372</v>
      </c>
      <c r="E506" s="4" t="s">
        <v>254</v>
      </c>
      <c r="F506" s="4" t="s">
        <v>1308</v>
      </c>
      <c r="G506" s="4" t="s">
        <v>1309</v>
      </c>
      <c r="H506" s="4" t="s">
        <v>26</v>
      </c>
      <c r="I506" s="4" t="s">
        <v>454</v>
      </c>
      <c r="J506" s="4" t="s">
        <v>27</v>
      </c>
      <c r="K506" s="4" t="s">
        <v>28</v>
      </c>
      <c r="L506" s="4" t="s">
        <v>28</v>
      </c>
      <c r="M506" s="4" t="s">
        <v>34</v>
      </c>
      <c r="N506" s="4" t="s">
        <v>28</v>
      </c>
    </row>
    <row r="507" spans="1:14" ht="14.4" thickBot="1" x14ac:dyDescent="0.35">
      <c r="A507" s="4" t="s">
        <v>19</v>
      </c>
      <c r="B507" s="4" t="s">
        <v>370</v>
      </c>
      <c r="C507" s="4" t="s">
        <v>371</v>
      </c>
      <c r="D507" s="4" t="s">
        <v>372</v>
      </c>
      <c r="E507" s="4" t="s">
        <v>254</v>
      </c>
      <c r="F507" s="4" t="s">
        <v>1310</v>
      </c>
      <c r="G507" s="4" t="s">
        <v>1311</v>
      </c>
      <c r="H507" s="4" t="s">
        <v>37</v>
      </c>
      <c r="I507" s="4" t="s">
        <v>38</v>
      </c>
      <c r="J507" s="4" t="s">
        <v>28</v>
      </c>
      <c r="K507" s="4" t="s">
        <v>28</v>
      </c>
      <c r="L507" s="4" t="s">
        <v>27</v>
      </c>
      <c r="M507" s="4" t="s">
        <v>34</v>
      </c>
      <c r="N507" s="4" t="s">
        <v>28</v>
      </c>
    </row>
    <row r="508" spans="1:14" ht="14.4" thickBot="1" x14ac:dyDescent="0.35">
      <c r="A508" s="4" t="s">
        <v>19</v>
      </c>
      <c r="B508" s="4" t="s">
        <v>370</v>
      </c>
      <c r="C508" s="4" t="s">
        <v>371</v>
      </c>
      <c r="D508" s="4" t="s">
        <v>372</v>
      </c>
      <c r="E508" s="4" t="s">
        <v>254</v>
      </c>
      <c r="F508" s="4" t="s">
        <v>1312</v>
      </c>
      <c r="G508" s="4" t="s">
        <v>1313</v>
      </c>
      <c r="H508" s="4" t="s">
        <v>26</v>
      </c>
      <c r="I508" s="4" t="s">
        <v>33</v>
      </c>
      <c r="J508" s="4" t="s">
        <v>27</v>
      </c>
      <c r="K508" s="4" t="s">
        <v>28</v>
      </c>
      <c r="L508" s="4" t="s">
        <v>28</v>
      </c>
      <c r="M508" s="4" t="s">
        <v>34</v>
      </c>
      <c r="N508" s="4" t="s">
        <v>28</v>
      </c>
    </row>
    <row r="509" spans="1:14" ht="14.4" thickBot="1" x14ac:dyDescent="0.35">
      <c r="A509" s="4" t="s">
        <v>19</v>
      </c>
      <c r="B509" s="4" t="s">
        <v>370</v>
      </c>
      <c r="C509" s="4" t="s">
        <v>371</v>
      </c>
      <c r="D509" s="4" t="s">
        <v>372</v>
      </c>
      <c r="E509" s="4" t="s">
        <v>254</v>
      </c>
      <c r="F509" s="4" t="s">
        <v>2099</v>
      </c>
      <c r="G509" s="4" t="s">
        <v>2100</v>
      </c>
      <c r="H509" s="4" t="s">
        <v>26</v>
      </c>
      <c r="I509" s="4" t="s">
        <v>26</v>
      </c>
      <c r="J509" s="5"/>
      <c r="K509" s="5"/>
      <c r="L509" s="5"/>
      <c r="M509" s="4" t="s">
        <v>130</v>
      </c>
      <c r="N509" s="5"/>
    </row>
    <row r="510" spans="1:14" ht="14.4" thickBot="1" x14ac:dyDescent="0.35">
      <c r="A510" s="4" t="s">
        <v>19</v>
      </c>
      <c r="B510" s="4" t="s">
        <v>370</v>
      </c>
      <c r="C510" s="4" t="s">
        <v>371</v>
      </c>
      <c r="D510" s="4" t="s">
        <v>372</v>
      </c>
      <c r="E510" s="4" t="s">
        <v>254</v>
      </c>
      <c r="F510" s="4" t="s">
        <v>1409</v>
      </c>
      <c r="G510" s="4" t="s">
        <v>2101</v>
      </c>
      <c r="H510" s="4" t="s">
        <v>135</v>
      </c>
      <c r="I510" s="4" t="s">
        <v>38</v>
      </c>
      <c r="J510" s="4" t="s">
        <v>28</v>
      </c>
      <c r="K510" s="4" t="s">
        <v>28</v>
      </c>
      <c r="L510" s="4" t="s">
        <v>27</v>
      </c>
      <c r="M510" s="4" t="s">
        <v>34</v>
      </c>
      <c r="N510" s="4" t="s">
        <v>28</v>
      </c>
    </row>
    <row r="511" spans="1:14" ht="14.4" thickBot="1" x14ac:dyDescent="0.35">
      <c r="A511" s="4" t="s">
        <v>19</v>
      </c>
      <c r="B511" s="4" t="s">
        <v>370</v>
      </c>
      <c r="C511" s="4" t="s">
        <v>371</v>
      </c>
      <c r="D511" s="4" t="s">
        <v>372</v>
      </c>
      <c r="E511" s="4" t="s">
        <v>254</v>
      </c>
      <c r="F511" s="4" t="s">
        <v>2102</v>
      </c>
      <c r="G511" s="4" t="s">
        <v>2103</v>
      </c>
      <c r="H511" s="4" t="s">
        <v>69</v>
      </c>
      <c r="I511" s="4" t="s">
        <v>38</v>
      </c>
      <c r="J511" s="4" t="s">
        <v>28</v>
      </c>
      <c r="K511" s="4" t="s">
        <v>28</v>
      </c>
      <c r="L511" s="4" t="s">
        <v>27</v>
      </c>
      <c r="M511" s="4" t="s">
        <v>29</v>
      </c>
      <c r="N511" s="4" t="s">
        <v>28</v>
      </c>
    </row>
    <row r="512" spans="1:14" ht="14.4" thickBot="1" x14ac:dyDescent="0.35">
      <c r="A512" s="4" t="s">
        <v>19</v>
      </c>
      <c r="B512" s="4" t="s">
        <v>370</v>
      </c>
      <c r="C512" s="4" t="s">
        <v>371</v>
      </c>
      <c r="D512" s="4" t="s">
        <v>372</v>
      </c>
      <c r="E512" s="4" t="s">
        <v>254</v>
      </c>
      <c r="F512" s="4" t="s">
        <v>2104</v>
      </c>
      <c r="G512" s="4" t="s">
        <v>2105</v>
      </c>
      <c r="H512" s="4" t="s">
        <v>37</v>
      </c>
      <c r="I512" s="4" t="s">
        <v>38</v>
      </c>
      <c r="J512" s="4" t="s">
        <v>28</v>
      </c>
      <c r="K512" s="4" t="s">
        <v>28</v>
      </c>
      <c r="L512" s="4" t="s">
        <v>27</v>
      </c>
      <c r="M512" s="4" t="s">
        <v>34</v>
      </c>
      <c r="N512" s="4" t="s">
        <v>28</v>
      </c>
    </row>
    <row r="513" spans="1:14" ht="14.4" thickBot="1" x14ac:dyDescent="0.35">
      <c r="A513" s="4" t="s">
        <v>19</v>
      </c>
      <c r="B513" s="4" t="s">
        <v>370</v>
      </c>
      <c r="C513" s="4" t="s">
        <v>371</v>
      </c>
      <c r="D513" s="4" t="s">
        <v>372</v>
      </c>
      <c r="E513" s="4" t="s">
        <v>254</v>
      </c>
      <c r="F513" s="4" t="s">
        <v>2106</v>
      </c>
      <c r="G513" s="4" t="s">
        <v>2107</v>
      </c>
      <c r="H513" s="4" t="s">
        <v>26</v>
      </c>
      <c r="I513" s="4" t="s">
        <v>26</v>
      </c>
      <c r="J513" s="5"/>
      <c r="K513" s="5"/>
      <c r="L513" s="5"/>
      <c r="M513" s="4" t="s">
        <v>130</v>
      </c>
      <c r="N513" s="5"/>
    </row>
    <row r="514" spans="1:14" ht="14.4" thickBot="1" x14ac:dyDescent="0.35">
      <c r="A514" s="4" t="s">
        <v>19</v>
      </c>
      <c r="B514" s="4" t="s">
        <v>370</v>
      </c>
      <c r="C514" s="4" t="s">
        <v>371</v>
      </c>
      <c r="D514" s="4" t="s">
        <v>372</v>
      </c>
      <c r="E514" s="4" t="s">
        <v>254</v>
      </c>
      <c r="F514" s="4" t="s">
        <v>2108</v>
      </c>
      <c r="G514" s="4" t="s">
        <v>2109</v>
      </c>
      <c r="H514" s="4" t="s">
        <v>26</v>
      </c>
      <c r="I514" s="4" t="s">
        <v>26</v>
      </c>
      <c r="J514" s="5"/>
      <c r="K514" s="5"/>
      <c r="L514" s="5"/>
      <c r="M514" s="4" t="s">
        <v>130</v>
      </c>
      <c r="N514" s="5"/>
    </row>
    <row r="515" spans="1:14" ht="14.4" thickBot="1" x14ac:dyDescent="0.35">
      <c r="A515" s="4" t="s">
        <v>19</v>
      </c>
      <c r="B515" s="4" t="s">
        <v>370</v>
      </c>
      <c r="C515" s="4" t="s">
        <v>371</v>
      </c>
      <c r="D515" s="4" t="s">
        <v>372</v>
      </c>
      <c r="E515" s="4" t="s">
        <v>254</v>
      </c>
      <c r="F515" s="4" t="s">
        <v>2110</v>
      </c>
      <c r="G515" s="4" t="s">
        <v>2111</v>
      </c>
      <c r="H515" s="4" t="s">
        <v>135</v>
      </c>
      <c r="I515" s="4" t="s">
        <v>94</v>
      </c>
      <c r="J515" s="5"/>
      <c r="K515" s="5"/>
      <c r="L515" s="5"/>
      <c r="M515" s="4" t="s">
        <v>29</v>
      </c>
      <c r="N515" s="5"/>
    </row>
    <row r="516" spans="1:14" ht="14.4" thickBot="1" x14ac:dyDescent="0.35">
      <c r="A516" s="4" t="s">
        <v>19</v>
      </c>
      <c r="B516" s="4" t="s">
        <v>370</v>
      </c>
      <c r="C516" s="4" t="s">
        <v>371</v>
      </c>
      <c r="D516" s="4" t="s">
        <v>372</v>
      </c>
      <c r="E516" s="4" t="s">
        <v>254</v>
      </c>
      <c r="F516" s="4" t="s">
        <v>2112</v>
      </c>
      <c r="G516" s="4" t="s">
        <v>2113</v>
      </c>
      <c r="H516" s="4" t="s">
        <v>26</v>
      </c>
      <c r="I516" s="4" t="s">
        <v>33</v>
      </c>
      <c r="J516" s="4" t="s">
        <v>27</v>
      </c>
      <c r="K516" s="4" t="s">
        <v>28</v>
      </c>
      <c r="L516" s="4" t="s">
        <v>28</v>
      </c>
      <c r="M516" s="4" t="s">
        <v>34</v>
      </c>
      <c r="N516" s="4" t="s">
        <v>28</v>
      </c>
    </row>
    <row r="517" spans="1:14" ht="14.4" thickBot="1" x14ac:dyDescent="0.35">
      <c r="A517" s="4" t="s">
        <v>19</v>
      </c>
      <c r="B517" s="4" t="s">
        <v>370</v>
      </c>
      <c r="C517" s="4" t="s">
        <v>371</v>
      </c>
      <c r="D517" s="4" t="s">
        <v>372</v>
      </c>
      <c r="E517" s="4" t="s">
        <v>254</v>
      </c>
      <c r="F517" s="4" t="s">
        <v>2114</v>
      </c>
      <c r="G517" s="4" t="s">
        <v>2115</v>
      </c>
      <c r="H517" s="4" t="s">
        <v>26</v>
      </c>
      <c r="I517" s="4" t="s">
        <v>33</v>
      </c>
      <c r="J517" s="4" t="s">
        <v>27</v>
      </c>
      <c r="K517" s="4" t="s">
        <v>28</v>
      </c>
      <c r="L517" s="4" t="s">
        <v>28</v>
      </c>
      <c r="M517" s="4" t="s">
        <v>34</v>
      </c>
      <c r="N517" s="4" t="s">
        <v>28</v>
      </c>
    </row>
    <row r="518" spans="1:14" ht="14.4" thickBot="1" x14ac:dyDescent="0.35">
      <c r="A518" s="4" t="s">
        <v>19</v>
      </c>
      <c r="B518" s="4" t="s">
        <v>370</v>
      </c>
      <c r="C518" s="4" t="s">
        <v>371</v>
      </c>
      <c r="D518" s="4" t="s">
        <v>372</v>
      </c>
      <c r="E518" s="4" t="s">
        <v>254</v>
      </c>
      <c r="F518" s="4" t="s">
        <v>2799</v>
      </c>
      <c r="G518" s="4" t="s">
        <v>2800</v>
      </c>
      <c r="H518" s="4" t="s">
        <v>26</v>
      </c>
      <c r="I518" s="4" t="s">
        <v>135</v>
      </c>
      <c r="J518" s="4" t="s">
        <v>27</v>
      </c>
      <c r="K518" s="4" t="s">
        <v>28</v>
      </c>
      <c r="L518" s="4" t="s">
        <v>28</v>
      </c>
      <c r="M518" s="4" t="s">
        <v>29</v>
      </c>
      <c r="N518" s="4" t="s">
        <v>28</v>
      </c>
    </row>
    <row r="519" spans="1:14" ht="14.4" thickBot="1" x14ac:dyDescent="0.35">
      <c r="A519" s="4" t="s">
        <v>19</v>
      </c>
      <c r="B519" s="4" t="s">
        <v>370</v>
      </c>
      <c r="C519" s="4" t="s">
        <v>371</v>
      </c>
      <c r="D519" s="4" t="s">
        <v>372</v>
      </c>
      <c r="E519" s="4" t="s">
        <v>254</v>
      </c>
      <c r="F519" s="4" t="s">
        <v>2801</v>
      </c>
      <c r="G519" s="4" t="s">
        <v>2802</v>
      </c>
      <c r="H519" s="4" t="s">
        <v>26</v>
      </c>
      <c r="I519" s="4" t="s">
        <v>135</v>
      </c>
      <c r="J519" s="4" t="s">
        <v>27</v>
      </c>
      <c r="K519" s="4" t="s">
        <v>28</v>
      </c>
      <c r="L519" s="4" t="s">
        <v>28</v>
      </c>
      <c r="M519" s="4" t="s">
        <v>29</v>
      </c>
      <c r="N519" s="4" t="s">
        <v>28</v>
      </c>
    </row>
    <row r="520" spans="1:14" ht="14.4" thickBot="1" x14ac:dyDescent="0.35">
      <c r="A520" s="4" t="s">
        <v>19</v>
      </c>
      <c r="B520" s="4" t="s">
        <v>370</v>
      </c>
      <c r="C520" s="4" t="s">
        <v>371</v>
      </c>
      <c r="D520" s="4" t="s">
        <v>372</v>
      </c>
      <c r="E520" s="4" t="s">
        <v>254</v>
      </c>
      <c r="F520" s="4" t="s">
        <v>2803</v>
      </c>
      <c r="G520" s="4" t="s">
        <v>2804</v>
      </c>
      <c r="H520" s="4" t="s">
        <v>26</v>
      </c>
      <c r="I520" s="4" t="s">
        <v>38</v>
      </c>
      <c r="J520" s="5"/>
      <c r="K520" s="5"/>
      <c r="L520" s="5"/>
      <c r="M520" s="4" t="s">
        <v>29</v>
      </c>
      <c r="N520" s="5"/>
    </row>
    <row r="521" spans="1:14" ht="14.4" thickBot="1" x14ac:dyDescent="0.35">
      <c r="A521" s="4" t="s">
        <v>19</v>
      </c>
      <c r="B521" s="4" t="s">
        <v>370</v>
      </c>
      <c r="C521" s="4" t="s">
        <v>371</v>
      </c>
      <c r="D521" s="4" t="s">
        <v>372</v>
      </c>
      <c r="E521" s="4" t="s">
        <v>254</v>
      </c>
      <c r="F521" s="4" t="s">
        <v>2805</v>
      </c>
      <c r="G521" s="4" t="s">
        <v>2806</v>
      </c>
      <c r="H521" s="4" t="s">
        <v>26</v>
      </c>
      <c r="I521" s="4" t="s">
        <v>33</v>
      </c>
      <c r="J521" s="4" t="s">
        <v>27</v>
      </c>
      <c r="K521" s="4" t="s">
        <v>28</v>
      </c>
      <c r="L521" s="4" t="s">
        <v>28</v>
      </c>
      <c r="M521" s="4" t="s">
        <v>34</v>
      </c>
      <c r="N521" s="4" t="s">
        <v>28</v>
      </c>
    </row>
    <row r="522" spans="1:14" ht="14.4" thickBot="1" x14ac:dyDescent="0.35">
      <c r="A522" s="4" t="s">
        <v>19</v>
      </c>
      <c r="B522" s="4" t="s">
        <v>370</v>
      </c>
      <c r="C522" s="4" t="s">
        <v>371</v>
      </c>
      <c r="D522" s="4" t="s">
        <v>372</v>
      </c>
      <c r="E522" s="4" t="s">
        <v>254</v>
      </c>
      <c r="F522" s="4" t="s">
        <v>2807</v>
      </c>
      <c r="G522" s="4" t="s">
        <v>2808</v>
      </c>
      <c r="H522" s="4" t="s">
        <v>26</v>
      </c>
      <c r="I522" s="4" t="s">
        <v>94</v>
      </c>
      <c r="J522" s="4" t="s">
        <v>27</v>
      </c>
      <c r="K522" s="4" t="s">
        <v>28</v>
      </c>
      <c r="L522" s="4" t="s">
        <v>28</v>
      </c>
      <c r="M522" s="4" t="s">
        <v>34</v>
      </c>
      <c r="N522" s="4" t="s">
        <v>27</v>
      </c>
    </row>
    <row r="523" spans="1:14" ht="14.4" thickBot="1" x14ac:dyDescent="0.35">
      <c r="A523" s="4" t="s">
        <v>19</v>
      </c>
      <c r="B523" s="4" t="s">
        <v>370</v>
      </c>
      <c r="C523" s="4" t="s">
        <v>371</v>
      </c>
      <c r="D523" s="4" t="s">
        <v>372</v>
      </c>
      <c r="E523" s="4" t="s">
        <v>254</v>
      </c>
      <c r="F523" s="4" t="s">
        <v>2809</v>
      </c>
      <c r="G523" s="4" t="s">
        <v>2810</v>
      </c>
      <c r="H523" s="4" t="s">
        <v>26</v>
      </c>
      <c r="I523" s="4" t="s">
        <v>33</v>
      </c>
      <c r="J523" s="4" t="s">
        <v>27</v>
      </c>
      <c r="K523" s="4" t="s">
        <v>28</v>
      </c>
      <c r="L523" s="4" t="s">
        <v>28</v>
      </c>
      <c r="M523" s="4" t="s">
        <v>34</v>
      </c>
      <c r="N523" s="4" t="s">
        <v>28</v>
      </c>
    </row>
    <row r="524" spans="1:14" ht="14.4" thickBot="1" x14ac:dyDescent="0.35">
      <c r="A524" s="4" t="s">
        <v>19</v>
      </c>
      <c r="B524" s="4" t="s">
        <v>370</v>
      </c>
      <c r="C524" s="4" t="s">
        <v>371</v>
      </c>
      <c r="D524" s="4" t="s">
        <v>372</v>
      </c>
      <c r="E524" s="4" t="s">
        <v>254</v>
      </c>
      <c r="F524" s="4" t="s">
        <v>2811</v>
      </c>
      <c r="G524" s="4" t="s">
        <v>2812</v>
      </c>
      <c r="H524" s="4" t="s">
        <v>26</v>
      </c>
      <c r="I524" s="4" t="s">
        <v>116</v>
      </c>
      <c r="J524" s="4" t="s">
        <v>27</v>
      </c>
      <c r="K524" s="4" t="s">
        <v>28</v>
      </c>
      <c r="L524" s="4" t="s">
        <v>28</v>
      </c>
      <c r="M524" s="4" t="s">
        <v>29</v>
      </c>
      <c r="N524" s="4" t="s">
        <v>28</v>
      </c>
    </row>
    <row r="525" spans="1:14" ht="14.4" thickBot="1" x14ac:dyDescent="0.35">
      <c r="A525" s="4" t="s">
        <v>19</v>
      </c>
      <c r="B525" s="4" t="s">
        <v>370</v>
      </c>
      <c r="C525" s="4" t="s">
        <v>371</v>
      </c>
      <c r="D525" s="4" t="s">
        <v>372</v>
      </c>
      <c r="E525" s="4" t="s">
        <v>254</v>
      </c>
      <c r="F525" s="4" t="s">
        <v>2813</v>
      </c>
      <c r="G525" s="4" t="s">
        <v>2814</v>
      </c>
      <c r="H525" s="4" t="s">
        <v>37</v>
      </c>
      <c r="I525" s="4" t="s">
        <v>38</v>
      </c>
      <c r="J525" s="4" t="s">
        <v>28</v>
      </c>
      <c r="K525" s="4" t="s">
        <v>28</v>
      </c>
      <c r="L525" s="4" t="s">
        <v>27</v>
      </c>
      <c r="M525" s="4" t="s">
        <v>34</v>
      </c>
      <c r="N525" s="4" t="s">
        <v>28</v>
      </c>
    </row>
    <row r="526" spans="1:14" ht="14.4" thickBot="1" x14ac:dyDescent="0.35">
      <c r="A526" s="4" t="s">
        <v>19</v>
      </c>
      <c r="B526" s="4" t="s">
        <v>370</v>
      </c>
      <c r="C526" s="4" t="s">
        <v>371</v>
      </c>
      <c r="D526" s="4" t="s">
        <v>372</v>
      </c>
      <c r="E526" s="4" t="s">
        <v>254</v>
      </c>
      <c r="F526" s="4" t="s">
        <v>2815</v>
      </c>
      <c r="G526" s="4" t="s">
        <v>2816</v>
      </c>
      <c r="H526" s="4" t="s">
        <v>69</v>
      </c>
      <c r="I526" s="4" t="s">
        <v>94</v>
      </c>
      <c r="J526" s="4" t="s">
        <v>28</v>
      </c>
      <c r="K526" s="4" t="s">
        <v>27</v>
      </c>
      <c r="L526" s="4" t="s">
        <v>28</v>
      </c>
      <c r="M526" s="4" t="s">
        <v>34</v>
      </c>
      <c r="N526" s="4" t="s">
        <v>28</v>
      </c>
    </row>
    <row r="527" spans="1:14" ht="14.4" thickBot="1" x14ac:dyDescent="0.35">
      <c r="A527" s="4" t="s">
        <v>19</v>
      </c>
      <c r="B527" s="4" t="s">
        <v>370</v>
      </c>
      <c r="C527" s="4" t="s">
        <v>371</v>
      </c>
      <c r="D527" s="4" t="s">
        <v>372</v>
      </c>
      <c r="E527" s="4" t="s">
        <v>254</v>
      </c>
      <c r="F527" s="4" t="s">
        <v>2817</v>
      </c>
      <c r="G527" s="4" t="s">
        <v>2818</v>
      </c>
      <c r="H527" s="4" t="s">
        <v>69</v>
      </c>
      <c r="I527" s="4" t="s">
        <v>94</v>
      </c>
      <c r="J527" s="4" t="s">
        <v>28</v>
      </c>
      <c r="K527" s="4" t="s">
        <v>27</v>
      </c>
      <c r="L527" s="4" t="s">
        <v>28</v>
      </c>
      <c r="M527" s="4" t="s">
        <v>34</v>
      </c>
      <c r="N527" s="4" t="s">
        <v>28</v>
      </c>
    </row>
    <row r="528" spans="1:14" ht="14.4" thickBot="1" x14ac:dyDescent="0.35">
      <c r="A528" s="4" t="s">
        <v>19</v>
      </c>
      <c r="B528" s="4" t="s">
        <v>370</v>
      </c>
      <c r="C528" s="4" t="s">
        <v>371</v>
      </c>
      <c r="D528" s="4" t="s">
        <v>372</v>
      </c>
      <c r="E528" s="4" t="s">
        <v>254</v>
      </c>
      <c r="F528" s="4" t="s">
        <v>2819</v>
      </c>
      <c r="G528" s="4" t="s">
        <v>2820</v>
      </c>
      <c r="H528" s="4" t="s">
        <v>69</v>
      </c>
      <c r="I528" s="4" t="s">
        <v>94</v>
      </c>
      <c r="J528" s="4" t="s">
        <v>28</v>
      </c>
      <c r="K528" s="4" t="s">
        <v>27</v>
      </c>
      <c r="L528" s="4" t="s">
        <v>28</v>
      </c>
      <c r="M528" s="4" t="s">
        <v>34</v>
      </c>
      <c r="N528" s="4" t="s">
        <v>28</v>
      </c>
    </row>
    <row r="529" spans="1:14" ht="14.4" thickBot="1" x14ac:dyDescent="0.35">
      <c r="A529" s="4" t="s">
        <v>19</v>
      </c>
      <c r="B529" s="4" t="s">
        <v>370</v>
      </c>
      <c r="C529" s="4" t="s">
        <v>371</v>
      </c>
      <c r="D529" s="4" t="s">
        <v>372</v>
      </c>
      <c r="E529" s="4" t="s">
        <v>254</v>
      </c>
      <c r="F529" s="4" t="s">
        <v>1405</v>
      </c>
      <c r="G529" s="4" t="s">
        <v>2821</v>
      </c>
      <c r="H529" s="4" t="s">
        <v>26</v>
      </c>
      <c r="I529" s="4" t="s">
        <v>33</v>
      </c>
      <c r="J529" s="4" t="s">
        <v>27</v>
      </c>
      <c r="K529" s="4" t="s">
        <v>28</v>
      </c>
      <c r="L529" s="4" t="s">
        <v>28</v>
      </c>
      <c r="M529" s="4" t="s">
        <v>34</v>
      </c>
      <c r="N529" s="4" t="s">
        <v>28</v>
      </c>
    </row>
    <row r="530" spans="1:14" ht="14.4" thickBot="1" x14ac:dyDescent="0.35">
      <c r="A530" s="4" t="s">
        <v>19</v>
      </c>
      <c r="B530" s="4" t="s">
        <v>370</v>
      </c>
      <c r="C530" s="4" t="s">
        <v>371</v>
      </c>
      <c r="D530" s="4" t="s">
        <v>372</v>
      </c>
      <c r="E530" s="4" t="s">
        <v>254</v>
      </c>
      <c r="F530" s="4" t="s">
        <v>2822</v>
      </c>
      <c r="G530" s="4" t="s">
        <v>2823</v>
      </c>
      <c r="H530" s="4" t="s">
        <v>37</v>
      </c>
      <c r="I530" s="4" t="s">
        <v>38</v>
      </c>
      <c r="J530" s="4" t="s">
        <v>28</v>
      </c>
      <c r="K530" s="4" t="s">
        <v>28</v>
      </c>
      <c r="L530" s="4" t="s">
        <v>27</v>
      </c>
      <c r="M530" s="4" t="s">
        <v>34</v>
      </c>
      <c r="N530" s="4" t="s">
        <v>28</v>
      </c>
    </row>
    <row r="531" spans="1:14" ht="14.4" thickBot="1" x14ac:dyDescent="0.35">
      <c r="A531" s="4" t="s">
        <v>19</v>
      </c>
      <c r="B531" s="4" t="s">
        <v>370</v>
      </c>
      <c r="C531" s="4" t="s">
        <v>371</v>
      </c>
      <c r="D531" s="4" t="s">
        <v>372</v>
      </c>
      <c r="E531" s="4" t="s">
        <v>254</v>
      </c>
      <c r="F531" s="4" t="s">
        <v>2824</v>
      </c>
      <c r="G531" s="4" t="s">
        <v>2825</v>
      </c>
      <c r="H531" s="4" t="s">
        <v>69</v>
      </c>
      <c r="I531" s="4" t="s">
        <v>94</v>
      </c>
      <c r="J531" s="4" t="s">
        <v>28</v>
      </c>
      <c r="K531" s="4" t="s">
        <v>27</v>
      </c>
      <c r="L531" s="4" t="s">
        <v>28</v>
      </c>
      <c r="M531" s="4" t="s">
        <v>34</v>
      </c>
      <c r="N531" s="4" t="s">
        <v>28</v>
      </c>
    </row>
    <row r="532" spans="1:14" ht="14.4" thickBot="1" x14ac:dyDescent="0.35">
      <c r="A532" s="4" t="s">
        <v>19</v>
      </c>
      <c r="B532" s="4" t="s">
        <v>370</v>
      </c>
      <c r="C532" s="4" t="s">
        <v>371</v>
      </c>
      <c r="D532" s="4" t="s">
        <v>372</v>
      </c>
      <c r="E532" s="4" t="s">
        <v>254</v>
      </c>
      <c r="F532" s="4" t="s">
        <v>2826</v>
      </c>
      <c r="G532" s="4" t="s">
        <v>2827</v>
      </c>
      <c r="H532" s="4" t="s">
        <v>33</v>
      </c>
      <c r="I532" s="4" t="s">
        <v>94</v>
      </c>
      <c r="J532" s="4" t="s">
        <v>28</v>
      </c>
      <c r="K532" s="4" t="s">
        <v>27</v>
      </c>
      <c r="L532" s="4" t="s">
        <v>28</v>
      </c>
      <c r="M532" s="4" t="s">
        <v>34</v>
      </c>
      <c r="N532" s="4" t="s">
        <v>28</v>
      </c>
    </row>
    <row r="533" spans="1:14" ht="14.4" thickBot="1" x14ac:dyDescent="0.35">
      <c r="A533" s="4" t="s">
        <v>19</v>
      </c>
      <c r="B533" s="4" t="s">
        <v>370</v>
      </c>
      <c r="C533" s="4" t="s">
        <v>371</v>
      </c>
      <c r="D533" s="4" t="s">
        <v>372</v>
      </c>
      <c r="E533" s="4" t="s">
        <v>254</v>
      </c>
      <c r="F533" s="4" t="s">
        <v>2828</v>
      </c>
      <c r="G533" s="4" t="s">
        <v>2829</v>
      </c>
      <c r="H533" s="4" t="s">
        <v>26</v>
      </c>
      <c r="I533" s="4" t="s">
        <v>33</v>
      </c>
      <c r="J533" s="4" t="s">
        <v>27</v>
      </c>
      <c r="K533" s="4" t="s">
        <v>28</v>
      </c>
      <c r="L533" s="4" t="s">
        <v>28</v>
      </c>
      <c r="M533" s="4" t="s">
        <v>34</v>
      </c>
      <c r="N533" s="4" t="s">
        <v>28</v>
      </c>
    </row>
    <row r="534" spans="1:14" ht="14.4" thickBot="1" x14ac:dyDescent="0.35">
      <c r="A534" s="4" t="s">
        <v>19</v>
      </c>
      <c r="B534" s="4" t="s">
        <v>370</v>
      </c>
      <c r="C534" s="4" t="s">
        <v>371</v>
      </c>
      <c r="D534" s="4" t="s">
        <v>372</v>
      </c>
      <c r="E534" s="4" t="s">
        <v>254</v>
      </c>
      <c r="F534" s="4" t="s">
        <v>3561</v>
      </c>
      <c r="G534" s="4" t="s">
        <v>3562</v>
      </c>
      <c r="H534" s="4" t="s">
        <v>26</v>
      </c>
      <c r="I534" s="4" t="s">
        <v>26</v>
      </c>
      <c r="J534" s="4" t="s">
        <v>27</v>
      </c>
      <c r="K534" s="4" t="s">
        <v>28</v>
      </c>
      <c r="L534" s="4" t="s">
        <v>28</v>
      </c>
      <c r="M534" s="4" t="s">
        <v>29</v>
      </c>
      <c r="N534" s="4" t="s">
        <v>28</v>
      </c>
    </row>
    <row r="535" spans="1:14" ht="14.4" thickBot="1" x14ac:dyDescent="0.35">
      <c r="A535" s="4" t="s">
        <v>19</v>
      </c>
      <c r="B535" s="4" t="s">
        <v>370</v>
      </c>
      <c r="C535" s="4" t="s">
        <v>371</v>
      </c>
      <c r="D535" s="4" t="s">
        <v>372</v>
      </c>
      <c r="E535" s="4" t="s">
        <v>254</v>
      </c>
      <c r="F535" s="4" t="s">
        <v>3563</v>
      </c>
      <c r="G535" s="4" t="s">
        <v>3564</v>
      </c>
      <c r="H535" s="4" t="s">
        <v>37</v>
      </c>
      <c r="I535" s="4" t="s">
        <v>38</v>
      </c>
      <c r="J535" s="4" t="s">
        <v>28</v>
      </c>
      <c r="K535" s="4" t="s">
        <v>28</v>
      </c>
      <c r="L535" s="4" t="s">
        <v>27</v>
      </c>
      <c r="M535" s="4" t="s">
        <v>34</v>
      </c>
      <c r="N535" s="4" t="s">
        <v>28</v>
      </c>
    </row>
    <row r="536" spans="1:14" ht="14.4" thickBot="1" x14ac:dyDescent="0.35">
      <c r="A536" s="4" t="s">
        <v>19</v>
      </c>
      <c r="B536" s="4" t="s">
        <v>370</v>
      </c>
      <c r="C536" s="4" t="s">
        <v>371</v>
      </c>
      <c r="D536" s="4" t="s">
        <v>372</v>
      </c>
      <c r="E536" s="4" t="s">
        <v>254</v>
      </c>
      <c r="F536" s="4" t="s">
        <v>3565</v>
      </c>
      <c r="G536" s="4" t="s">
        <v>3566</v>
      </c>
      <c r="H536" s="4" t="s">
        <v>26</v>
      </c>
      <c r="I536" s="4" t="s">
        <v>94</v>
      </c>
      <c r="J536" s="4" t="s">
        <v>27</v>
      </c>
      <c r="K536" s="4" t="s">
        <v>28</v>
      </c>
      <c r="L536" s="4" t="s">
        <v>28</v>
      </c>
      <c r="M536" s="4" t="s">
        <v>34</v>
      </c>
      <c r="N536" s="4" t="s">
        <v>27</v>
      </c>
    </row>
    <row r="537" spans="1:14" ht="14.4" thickBot="1" x14ac:dyDescent="0.35">
      <c r="A537" s="4" t="s">
        <v>19</v>
      </c>
      <c r="B537" s="4" t="s">
        <v>370</v>
      </c>
      <c r="C537" s="4" t="s">
        <v>371</v>
      </c>
      <c r="D537" s="4" t="s">
        <v>372</v>
      </c>
      <c r="E537" s="4" t="s">
        <v>254</v>
      </c>
      <c r="F537" s="4" t="s">
        <v>3567</v>
      </c>
      <c r="G537" s="4" t="s">
        <v>3568</v>
      </c>
      <c r="H537" s="4" t="s">
        <v>26</v>
      </c>
      <c r="I537" s="4" t="s">
        <v>33</v>
      </c>
      <c r="J537" s="4" t="s">
        <v>27</v>
      </c>
      <c r="K537" s="4" t="s">
        <v>28</v>
      </c>
      <c r="L537" s="4" t="s">
        <v>28</v>
      </c>
      <c r="M537" s="4" t="s">
        <v>34</v>
      </c>
      <c r="N537" s="4" t="s">
        <v>28</v>
      </c>
    </row>
    <row r="538" spans="1:14" ht="14.4" thickBot="1" x14ac:dyDescent="0.35">
      <c r="A538" s="4" t="s">
        <v>19</v>
      </c>
      <c r="B538" s="4" t="s">
        <v>370</v>
      </c>
      <c r="C538" s="4" t="s">
        <v>371</v>
      </c>
      <c r="D538" s="4" t="s">
        <v>372</v>
      </c>
      <c r="E538" s="4" t="s">
        <v>254</v>
      </c>
      <c r="F538" s="4" t="s">
        <v>3569</v>
      </c>
      <c r="G538" s="4" t="s">
        <v>2905</v>
      </c>
      <c r="H538" s="4" t="s">
        <v>26</v>
      </c>
      <c r="I538" s="4" t="s">
        <v>33</v>
      </c>
      <c r="J538" s="4" t="s">
        <v>27</v>
      </c>
      <c r="K538" s="4" t="s">
        <v>28</v>
      </c>
      <c r="L538" s="4" t="s">
        <v>28</v>
      </c>
      <c r="M538" s="4" t="s">
        <v>34</v>
      </c>
      <c r="N538" s="4" t="s">
        <v>28</v>
      </c>
    </row>
    <row r="539" spans="1:14" ht="14.4" thickBot="1" x14ac:dyDescent="0.35">
      <c r="A539" s="4" t="s">
        <v>19</v>
      </c>
      <c r="B539" s="4" t="s">
        <v>370</v>
      </c>
      <c r="C539" s="4" t="s">
        <v>371</v>
      </c>
      <c r="D539" s="4" t="s">
        <v>372</v>
      </c>
      <c r="E539" s="4" t="s">
        <v>254</v>
      </c>
      <c r="F539" s="4" t="s">
        <v>3570</v>
      </c>
      <c r="G539" s="4" t="s">
        <v>3571</v>
      </c>
      <c r="H539" s="4" t="s">
        <v>69</v>
      </c>
      <c r="I539" s="4" t="s">
        <v>94</v>
      </c>
      <c r="J539" s="4" t="s">
        <v>28</v>
      </c>
      <c r="K539" s="4" t="s">
        <v>27</v>
      </c>
      <c r="L539" s="4" t="s">
        <v>28</v>
      </c>
      <c r="M539" s="4" t="s">
        <v>34</v>
      </c>
      <c r="N539" s="4" t="s">
        <v>28</v>
      </c>
    </row>
    <row r="540" spans="1:14" ht="14.4" thickBot="1" x14ac:dyDescent="0.35">
      <c r="A540" s="4" t="s">
        <v>19</v>
      </c>
      <c r="B540" s="4" t="s">
        <v>370</v>
      </c>
      <c r="C540" s="4" t="s">
        <v>371</v>
      </c>
      <c r="D540" s="4" t="s">
        <v>372</v>
      </c>
      <c r="E540" s="4" t="s">
        <v>254</v>
      </c>
      <c r="F540" s="4" t="s">
        <v>3572</v>
      </c>
      <c r="G540" s="4" t="s">
        <v>3573</v>
      </c>
      <c r="H540" s="4" t="s">
        <v>69</v>
      </c>
      <c r="I540" s="4" t="s">
        <v>94</v>
      </c>
      <c r="J540" s="4" t="s">
        <v>28</v>
      </c>
      <c r="K540" s="4" t="s">
        <v>27</v>
      </c>
      <c r="L540" s="4" t="s">
        <v>28</v>
      </c>
      <c r="M540" s="4" t="s">
        <v>34</v>
      </c>
      <c r="N540" s="4" t="s">
        <v>28</v>
      </c>
    </row>
    <row r="541" spans="1:14" ht="14.4" thickBot="1" x14ac:dyDescent="0.35">
      <c r="A541" s="4" t="s">
        <v>19</v>
      </c>
      <c r="B541" s="4" t="s">
        <v>370</v>
      </c>
      <c r="C541" s="4" t="s">
        <v>371</v>
      </c>
      <c r="D541" s="4" t="s">
        <v>372</v>
      </c>
      <c r="E541" s="4" t="s">
        <v>254</v>
      </c>
      <c r="F541" s="4" t="s">
        <v>3574</v>
      </c>
      <c r="G541" s="4" t="s">
        <v>3575</v>
      </c>
      <c r="H541" s="4" t="s">
        <v>26</v>
      </c>
      <c r="I541" s="4" t="s">
        <v>33</v>
      </c>
      <c r="J541" s="4" t="s">
        <v>27</v>
      </c>
      <c r="K541" s="4" t="s">
        <v>28</v>
      </c>
      <c r="L541" s="4" t="s">
        <v>28</v>
      </c>
      <c r="M541" s="4" t="s">
        <v>34</v>
      </c>
      <c r="N541" s="4" t="s">
        <v>28</v>
      </c>
    </row>
    <row r="542" spans="1:14" ht="14.4" thickBot="1" x14ac:dyDescent="0.35">
      <c r="A542" s="4" t="s">
        <v>19</v>
      </c>
      <c r="B542" s="4" t="s">
        <v>370</v>
      </c>
      <c r="C542" s="4" t="s">
        <v>371</v>
      </c>
      <c r="D542" s="4" t="s">
        <v>372</v>
      </c>
      <c r="E542" s="4" t="s">
        <v>254</v>
      </c>
      <c r="F542" s="4" t="s">
        <v>3576</v>
      </c>
      <c r="G542" s="4" t="s">
        <v>3577</v>
      </c>
      <c r="H542" s="4" t="s">
        <v>26</v>
      </c>
      <c r="I542" s="4" t="s">
        <v>94</v>
      </c>
      <c r="J542" s="4" t="s">
        <v>27</v>
      </c>
      <c r="K542" s="4" t="s">
        <v>28</v>
      </c>
      <c r="L542" s="4" t="s">
        <v>28</v>
      </c>
      <c r="M542" s="4" t="s">
        <v>34</v>
      </c>
      <c r="N542" s="4" t="s">
        <v>28</v>
      </c>
    </row>
    <row r="543" spans="1:14" ht="14.4" thickBot="1" x14ac:dyDescent="0.35">
      <c r="A543" s="4" t="s">
        <v>19</v>
      </c>
      <c r="B543" s="4" t="s">
        <v>370</v>
      </c>
      <c r="C543" s="4" t="s">
        <v>371</v>
      </c>
      <c r="D543" s="4" t="s">
        <v>372</v>
      </c>
      <c r="E543" s="4" t="s">
        <v>254</v>
      </c>
      <c r="F543" s="4" t="s">
        <v>4354</v>
      </c>
      <c r="G543" s="4" t="s">
        <v>4355</v>
      </c>
      <c r="H543" s="4" t="s">
        <v>26</v>
      </c>
      <c r="I543" s="4" t="s">
        <v>26</v>
      </c>
      <c r="J543" s="4" t="s">
        <v>27</v>
      </c>
      <c r="K543" s="4" t="s">
        <v>28</v>
      </c>
      <c r="L543" s="4" t="s">
        <v>28</v>
      </c>
      <c r="M543" s="4" t="s">
        <v>29</v>
      </c>
      <c r="N543" s="4" t="s">
        <v>28</v>
      </c>
    </row>
    <row r="544" spans="1:14" ht="14.4" thickBot="1" x14ac:dyDescent="0.35">
      <c r="A544" s="4" t="s">
        <v>19</v>
      </c>
      <c r="B544" s="4" t="s">
        <v>370</v>
      </c>
      <c r="C544" s="4" t="s">
        <v>371</v>
      </c>
      <c r="D544" s="4" t="s">
        <v>372</v>
      </c>
      <c r="E544" s="4" t="s">
        <v>254</v>
      </c>
      <c r="F544" s="4" t="s">
        <v>4356</v>
      </c>
      <c r="G544" s="4" t="s">
        <v>4357</v>
      </c>
      <c r="H544" s="4" t="s">
        <v>26</v>
      </c>
      <c r="I544" s="4" t="s">
        <v>26</v>
      </c>
      <c r="J544" s="4" t="s">
        <v>27</v>
      </c>
      <c r="K544" s="4" t="s">
        <v>28</v>
      </c>
      <c r="L544" s="4" t="s">
        <v>28</v>
      </c>
      <c r="M544" s="4" t="s">
        <v>29</v>
      </c>
      <c r="N544" s="4" t="s">
        <v>28</v>
      </c>
    </row>
    <row r="545" spans="1:14" ht="14.4" thickBot="1" x14ac:dyDescent="0.35">
      <c r="A545" s="4" t="s">
        <v>19</v>
      </c>
      <c r="B545" s="4" t="s">
        <v>370</v>
      </c>
      <c r="C545" s="4" t="s">
        <v>371</v>
      </c>
      <c r="D545" s="4" t="s">
        <v>372</v>
      </c>
      <c r="E545" s="4" t="s">
        <v>254</v>
      </c>
      <c r="F545" s="4" t="s">
        <v>4358</v>
      </c>
      <c r="G545" s="4" t="s">
        <v>4359</v>
      </c>
      <c r="H545" s="4" t="s">
        <v>26</v>
      </c>
      <c r="I545" s="4" t="s">
        <v>26</v>
      </c>
      <c r="J545" s="4" t="s">
        <v>27</v>
      </c>
      <c r="K545" s="4" t="s">
        <v>28</v>
      </c>
      <c r="L545" s="4" t="s">
        <v>28</v>
      </c>
      <c r="M545" s="4" t="s">
        <v>29</v>
      </c>
      <c r="N545" s="4" t="s">
        <v>28</v>
      </c>
    </row>
    <row r="546" spans="1:14" ht="14.4" thickBot="1" x14ac:dyDescent="0.35">
      <c r="A546" s="4" t="s">
        <v>19</v>
      </c>
      <c r="B546" s="4" t="s">
        <v>370</v>
      </c>
      <c r="C546" s="4" t="s">
        <v>371</v>
      </c>
      <c r="D546" s="4" t="s">
        <v>372</v>
      </c>
      <c r="E546" s="4" t="s">
        <v>254</v>
      </c>
      <c r="F546" s="4" t="s">
        <v>4360</v>
      </c>
      <c r="G546" s="4" t="s">
        <v>4361</v>
      </c>
      <c r="H546" s="4" t="s">
        <v>26</v>
      </c>
      <c r="I546" s="4" t="s">
        <v>26</v>
      </c>
      <c r="J546" s="4" t="s">
        <v>27</v>
      </c>
      <c r="K546" s="4" t="s">
        <v>28</v>
      </c>
      <c r="L546" s="4" t="s">
        <v>28</v>
      </c>
      <c r="M546" s="4" t="s">
        <v>29</v>
      </c>
      <c r="N546" s="4" t="s">
        <v>28</v>
      </c>
    </row>
    <row r="547" spans="1:14" ht="14.4" thickBot="1" x14ac:dyDescent="0.35">
      <c r="A547" s="4" t="s">
        <v>19</v>
      </c>
      <c r="B547" s="4" t="s">
        <v>370</v>
      </c>
      <c r="C547" s="4" t="s">
        <v>371</v>
      </c>
      <c r="D547" s="4" t="s">
        <v>372</v>
      </c>
      <c r="E547" s="4" t="s">
        <v>254</v>
      </c>
      <c r="F547" s="4" t="s">
        <v>4362</v>
      </c>
      <c r="G547" s="4" t="s">
        <v>4363</v>
      </c>
      <c r="H547" s="4" t="s">
        <v>135</v>
      </c>
      <c r="I547" s="4" t="s">
        <v>94</v>
      </c>
      <c r="J547" s="4" t="s">
        <v>27</v>
      </c>
      <c r="K547" s="4" t="s">
        <v>28</v>
      </c>
      <c r="L547" s="4" t="s">
        <v>28</v>
      </c>
      <c r="M547" s="4" t="s">
        <v>34</v>
      </c>
      <c r="N547" s="4" t="s">
        <v>27</v>
      </c>
    </row>
    <row r="548" spans="1:14" ht="14.4" thickBot="1" x14ac:dyDescent="0.35">
      <c r="A548" s="4" t="s">
        <v>19</v>
      </c>
      <c r="B548" s="4" t="s">
        <v>370</v>
      </c>
      <c r="C548" s="4" t="s">
        <v>371</v>
      </c>
      <c r="D548" s="4" t="s">
        <v>372</v>
      </c>
      <c r="E548" s="4" t="s">
        <v>254</v>
      </c>
      <c r="F548" s="4" t="s">
        <v>4364</v>
      </c>
      <c r="G548" s="4" t="s">
        <v>4365</v>
      </c>
      <c r="H548" s="4" t="s">
        <v>26</v>
      </c>
      <c r="I548" s="4" t="s">
        <v>33</v>
      </c>
      <c r="J548" s="4" t="s">
        <v>27</v>
      </c>
      <c r="K548" s="4" t="s">
        <v>28</v>
      </c>
      <c r="L548" s="4" t="s">
        <v>28</v>
      </c>
      <c r="M548" s="4" t="s">
        <v>34</v>
      </c>
      <c r="N548" s="4" t="s">
        <v>28</v>
      </c>
    </row>
    <row r="549" spans="1:14" ht="14.4" thickBot="1" x14ac:dyDescent="0.35">
      <c r="A549" s="4" t="s">
        <v>19</v>
      </c>
      <c r="B549" s="4" t="s">
        <v>370</v>
      </c>
      <c r="C549" s="4" t="s">
        <v>371</v>
      </c>
      <c r="D549" s="4" t="s">
        <v>372</v>
      </c>
      <c r="E549" s="4" t="s">
        <v>254</v>
      </c>
      <c r="F549" s="4" t="s">
        <v>4366</v>
      </c>
      <c r="G549" s="4" t="s">
        <v>4367</v>
      </c>
      <c r="H549" s="4" t="s">
        <v>32</v>
      </c>
      <c r="I549" s="4" t="s">
        <v>38</v>
      </c>
      <c r="J549" s="4" t="s">
        <v>28</v>
      </c>
      <c r="K549" s="4" t="s">
        <v>28</v>
      </c>
      <c r="L549" s="4" t="s">
        <v>27</v>
      </c>
      <c r="M549" s="4" t="s">
        <v>29</v>
      </c>
      <c r="N549" s="4" t="s">
        <v>28</v>
      </c>
    </row>
    <row r="550" spans="1:14" ht="14.4" thickBot="1" x14ac:dyDescent="0.35">
      <c r="A550" s="4" t="s">
        <v>19</v>
      </c>
      <c r="B550" s="4" t="s">
        <v>370</v>
      </c>
      <c r="C550" s="4" t="s">
        <v>371</v>
      </c>
      <c r="D550" s="4" t="s">
        <v>372</v>
      </c>
      <c r="E550" s="4" t="s">
        <v>254</v>
      </c>
      <c r="F550" s="4" t="s">
        <v>4368</v>
      </c>
      <c r="G550" s="4" t="s">
        <v>4369</v>
      </c>
      <c r="H550" s="4" t="s">
        <v>26</v>
      </c>
      <c r="I550" s="4" t="s">
        <v>135</v>
      </c>
      <c r="J550" s="5"/>
      <c r="K550" s="5"/>
      <c r="L550" s="5"/>
      <c r="M550" s="4" t="s">
        <v>29</v>
      </c>
      <c r="N550" s="5"/>
    </row>
    <row r="551" spans="1:14" ht="14.4" thickBot="1" x14ac:dyDescent="0.35">
      <c r="A551" s="4" t="s">
        <v>19</v>
      </c>
      <c r="B551" s="4" t="s">
        <v>370</v>
      </c>
      <c r="C551" s="4" t="s">
        <v>371</v>
      </c>
      <c r="D551" s="4" t="s">
        <v>372</v>
      </c>
      <c r="E551" s="4" t="s">
        <v>254</v>
      </c>
      <c r="F551" s="4" t="s">
        <v>4370</v>
      </c>
      <c r="G551" s="4" t="s">
        <v>4371</v>
      </c>
      <c r="H551" s="4" t="s">
        <v>26</v>
      </c>
      <c r="I551" s="4" t="s">
        <v>33</v>
      </c>
      <c r="J551" s="4" t="s">
        <v>27</v>
      </c>
      <c r="K551" s="4" t="s">
        <v>28</v>
      </c>
      <c r="L551" s="4" t="s">
        <v>28</v>
      </c>
      <c r="M551" s="4" t="s">
        <v>34</v>
      </c>
      <c r="N551" s="4" t="s">
        <v>28</v>
      </c>
    </row>
    <row r="552" spans="1:14" ht="14.4" thickBot="1" x14ac:dyDescent="0.35">
      <c r="A552" s="4" t="s">
        <v>19</v>
      </c>
      <c r="B552" s="4" t="s">
        <v>370</v>
      </c>
      <c r="C552" s="4" t="s">
        <v>371</v>
      </c>
      <c r="D552" s="4" t="s">
        <v>372</v>
      </c>
      <c r="E552" s="4" t="s">
        <v>254</v>
      </c>
      <c r="F552" s="4" t="s">
        <v>4372</v>
      </c>
      <c r="G552" s="4" t="s">
        <v>4373</v>
      </c>
      <c r="H552" s="4" t="s">
        <v>26</v>
      </c>
      <c r="I552" s="4" t="s">
        <v>33</v>
      </c>
      <c r="J552" s="4" t="s">
        <v>27</v>
      </c>
      <c r="K552" s="4" t="s">
        <v>28</v>
      </c>
      <c r="L552" s="4" t="s">
        <v>28</v>
      </c>
      <c r="M552" s="4" t="s">
        <v>34</v>
      </c>
      <c r="N552" s="4" t="s">
        <v>28</v>
      </c>
    </row>
    <row r="553" spans="1:14" ht="14.4" thickBot="1" x14ac:dyDescent="0.35">
      <c r="A553" s="4" t="s">
        <v>19</v>
      </c>
      <c r="B553" s="4" t="s">
        <v>370</v>
      </c>
      <c r="C553" s="4" t="s">
        <v>371</v>
      </c>
      <c r="D553" s="4" t="s">
        <v>372</v>
      </c>
      <c r="E553" s="4" t="s">
        <v>254</v>
      </c>
      <c r="F553" s="4" t="s">
        <v>1040</v>
      </c>
      <c r="G553" s="4" t="s">
        <v>4374</v>
      </c>
      <c r="H553" s="4" t="s">
        <v>69</v>
      </c>
      <c r="I553" s="4" t="s">
        <v>94</v>
      </c>
      <c r="J553" s="4" t="s">
        <v>28</v>
      </c>
      <c r="K553" s="4" t="s">
        <v>27</v>
      </c>
      <c r="L553" s="4" t="s">
        <v>28</v>
      </c>
      <c r="M553" s="4" t="s">
        <v>34</v>
      </c>
      <c r="N553" s="4" t="s">
        <v>28</v>
      </c>
    </row>
    <row r="554" spans="1:14" ht="14.4" thickBot="1" x14ac:dyDescent="0.35">
      <c r="A554" s="4" t="s">
        <v>19</v>
      </c>
      <c r="B554" s="4" t="s">
        <v>370</v>
      </c>
      <c r="C554" s="4" t="s">
        <v>371</v>
      </c>
      <c r="D554" s="4" t="s">
        <v>372</v>
      </c>
      <c r="E554" s="4" t="s">
        <v>254</v>
      </c>
      <c r="F554" s="4" t="s">
        <v>4375</v>
      </c>
      <c r="G554" s="4" t="s">
        <v>4326</v>
      </c>
      <c r="H554" s="4" t="s">
        <v>26</v>
      </c>
      <c r="I554" s="4" t="s">
        <v>33</v>
      </c>
      <c r="J554" s="4" t="s">
        <v>27</v>
      </c>
      <c r="K554" s="4" t="s">
        <v>28</v>
      </c>
      <c r="L554" s="4" t="s">
        <v>28</v>
      </c>
      <c r="M554" s="4" t="s">
        <v>34</v>
      </c>
      <c r="N554" s="4" t="s">
        <v>28</v>
      </c>
    </row>
    <row r="555" spans="1:14" ht="14.4" thickBot="1" x14ac:dyDescent="0.35">
      <c r="A555" s="4" t="s">
        <v>19</v>
      </c>
      <c r="B555" s="4" t="s">
        <v>370</v>
      </c>
      <c r="C555" s="4" t="s">
        <v>371</v>
      </c>
      <c r="D555" s="4" t="s">
        <v>372</v>
      </c>
      <c r="E555" s="4" t="s">
        <v>254</v>
      </c>
      <c r="F555" s="4" t="s">
        <v>5023</v>
      </c>
      <c r="G555" s="4" t="s">
        <v>5024</v>
      </c>
      <c r="H555" s="4" t="s">
        <v>26</v>
      </c>
      <c r="I555" s="4" t="s">
        <v>26</v>
      </c>
      <c r="J555" s="4" t="s">
        <v>27</v>
      </c>
      <c r="K555" s="4" t="s">
        <v>28</v>
      </c>
      <c r="L555" s="4" t="s">
        <v>28</v>
      </c>
      <c r="M555" s="4" t="s">
        <v>29</v>
      </c>
      <c r="N555" s="4" t="s">
        <v>28</v>
      </c>
    </row>
    <row r="556" spans="1:14" ht="14.4" thickBot="1" x14ac:dyDescent="0.35">
      <c r="A556" s="4" t="s">
        <v>19</v>
      </c>
      <c r="B556" s="4" t="s">
        <v>370</v>
      </c>
      <c r="C556" s="4" t="s">
        <v>371</v>
      </c>
      <c r="D556" s="4" t="s">
        <v>372</v>
      </c>
      <c r="E556" s="4" t="s">
        <v>254</v>
      </c>
      <c r="F556" s="4" t="s">
        <v>5025</v>
      </c>
      <c r="G556" s="4" t="s">
        <v>5026</v>
      </c>
      <c r="H556" s="4" t="s">
        <v>26</v>
      </c>
      <c r="I556" s="4" t="s">
        <v>26</v>
      </c>
      <c r="J556" s="4" t="s">
        <v>27</v>
      </c>
      <c r="K556" s="4" t="s">
        <v>28</v>
      </c>
      <c r="L556" s="4" t="s">
        <v>28</v>
      </c>
      <c r="M556" s="4" t="s">
        <v>29</v>
      </c>
      <c r="N556" s="4" t="s">
        <v>28</v>
      </c>
    </row>
    <row r="557" spans="1:14" ht="14.4" thickBot="1" x14ac:dyDescent="0.35">
      <c r="A557" s="4" t="s">
        <v>19</v>
      </c>
      <c r="B557" s="4" t="s">
        <v>370</v>
      </c>
      <c r="C557" s="4" t="s">
        <v>371</v>
      </c>
      <c r="D557" s="4" t="s">
        <v>372</v>
      </c>
      <c r="E557" s="4" t="s">
        <v>254</v>
      </c>
      <c r="F557" s="4" t="s">
        <v>5027</v>
      </c>
      <c r="G557" s="4" t="s">
        <v>5028</v>
      </c>
      <c r="H557" s="4" t="s">
        <v>26</v>
      </c>
      <c r="I557" s="4" t="s">
        <v>33</v>
      </c>
      <c r="J557" s="4" t="s">
        <v>27</v>
      </c>
      <c r="K557" s="4" t="s">
        <v>28</v>
      </c>
      <c r="L557" s="4" t="s">
        <v>28</v>
      </c>
      <c r="M557" s="4" t="s">
        <v>34</v>
      </c>
      <c r="N557" s="4" t="s">
        <v>28</v>
      </c>
    </row>
    <row r="558" spans="1:14" ht="14.4" thickBot="1" x14ac:dyDescent="0.35">
      <c r="A558" s="4" t="s">
        <v>19</v>
      </c>
      <c r="B558" s="4" t="s">
        <v>370</v>
      </c>
      <c r="C558" s="4" t="s">
        <v>371</v>
      </c>
      <c r="D558" s="4" t="s">
        <v>372</v>
      </c>
      <c r="E558" s="4" t="s">
        <v>254</v>
      </c>
      <c r="F558" s="4" t="s">
        <v>5029</v>
      </c>
      <c r="G558" s="4" t="s">
        <v>5030</v>
      </c>
      <c r="H558" s="4" t="s">
        <v>26</v>
      </c>
      <c r="I558" s="4" t="s">
        <v>38</v>
      </c>
      <c r="J558" s="5"/>
      <c r="K558" s="5"/>
      <c r="L558" s="5"/>
      <c r="M558" s="4" t="s">
        <v>29</v>
      </c>
      <c r="N558" s="5"/>
    </row>
    <row r="559" spans="1:14" ht="14.4" thickBot="1" x14ac:dyDescent="0.35">
      <c r="A559" s="4" t="s">
        <v>19</v>
      </c>
      <c r="B559" s="4" t="s">
        <v>370</v>
      </c>
      <c r="C559" s="4" t="s">
        <v>371</v>
      </c>
      <c r="D559" s="4" t="s">
        <v>372</v>
      </c>
      <c r="E559" s="4" t="s">
        <v>254</v>
      </c>
      <c r="F559" s="4" t="s">
        <v>5031</v>
      </c>
      <c r="G559" s="4" t="s">
        <v>5032</v>
      </c>
      <c r="H559" s="4" t="s">
        <v>26</v>
      </c>
      <c r="I559" s="4" t="s">
        <v>33</v>
      </c>
      <c r="J559" s="4" t="s">
        <v>27</v>
      </c>
      <c r="K559" s="4" t="s">
        <v>28</v>
      </c>
      <c r="L559" s="4" t="s">
        <v>28</v>
      </c>
      <c r="M559" s="4" t="s">
        <v>34</v>
      </c>
      <c r="N559" s="4" t="s">
        <v>28</v>
      </c>
    </row>
    <row r="560" spans="1:14" ht="14.4" thickBot="1" x14ac:dyDescent="0.35">
      <c r="A560" s="4" t="s">
        <v>19</v>
      </c>
      <c r="B560" s="4" t="s">
        <v>370</v>
      </c>
      <c r="C560" s="4" t="s">
        <v>371</v>
      </c>
      <c r="D560" s="4" t="s">
        <v>372</v>
      </c>
      <c r="E560" s="4" t="s">
        <v>254</v>
      </c>
      <c r="F560" s="4" t="s">
        <v>5033</v>
      </c>
      <c r="G560" s="4" t="s">
        <v>5034</v>
      </c>
      <c r="H560" s="4" t="s">
        <v>26</v>
      </c>
      <c r="I560" s="4" t="s">
        <v>33</v>
      </c>
      <c r="J560" s="4" t="s">
        <v>27</v>
      </c>
      <c r="K560" s="4" t="s">
        <v>28</v>
      </c>
      <c r="L560" s="4" t="s">
        <v>28</v>
      </c>
      <c r="M560" s="4" t="s">
        <v>34</v>
      </c>
      <c r="N560" s="4" t="s">
        <v>28</v>
      </c>
    </row>
    <row r="561" spans="1:14" ht="14.4" thickBot="1" x14ac:dyDescent="0.35">
      <c r="A561" s="4" t="s">
        <v>19</v>
      </c>
      <c r="B561" s="4" t="s">
        <v>370</v>
      </c>
      <c r="C561" s="4" t="s">
        <v>371</v>
      </c>
      <c r="D561" s="4" t="s">
        <v>372</v>
      </c>
      <c r="E561" s="4" t="s">
        <v>254</v>
      </c>
      <c r="F561" s="4" t="s">
        <v>5035</v>
      </c>
      <c r="G561" s="4" t="s">
        <v>3720</v>
      </c>
      <c r="H561" s="4" t="s">
        <v>135</v>
      </c>
      <c r="I561" s="4" t="s">
        <v>94</v>
      </c>
      <c r="J561" s="5"/>
      <c r="K561" s="5"/>
      <c r="L561" s="5"/>
      <c r="M561" s="4" t="s">
        <v>29</v>
      </c>
      <c r="N561" s="5"/>
    </row>
    <row r="562" spans="1:14" ht="14.4" thickBot="1" x14ac:dyDescent="0.35">
      <c r="A562" s="4" t="s">
        <v>19</v>
      </c>
      <c r="B562" s="4" t="s">
        <v>370</v>
      </c>
      <c r="C562" s="4" t="s">
        <v>371</v>
      </c>
      <c r="D562" s="4" t="s">
        <v>372</v>
      </c>
      <c r="E562" s="4" t="s">
        <v>254</v>
      </c>
      <c r="F562" s="4" t="s">
        <v>5036</v>
      </c>
      <c r="G562" s="4" t="s">
        <v>5037</v>
      </c>
      <c r="H562" s="4" t="s">
        <v>135</v>
      </c>
      <c r="I562" s="4" t="s">
        <v>38</v>
      </c>
      <c r="J562" s="4" t="s">
        <v>28</v>
      </c>
      <c r="K562" s="4" t="s">
        <v>28</v>
      </c>
      <c r="L562" s="4" t="s">
        <v>27</v>
      </c>
      <c r="M562" s="4" t="s">
        <v>34</v>
      </c>
      <c r="N562" s="4" t="s">
        <v>27</v>
      </c>
    </row>
    <row r="563" spans="1:14" ht="14.4" thickBot="1" x14ac:dyDescent="0.35">
      <c r="A563" s="4" t="s">
        <v>19</v>
      </c>
      <c r="B563" s="4" t="s">
        <v>370</v>
      </c>
      <c r="C563" s="4" t="s">
        <v>371</v>
      </c>
      <c r="D563" s="4" t="s">
        <v>372</v>
      </c>
      <c r="E563" s="4" t="s">
        <v>254</v>
      </c>
      <c r="F563" s="4" t="s">
        <v>5038</v>
      </c>
      <c r="G563" s="4" t="s">
        <v>5039</v>
      </c>
      <c r="H563" s="4" t="s">
        <v>37</v>
      </c>
      <c r="I563" s="4" t="s">
        <v>38</v>
      </c>
      <c r="J563" s="4" t="s">
        <v>28</v>
      </c>
      <c r="K563" s="4" t="s">
        <v>28</v>
      </c>
      <c r="L563" s="4" t="s">
        <v>27</v>
      </c>
      <c r="M563" s="4" t="s">
        <v>34</v>
      </c>
      <c r="N563" s="4" t="s">
        <v>28</v>
      </c>
    </row>
    <row r="564" spans="1:14" ht="14.4" thickBot="1" x14ac:dyDescent="0.35">
      <c r="A564" s="4" t="s">
        <v>19</v>
      </c>
      <c r="B564" s="4" t="s">
        <v>370</v>
      </c>
      <c r="C564" s="4" t="s">
        <v>371</v>
      </c>
      <c r="D564" s="4" t="s">
        <v>372</v>
      </c>
      <c r="E564" s="4" t="s">
        <v>254</v>
      </c>
      <c r="F564" s="4" t="s">
        <v>5040</v>
      </c>
      <c r="G564" s="4" t="s">
        <v>5041</v>
      </c>
      <c r="H564" s="4" t="s">
        <v>26</v>
      </c>
      <c r="I564" s="4" t="s">
        <v>33</v>
      </c>
      <c r="J564" s="4" t="s">
        <v>27</v>
      </c>
      <c r="K564" s="4" t="s">
        <v>28</v>
      </c>
      <c r="L564" s="4" t="s">
        <v>28</v>
      </c>
      <c r="M564" s="4" t="s">
        <v>34</v>
      </c>
      <c r="N564" s="4" t="s">
        <v>28</v>
      </c>
    </row>
    <row r="565" spans="1:14" ht="14.4" thickBot="1" x14ac:dyDescent="0.35">
      <c r="A565" s="4" t="s">
        <v>19</v>
      </c>
      <c r="B565" s="4" t="s">
        <v>370</v>
      </c>
      <c r="C565" s="4" t="s">
        <v>371</v>
      </c>
      <c r="D565" s="4" t="s">
        <v>372</v>
      </c>
      <c r="E565" s="4" t="s">
        <v>254</v>
      </c>
      <c r="F565" s="4" t="s">
        <v>5723</v>
      </c>
      <c r="G565" s="4" t="s">
        <v>5724</v>
      </c>
      <c r="H565" s="4" t="s">
        <v>26</v>
      </c>
      <c r="I565" s="4" t="s">
        <v>135</v>
      </c>
      <c r="J565" s="4" t="s">
        <v>27</v>
      </c>
      <c r="K565" s="4" t="s">
        <v>28</v>
      </c>
      <c r="L565" s="4" t="s">
        <v>28</v>
      </c>
      <c r="M565" s="4" t="s">
        <v>29</v>
      </c>
      <c r="N565" s="4" t="s">
        <v>28</v>
      </c>
    </row>
    <row r="566" spans="1:14" ht="14.4" thickBot="1" x14ac:dyDescent="0.35">
      <c r="A566" s="4" t="s">
        <v>19</v>
      </c>
      <c r="B566" s="4" t="s">
        <v>370</v>
      </c>
      <c r="C566" s="4" t="s">
        <v>371</v>
      </c>
      <c r="D566" s="4" t="s">
        <v>372</v>
      </c>
      <c r="E566" s="4" t="s">
        <v>254</v>
      </c>
      <c r="F566" s="4" t="s">
        <v>5725</v>
      </c>
      <c r="G566" s="4" t="s">
        <v>5726</v>
      </c>
      <c r="H566" s="4" t="s">
        <v>26</v>
      </c>
      <c r="I566" s="4" t="s">
        <v>26</v>
      </c>
      <c r="J566" s="4" t="s">
        <v>27</v>
      </c>
      <c r="K566" s="4" t="s">
        <v>28</v>
      </c>
      <c r="L566" s="4" t="s">
        <v>28</v>
      </c>
      <c r="M566" s="4" t="s">
        <v>29</v>
      </c>
      <c r="N566" s="4" t="s">
        <v>28</v>
      </c>
    </row>
    <row r="567" spans="1:14" ht="14.4" thickBot="1" x14ac:dyDescent="0.35">
      <c r="A567" s="4" t="s">
        <v>19</v>
      </c>
      <c r="B567" s="4" t="s">
        <v>370</v>
      </c>
      <c r="C567" s="4" t="s">
        <v>371</v>
      </c>
      <c r="D567" s="4" t="s">
        <v>372</v>
      </c>
      <c r="E567" s="4" t="s">
        <v>254</v>
      </c>
      <c r="F567" s="4" t="s">
        <v>5727</v>
      </c>
      <c r="G567" s="4" t="s">
        <v>5728</v>
      </c>
      <c r="H567" s="4" t="s">
        <v>190</v>
      </c>
      <c r="I567" s="4" t="s">
        <v>26</v>
      </c>
      <c r="J567" s="4" t="s">
        <v>27</v>
      </c>
      <c r="K567" s="4" t="s">
        <v>28</v>
      </c>
      <c r="L567" s="4" t="s">
        <v>28</v>
      </c>
      <c r="M567" s="4" t="s">
        <v>130</v>
      </c>
      <c r="N567" s="4" t="s">
        <v>28</v>
      </c>
    </row>
    <row r="568" spans="1:14" ht="14.4" thickBot="1" x14ac:dyDescent="0.35">
      <c r="A568" s="4" t="s">
        <v>19</v>
      </c>
      <c r="B568" s="4" t="s">
        <v>370</v>
      </c>
      <c r="C568" s="4" t="s">
        <v>371</v>
      </c>
      <c r="D568" s="4" t="s">
        <v>372</v>
      </c>
      <c r="E568" s="4" t="s">
        <v>254</v>
      </c>
      <c r="F568" s="4" t="s">
        <v>5729</v>
      </c>
      <c r="G568" s="4" t="s">
        <v>5730</v>
      </c>
      <c r="H568" s="4" t="s">
        <v>26</v>
      </c>
      <c r="I568" s="4" t="s">
        <v>26</v>
      </c>
      <c r="J568" s="4" t="s">
        <v>27</v>
      </c>
      <c r="K568" s="4" t="s">
        <v>28</v>
      </c>
      <c r="L568" s="4" t="s">
        <v>28</v>
      </c>
      <c r="M568" s="4" t="s">
        <v>29</v>
      </c>
      <c r="N568" s="4" t="s">
        <v>28</v>
      </c>
    </row>
    <row r="569" spans="1:14" ht="14.4" thickBot="1" x14ac:dyDescent="0.35">
      <c r="A569" s="4" t="s">
        <v>19</v>
      </c>
      <c r="B569" s="4" t="s">
        <v>370</v>
      </c>
      <c r="C569" s="4" t="s">
        <v>371</v>
      </c>
      <c r="D569" s="4" t="s">
        <v>372</v>
      </c>
      <c r="E569" s="4" t="s">
        <v>254</v>
      </c>
      <c r="F569" s="4" t="s">
        <v>5731</v>
      </c>
      <c r="G569" s="4" t="s">
        <v>5732</v>
      </c>
      <c r="H569" s="4" t="s">
        <v>26</v>
      </c>
      <c r="I569" s="4" t="s">
        <v>94</v>
      </c>
      <c r="J569" s="4" t="s">
        <v>27</v>
      </c>
      <c r="K569" s="4" t="s">
        <v>28</v>
      </c>
      <c r="L569" s="4" t="s">
        <v>28</v>
      </c>
      <c r="M569" s="4" t="s">
        <v>34</v>
      </c>
      <c r="N569" s="4" t="s">
        <v>28</v>
      </c>
    </row>
    <row r="570" spans="1:14" ht="14.4" thickBot="1" x14ac:dyDescent="0.35">
      <c r="A570" s="4" t="s">
        <v>19</v>
      </c>
      <c r="B570" s="4" t="s">
        <v>370</v>
      </c>
      <c r="C570" s="4" t="s">
        <v>371</v>
      </c>
      <c r="D570" s="4" t="s">
        <v>372</v>
      </c>
      <c r="E570" s="4" t="s">
        <v>254</v>
      </c>
      <c r="F570" s="4" t="s">
        <v>5733</v>
      </c>
      <c r="G570" s="4" t="s">
        <v>5734</v>
      </c>
      <c r="H570" s="4" t="s">
        <v>26</v>
      </c>
      <c r="I570" s="4" t="s">
        <v>94</v>
      </c>
      <c r="J570" s="4" t="s">
        <v>27</v>
      </c>
      <c r="K570" s="4" t="s">
        <v>28</v>
      </c>
      <c r="L570" s="4" t="s">
        <v>28</v>
      </c>
      <c r="M570" s="4" t="s">
        <v>34</v>
      </c>
      <c r="N570" s="4" t="s">
        <v>27</v>
      </c>
    </row>
    <row r="571" spans="1:14" ht="14.4" thickBot="1" x14ac:dyDescent="0.35">
      <c r="A571" s="4" t="s">
        <v>19</v>
      </c>
      <c r="B571" s="4" t="s">
        <v>370</v>
      </c>
      <c r="C571" s="4" t="s">
        <v>371</v>
      </c>
      <c r="D571" s="4" t="s">
        <v>372</v>
      </c>
      <c r="E571" s="4" t="s">
        <v>254</v>
      </c>
      <c r="F571" s="4" t="s">
        <v>5735</v>
      </c>
      <c r="G571" s="4" t="s">
        <v>5736</v>
      </c>
      <c r="H571" s="4" t="s">
        <v>26</v>
      </c>
      <c r="I571" s="4" t="s">
        <v>26</v>
      </c>
      <c r="J571" s="5"/>
      <c r="K571" s="5"/>
      <c r="L571" s="5"/>
      <c r="M571" s="4" t="s">
        <v>130</v>
      </c>
      <c r="N571" s="5"/>
    </row>
    <row r="572" spans="1:14" ht="14.4" thickBot="1" x14ac:dyDescent="0.35">
      <c r="A572" s="4" t="s">
        <v>19</v>
      </c>
      <c r="B572" s="4" t="s">
        <v>370</v>
      </c>
      <c r="C572" s="4" t="s">
        <v>371</v>
      </c>
      <c r="D572" s="4" t="s">
        <v>372</v>
      </c>
      <c r="E572" s="4" t="s">
        <v>254</v>
      </c>
      <c r="F572" s="4" t="s">
        <v>5737</v>
      </c>
      <c r="G572" s="4" t="s">
        <v>5738</v>
      </c>
      <c r="H572" s="4" t="s">
        <v>26</v>
      </c>
      <c r="I572" s="4" t="s">
        <v>94</v>
      </c>
      <c r="J572" s="5"/>
      <c r="K572" s="5"/>
      <c r="L572" s="5"/>
      <c r="M572" s="4" t="s">
        <v>29</v>
      </c>
      <c r="N572" s="5"/>
    </row>
    <row r="573" spans="1:14" ht="14.4" thickBot="1" x14ac:dyDescent="0.35">
      <c r="A573" s="4" t="s">
        <v>19</v>
      </c>
      <c r="B573" s="4" t="s">
        <v>370</v>
      </c>
      <c r="C573" s="4" t="s">
        <v>371</v>
      </c>
      <c r="D573" s="4" t="s">
        <v>372</v>
      </c>
      <c r="E573" s="4" t="s">
        <v>254</v>
      </c>
      <c r="F573" s="4" t="s">
        <v>5739</v>
      </c>
      <c r="G573" s="4" t="s">
        <v>5740</v>
      </c>
      <c r="H573" s="4" t="s">
        <v>26</v>
      </c>
      <c r="I573" s="4" t="s">
        <v>135</v>
      </c>
      <c r="J573" s="5"/>
      <c r="K573" s="5"/>
      <c r="L573" s="5"/>
      <c r="M573" s="4" t="s">
        <v>29</v>
      </c>
      <c r="N573" s="5"/>
    </row>
    <row r="574" spans="1:14" ht="14.4" thickBot="1" x14ac:dyDescent="0.35">
      <c r="A574" s="4" t="s">
        <v>19</v>
      </c>
      <c r="B574" s="4" t="s">
        <v>370</v>
      </c>
      <c r="C574" s="4" t="s">
        <v>371</v>
      </c>
      <c r="D574" s="4" t="s">
        <v>372</v>
      </c>
      <c r="E574" s="4" t="s">
        <v>254</v>
      </c>
      <c r="F574" s="4" t="s">
        <v>5741</v>
      </c>
      <c r="G574" s="4" t="s">
        <v>5742</v>
      </c>
      <c r="H574" s="4" t="s">
        <v>26</v>
      </c>
      <c r="I574" s="4" t="s">
        <v>33</v>
      </c>
      <c r="J574" s="4" t="s">
        <v>27</v>
      </c>
      <c r="K574" s="4" t="s">
        <v>28</v>
      </c>
      <c r="L574" s="4" t="s">
        <v>28</v>
      </c>
      <c r="M574" s="4" t="s">
        <v>34</v>
      </c>
      <c r="N574" s="4" t="s">
        <v>28</v>
      </c>
    </row>
    <row r="575" spans="1:14" ht="14.4" thickBot="1" x14ac:dyDescent="0.35">
      <c r="A575" s="4" t="s">
        <v>19</v>
      </c>
      <c r="B575" s="4" t="s">
        <v>370</v>
      </c>
      <c r="C575" s="4" t="s">
        <v>371</v>
      </c>
      <c r="D575" s="4" t="s">
        <v>372</v>
      </c>
      <c r="E575" s="4" t="s">
        <v>254</v>
      </c>
      <c r="F575" s="4" t="s">
        <v>5743</v>
      </c>
      <c r="G575" s="4" t="s">
        <v>5744</v>
      </c>
      <c r="H575" s="4" t="s">
        <v>26</v>
      </c>
      <c r="I575" s="4" t="s">
        <v>33</v>
      </c>
      <c r="J575" s="4" t="s">
        <v>27</v>
      </c>
      <c r="K575" s="4" t="s">
        <v>28</v>
      </c>
      <c r="L575" s="4" t="s">
        <v>28</v>
      </c>
      <c r="M575" s="4" t="s">
        <v>34</v>
      </c>
      <c r="N575" s="4" t="s">
        <v>28</v>
      </c>
    </row>
    <row r="576" spans="1:14" ht="14.4" thickBot="1" x14ac:dyDescent="0.35">
      <c r="A576" s="4" t="s">
        <v>19</v>
      </c>
      <c r="B576" s="4" t="s">
        <v>370</v>
      </c>
      <c r="C576" s="4" t="s">
        <v>749</v>
      </c>
      <c r="D576" s="4" t="s">
        <v>750</v>
      </c>
      <c r="E576" s="4" t="s">
        <v>254</v>
      </c>
      <c r="F576" s="4" t="s">
        <v>751</v>
      </c>
      <c r="G576" s="4" t="s">
        <v>752</v>
      </c>
      <c r="H576" s="4" t="s">
        <v>26</v>
      </c>
      <c r="I576" s="4" t="s">
        <v>26</v>
      </c>
      <c r="J576" s="4" t="s">
        <v>27</v>
      </c>
      <c r="K576" s="4" t="s">
        <v>28</v>
      </c>
      <c r="L576" s="4" t="s">
        <v>28</v>
      </c>
      <c r="M576" s="4" t="s">
        <v>34</v>
      </c>
      <c r="N576" s="4" t="s">
        <v>28</v>
      </c>
    </row>
    <row r="577" spans="1:14" ht="14.4" thickBot="1" x14ac:dyDescent="0.35">
      <c r="A577" s="4" t="s">
        <v>19</v>
      </c>
      <c r="B577" s="4" t="s">
        <v>370</v>
      </c>
      <c r="C577" s="4" t="s">
        <v>749</v>
      </c>
      <c r="D577" s="4" t="s">
        <v>750</v>
      </c>
      <c r="E577" s="4" t="s">
        <v>254</v>
      </c>
      <c r="F577" s="4" t="s">
        <v>753</v>
      </c>
      <c r="G577" s="4" t="s">
        <v>754</v>
      </c>
      <c r="H577" s="4" t="s">
        <v>26</v>
      </c>
      <c r="I577" s="4" t="s">
        <v>33</v>
      </c>
      <c r="J577" s="4" t="s">
        <v>27</v>
      </c>
      <c r="K577" s="4" t="s">
        <v>28</v>
      </c>
      <c r="L577" s="4" t="s">
        <v>28</v>
      </c>
      <c r="M577" s="4" t="s">
        <v>34</v>
      </c>
      <c r="N577" s="4" t="s">
        <v>28</v>
      </c>
    </row>
    <row r="578" spans="1:14" ht="14.4" thickBot="1" x14ac:dyDescent="0.35">
      <c r="A578" s="4" t="s">
        <v>19</v>
      </c>
      <c r="B578" s="4" t="s">
        <v>370</v>
      </c>
      <c r="C578" s="4" t="s">
        <v>749</v>
      </c>
      <c r="D578" s="4" t="s">
        <v>750</v>
      </c>
      <c r="E578" s="4" t="s">
        <v>254</v>
      </c>
      <c r="F578" s="4" t="s">
        <v>755</v>
      </c>
      <c r="G578" s="4" t="s">
        <v>756</v>
      </c>
      <c r="H578" s="4" t="s">
        <v>26</v>
      </c>
      <c r="I578" s="4" t="s">
        <v>33</v>
      </c>
      <c r="J578" s="4" t="s">
        <v>27</v>
      </c>
      <c r="K578" s="4" t="s">
        <v>28</v>
      </c>
      <c r="L578" s="4" t="s">
        <v>28</v>
      </c>
      <c r="M578" s="4" t="s">
        <v>34</v>
      </c>
      <c r="N578" s="4" t="s">
        <v>28</v>
      </c>
    </row>
    <row r="579" spans="1:14" ht="14.4" thickBot="1" x14ac:dyDescent="0.35">
      <c r="A579" s="4" t="s">
        <v>19</v>
      </c>
      <c r="B579" s="4" t="s">
        <v>370</v>
      </c>
      <c r="C579" s="4" t="s">
        <v>749</v>
      </c>
      <c r="D579" s="4" t="s">
        <v>750</v>
      </c>
      <c r="E579" s="4" t="s">
        <v>254</v>
      </c>
      <c r="F579" s="4" t="s">
        <v>757</v>
      </c>
      <c r="G579" s="4" t="s">
        <v>758</v>
      </c>
      <c r="H579" s="4" t="s">
        <v>135</v>
      </c>
      <c r="I579" s="4" t="s">
        <v>33</v>
      </c>
      <c r="J579" s="4" t="s">
        <v>27</v>
      </c>
      <c r="K579" s="4" t="s">
        <v>28</v>
      </c>
      <c r="L579" s="4" t="s">
        <v>28</v>
      </c>
      <c r="M579" s="4" t="s">
        <v>34</v>
      </c>
      <c r="N579" s="4" t="s">
        <v>28</v>
      </c>
    </row>
    <row r="580" spans="1:14" ht="14.4" thickBot="1" x14ac:dyDescent="0.35">
      <c r="A580" s="4" t="s">
        <v>19</v>
      </c>
      <c r="B580" s="4" t="s">
        <v>370</v>
      </c>
      <c r="C580" s="4" t="s">
        <v>749</v>
      </c>
      <c r="D580" s="4" t="s">
        <v>750</v>
      </c>
      <c r="E580" s="4" t="s">
        <v>254</v>
      </c>
      <c r="F580" s="4" t="s">
        <v>759</v>
      </c>
      <c r="G580" s="4" t="s">
        <v>760</v>
      </c>
      <c r="H580" s="4" t="s">
        <v>135</v>
      </c>
      <c r="I580" s="4" t="s">
        <v>94</v>
      </c>
      <c r="J580" s="4" t="s">
        <v>27</v>
      </c>
      <c r="K580" s="4" t="s">
        <v>28</v>
      </c>
      <c r="L580" s="4" t="s">
        <v>28</v>
      </c>
      <c r="M580" s="4" t="s">
        <v>34</v>
      </c>
      <c r="N580" s="4" t="s">
        <v>27</v>
      </c>
    </row>
    <row r="581" spans="1:14" ht="14.4" thickBot="1" x14ac:dyDescent="0.35">
      <c r="A581" s="4" t="s">
        <v>19</v>
      </c>
      <c r="B581" s="4" t="s">
        <v>370</v>
      </c>
      <c r="C581" s="4" t="s">
        <v>749</v>
      </c>
      <c r="D581" s="4" t="s">
        <v>750</v>
      </c>
      <c r="E581" s="4" t="s">
        <v>254</v>
      </c>
      <c r="F581" s="4" t="s">
        <v>761</v>
      </c>
      <c r="G581" s="4" t="s">
        <v>762</v>
      </c>
      <c r="H581" s="4" t="s">
        <v>135</v>
      </c>
      <c r="I581" s="4" t="s">
        <v>33</v>
      </c>
      <c r="J581" s="4" t="s">
        <v>27</v>
      </c>
      <c r="K581" s="4" t="s">
        <v>28</v>
      </c>
      <c r="L581" s="4" t="s">
        <v>28</v>
      </c>
      <c r="M581" s="4" t="s">
        <v>34</v>
      </c>
      <c r="N581" s="4" t="s">
        <v>28</v>
      </c>
    </row>
    <row r="582" spans="1:14" ht="14.4" thickBot="1" x14ac:dyDescent="0.35">
      <c r="A582" s="4" t="s">
        <v>19</v>
      </c>
      <c r="B582" s="4" t="s">
        <v>370</v>
      </c>
      <c r="C582" s="4" t="s">
        <v>749</v>
      </c>
      <c r="D582" s="4" t="s">
        <v>750</v>
      </c>
      <c r="E582" s="4" t="s">
        <v>254</v>
      </c>
      <c r="F582" s="4" t="s">
        <v>763</v>
      </c>
      <c r="G582" s="4" t="s">
        <v>764</v>
      </c>
      <c r="H582" s="4" t="s">
        <v>135</v>
      </c>
      <c r="I582" s="4" t="s">
        <v>33</v>
      </c>
      <c r="J582" s="4" t="s">
        <v>27</v>
      </c>
      <c r="K582" s="4" t="s">
        <v>28</v>
      </c>
      <c r="L582" s="4" t="s">
        <v>28</v>
      </c>
      <c r="M582" s="4" t="s">
        <v>34</v>
      </c>
      <c r="N582" s="4" t="s">
        <v>28</v>
      </c>
    </row>
    <row r="583" spans="1:14" ht="14.4" thickBot="1" x14ac:dyDescent="0.35">
      <c r="A583" s="4" t="s">
        <v>19</v>
      </c>
      <c r="B583" s="4" t="s">
        <v>370</v>
      </c>
      <c r="C583" s="4" t="s">
        <v>749</v>
      </c>
      <c r="D583" s="4" t="s">
        <v>750</v>
      </c>
      <c r="E583" s="4" t="s">
        <v>254</v>
      </c>
      <c r="F583" s="4" t="s">
        <v>765</v>
      </c>
      <c r="G583" s="4" t="s">
        <v>766</v>
      </c>
      <c r="H583" s="4" t="s">
        <v>135</v>
      </c>
      <c r="I583" s="4" t="s">
        <v>33</v>
      </c>
      <c r="J583" s="4" t="s">
        <v>27</v>
      </c>
      <c r="K583" s="4" t="s">
        <v>28</v>
      </c>
      <c r="L583" s="4" t="s">
        <v>28</v>
      </c>
      <c r="M583" s="4" t="s">
        <v>34</v>
      </c>
      <c r="N583" s="4" t="s">
        <v>28</v>
      </c>
    </row>
    <row r="584" spans="1:14" ht="14.4" thickBot="1" x14ac:dyDescent="0.35">
      <c r="A584" s="4" t="s">
        <v>19</v>
      </c>
      <c r="B584" s="4" t="s">
        <v>370</v>
      </c>
      <c r="C584" s="4" t="s">
        <v>749</v>
      </c>
      <c r="D584" s="4" t="s">
        <v>750</v>
      </c>
      <c r="E584" s="4" t="s">
        <v>254</v>
      </c>
      <c r="F584" s="4" t="s">
        <v>936</v>
      </c>
      <c r="G584" s="4" t="s">
        <v>937</v>
      </c>
      <c r="H584" s="4" t="s">
        <v>26</v>
      </c>
      <c r="I584" s="4" t="s">
        <v>26</v>
      </c>
      <c r="J584" s="4" t="s">
        <v>27</v>
      </c>
      <c r="K584" s="4" t="s">
        <v>28</v>
      </c>
      <c r="L584" s="4" t="s">
        <v>28</v>
      </c>
      <c r="M584" s="4" t="s">
        <v>29</v>
      </c>
      <c r="N584" s="4" t="s">
        <v>28</v>
      </c>
    </row>
    <row r="585" spans="1:14" ht="14.4" thickBot="1" x14ac:dyDescent="0.35">
      <c r="A585" s="4" t="s">
        <v>19</v>
      </c>
      <c r="B585" s="4" t="s">
        <v>370</v>
      </c>
      <c r="C585" s="4" t="s">
        <v>749</v>
      </c>
      <c r="D585" s="4" t="s">
        <v>750</v>
      </c>
      <c r="E585" s="4" t="s">
        <v>254</v>
      </c>
      <c r="F585" s="4" t="s">
        <v>938</v>
      </c>
      <c r="G585" s="4" t="s">
        <v>939</v>
      </c>
      <c r="H585" s="4" t="s">
        <v>26</v>
      </c>
      <c r="I585" s="4" t="s">
        <v>135</v>
      </c>
      <c r="J585" s="4" t="s">
        <v>27</v>
      </c>
      <c r="K585" s="4" t="s">
        <v>28</v>
      </c>
      <c r="L585" s="4" t="s">
        <v>28</v>
      </c>
      <c r="M585" s="4" t="s">
        <v>29</v>
      </c>
      <c r="N585" s="4" t="s">
        <v>28</v>
      </c>
    </row>
    <row r="586" spans="1:14" ht="14.4" thickBot="1" x14ac:dyDescent="0.35">
      <c r="A586" s="4" t="s">
        <v>19</v>
      </c>
      <c r="B586" s="4" t="s">
        <v>370</v>
      </c>
      <c r="C586" s="4" t="s">
        <v>749</v>
      </c>
      <c r="D586" s="4" t="s">
        <v>750</v>
      </c>
      <c r="E586" s="4" t="s">
        <v>254</v>
      </c>
      <c r="F586" s="4" t="s">
        <v>940</v>
      </c>
      <c r="G586" s="4" t="s">
        <v>941</v>
      </c>
      <c r="H586" s="4" t="s">
        <v>26</v>
      </c>
      <c r="I586" s="4" t="s">
        <v>26</v>
      </c>
      <c r="J586" s="4" t="s">
        <v>27</v>
      </c>
      <c r="K586" s="4" t="s">
        <v>28</v>
      </c>
      <c r="L586" s="4" t="s">
        <v>28</v>
      </c>
      <c r="M586" s="4" t="s">
        <v>29</v>
      </c>
      <c r="N586" s="4" t="s">
        <v>28</v>
      </c>
    </row>
    <row r="587" spans="1:14" ht="14.4" thickBot="1" x14ac:dyDescent="0.35">
      <c r="A587" s="4" t="s">
        <v>19</v>
      </c>
      <c r="B587" s="4" t="s">
        <v>370</v>
      </c>
      <c r="C587" s="4" t="s">
        <v>749</v>
      </c>
      <c r="D587" s="4" t="s">
        <v>750</v>
      </c>
      <c r="E587" s="4" t="s">
        <v>254</v>
      </c>
      <c r="F587" s="4" t="s">
        <v>942</v>
      </c>
      <c r="G587" s="4" t="s">
        <v>943</v>
      </c>
      <c r="H587" s="4" t="s">
        <v>26</v>
      </c>
      <c r="I587" s="4" t="s">
        <v>26</v>
      </c>
      <c r="J587" s="4" t="s">
        <v>27</v>
      </c>
      <c r="K587" s="4" t="s">
        <v>28</v>
      </c>
      <c r="L587" s="4" t="s">
        <v>28</v>
      </c>
      <c r="M587" s="4" t="s">
        <v>29</v>
      </c>
      <c r="N587" s="4" t="s">
        <v>28</v>
      </c>
    </row>
    <row r="588" spans="1:14" ht="14.4" thickBot="1" x14ac:dyDescent="0.35">
      <c r="A588" s="4" t="s">
        <v>19</v>
      </c>
      <c r="B588" s="4" t="s">
        <v>370</v>
      </c>
      <c r="C588" s="4" t="s">
        <v>749</v>
      </c>
      <c r="D588" s="4" t="s">
        <v>750</v>
      </c>
      <c r="E588" s="4" t="s">
        <v>254</v>
      </c>
      <c r="F588" s="4" t="s">
        <v>944</v>
      </c>
      <c r="G588" s="4" t="s">
        <v>945</v>
      </c>
      <c r="H588" s="4" t="s">
        <v>26</v>
      </c>
      <c r="I588" s="4" t="s">
        <v>26</v>
      </c>
      <c r="J588" s="5"/>
      <c r="K588" s="5"/>
      <c r="L588" s="5"/>
      <c r="M588" s="4" t="s">
        <v>29</v>
      </c>
      <c r="N588" s="5"/>
    </row>
    <row r="589" spans="1:14" ht="14.4" thickBot="1" x14ac:dyDescent="0.35">
      <c r="A589" s="4" t="s">
        <v>19</v>
      </c>
      <c r="B589" s="4" t="s">
        <v>370</v>
      </c>
      <c r="C589" s="4" t="s">
        <v>749</v>
      </c>
      <c r="D589" s="4" t="s">
        <v>750</v>
      </c>
      <c r="E589" s="4" t="s">
        <v>254</v>
      </c>
      <c r="F589" s="4" t="s">
        <v>946</v>
      </c>
      <c r="G589" s="4" t="s">
        <v>947</v>
      </c>
      <c r="H589" s="4" t="s">
        <v>26</v>
      </c>
      <c r="I589" s="4" t="s">
        <v>135</v>
      </c>
      <c r="J589" s="5"/>
      <c r="K589" s="5"/>
      <c r="L589" s="5"/>
      <c r="M589" s="4" t="s">
        <v>29</v>
      </c>
      <c r="N589" s="5"/>
    </row>
    <row r="590" spans="1:14" ht="14.4" thickBot="1" x14ac:dyDescent="0.35">
      <c r="A590" s="4" t="s">
        <v>19</v>
      </c>
      <c r="B590" s="4" t="s">
        <v>370</v>
      </c>
      <c r="C590" s="4" t="s">
        <v>749</v>
      </c>
      <c r="D590" s="4" t="s">
        <v>750</v>
      </c>
      <c r="E590" s="4" t="s">
        <v>254</v>
      </c>
      <c r="F590" s="4" t="s">
        <v>948</v>
      </c>
      <c r="G590" s="4" t="s">
        <v>949</v>
      </c>
      <c r="H590" s="4" t="s">
        <v>26</v>
      </c>
      <c r="I590" s="4" t="s">
        <v>26</v>
      </c>
      <c r="J590" s="5"/>
      <c r="K590" s="5"/>
      <c r="L590" s="5"/>
      <c r="M590" s="4" t="s">
        <v>29</v>
      </c>
      <c r="N590" s="5"/>
    </row>
    <row r="591" spans="1:14" ht="14.4" thickBot="1" x14ac:dyDescent="0.35">
      <c r="A591" s="4" t="s">
        <v>19</v>
      </c>
      <c r="B591" s="4" t="s">
        <v>370</v>
      </c>
      <c r="C591" s="4" t="s">
        <v>749</v>
      </c>
      <c r="D591" s="4" t="s">
        <v>750</v>
      </c>
      <c r="E591" s="4" t="s">
        <v>254</v>
      </c>
      <c r="F591" s="4" t="s">
        <v>950</v>
      </c>
      <c r="G591" s="4" t="s">
        <v>951</v>
      </c>
      <c r="H591" s="4" t="s">
        <v>26</v>
      </c>
      <c r="I591" s="4" t="s">
        <v>69</v>
      </c>
      <c r="J591" s="4" t="s">
        <v>27</v>
      </c>
      <c r="K591" s="4" t="s">
        <v>28</v>
      </c>
      <c r="L591" s="4" t="s">
        <v>28</v>
      </c>
      <c r="M591" s="4" t="s">
        <v>29</v>
      </c>
      <c r="N591" s="4" t="s">
        <v>28</v>
      </c>
    </row>
    <row r="592" spans="1:14" ht="14.4" thickBot="1" x14ac:dyDescent="0.35">
      <c r="A592" s="4" t="s">
        <v>19</v>
      </c>
      <c r="B592" s="4" t="s">
        <v>370</v>
      </c>
      <c r="C592" s="4" t="s">
        <v>749</v>
      </c>
      <c r="D592" s="4" t="s">
        <v>750</v>
      </c>
      <c r="E592" s="4" t="s">
        <v>254</v>
      </c>
      <c r="F592" s="4" t="s">
        <v>952</v>
      </c>
      <c r="G592" s="4" t="s">
        <v>953</v>
      </c>
      <c r="H592" s="4" t="s">
        <v>135</v>
      </c>
      <c r="I592" s="4" t="s">
        <v>38</v>
      </c>
      <c r="J592" s="5"/>
      <c r="K592" s="5"/>
      <c r="L592" s="5"/>
      <c r="M592" s="4" t="s">
        <v>29</v>
      </c>
      <c r="N592" s="5"/>
    </row>
    <row r="593" spans="1:14" ht="14.4" thickBot="1" x14ac:dyDescent="0.35">
      <c r="A593" s="4" t="s">
        <v>19</v>
      </c>
      <c r="B593" s="4" t="s">
        <v>370</v>
      </c>
      <c r="C593" s="4" t="s">
        <v>749</v>
      </c>
      <c r="D593" s="4" t="s">
        <v>750</v>
      </c>
      <c r="E593" s="4" t="s">
        <v>254</v>
      </c>
      <c r="F593" s="4" t="s">
        <v>1662</v>
      </c>
      <c r="G593" s="4" t="s">
        <v>1663</v>
      </c>
      <c r="H593" s="4" t="s">
        <v>26</v>
      </c>
      <c r="I593" s="4" t="s">
        <v>33</v>
      </c>
      <c r="J593" s="4" t="s">
        <v>27</v>
      </c>
      <c r="K593" s="4" t="s">
        <v>28</v>
      </c>
      <c r="L593" s="4" t="s">
        <v>28</v>
      </c>
      <c r="M593" s="4" t="s">
        <v>34</v>
      </c>
      <c r="N593" s="4" t="s">
        <v>28</v>
      </c>
    </row>
    <row r="594" spans="1:14" ht="14.4" thickBot="1" x14ac:dyDescent="0.35">
      <c r="A594" s="4" t="s">
        <v>19</v>
      </c>
      <c r="B594" s="4" t="s">
        <v>370</v>
      </c>
      <c r="C594" s="4" t="s">
        <v>749</v>
      </c>
      <c r="D594" s="4" t="s">
        <v>750</v>
      </c>
      <c r="E594" s="4" t="s">
        <v>254</v>
      </c>
      <c r="F594" s="4" t="s">
        <v>1664</v>
      </c>
      <c r="G594" s="4" t="s">
        <v>1665</v>
      </c>
      <c r="H594" s="4" t="s">
        <v>69</v>
      </c>
      <c r="I594" s="4" t="s">
        <v>94</v>
      </c>
      <c r="J594" s="4" t="s">
        <v>28</v>
      </c>
      <c r="K594" s="4" t="s">
        <v>27</v>
      </c>
      <c r="L594" s="4" t="s">
        <v>28</v>
      </c>
      <c r="M594" s="4" t="s">
        <v>34</v>
      </c>
      <c r="N594" s="4" t="s">
        <v>28</v>
      </c>
    </row>
    <row r="595" spans="1:14" ht="14.4" thickBot="1" x14ac:dyDescent="0.35">
      <c r="A595" s="4" t="s">
        <v>19</v>
      </c>
      <c r="B595" s="4" t="s">
        <v>370</v>
      </c>
      <c r="C595" s="4" t="s">
        <v>749</v>
      </c>
      <c r="D595" s="4" t="s">
        <v>750</v>
      </c>
      <c r="E595" s="4" t="s">
        <v>254</v>
      </c>
      <c r="F595" s="4" t="s">
        <v>1666</v>
      </c>
      <c r="G595" s="4" t="s">
        <v>1667</v>
      </c>
      <c r="H595" s="4" t="s">
        <v>26</v>
      </c>
      <c r="I595" s="4" t="s">
        <v>33</v>
      </c>
      <c r="J595" s="4" t="s">
        <v>27</v>
      </c>
      <c r="K595" s="4" t="s">
        <v>28</v>
      </c>
      <c r="L595" s="4" t="s">
        <v>28</v>
      </c>
      <c r="M595" s="4" t="s">
        <v>34</v>
      </c>
      <c r="N595" s="4" t="s">
        <v>28</v>
      </c>
    </row>
    <row r="596" spans="1:14" ht="14.4" thickBot="1" x14ac:dyDescent="0.35">
      <c r="A596" s="4" t="s">
        <v>19</v>
      </c>
      <c r="B596" s="4" t="s">
        <v>370</v>
      </c>
      <c r="C596" s="4" t="s">
        <v>749</v>
      </c>
      <c r="D596" s="4" t="s">
        <v>750</v>
      </c>
      <c r="E596" s="4" t="s">
        <v>254</v>
      </c>
      <c r="F596" s="4" t="s">
        <v>1668</v>
      </c>
      <c r="G596" s="4" t="s">
        <v>1669</v>
      </c>
      <c r="H596" s="4" t="s">
        <v>37</v>
      </c>
      <c r="I596" s="4" t="s">
        <v>38</v>
      </c>
      <c r="J596" s="4" t="s">
        <v>28</v>
      </c>
      <c r="K596" s="4" t="s">
        <v>28</v>
      </c>
      <c r="L596" s="4" t="s">
        <v>27</v>
      </c>
      <c r="M596" s="4" t="s">
        <v>34</v>
      </c>
      <c r="N596" s="4" t="s">
        <v>28</v>
      </c>
    </row>
    <row r="597" spans="1:14" ht="14.4" thickBot="1" x14ac:dyDescent="0.35">
      <c r="A597" s="4" t="s">
        <v>19</v>
      </c>
      <c r="B597" s="4" t="s">
        <v>370</v>
      </c>
      <c r="C597" s="4" t="s">
        <v>749</v>
      </c>
      <c r="D597" s="4" t="s">
        <v>750</v>
      </c>
      <c r="E597" s="4" t="s">
        <v>254</v>
      </c>
      <c r="F597" s="4" t="s">
        <v>1806</v>
      </c>
      <c r="G597" s="4" t="s">
        <v>1807</v>
      </c>
      <c r="H597" s="4" t="s">
        <v>69</v>
      </c>
      <c r="I597" s="4" t="s">
        <v>38</v>
      </c>
      <c r="J597" s="4" t="s">
        <v>28</v>
      </c>
      <c r="K597" s="4" t="s">
        <v>28</v>
      </c>
      <c r="L597" s="4" t="s">
        <v>27</v>
      </c>
      <c r="M597" s="4" t="s">
        <v>29</v>
      </c>
      <c r="N597" s="4" t="s">
        <v>28</v>
      </c>
    </row>
    <row r="598" spans="1:14" ht="14.4" thickBot="1" x14ac:dyDescent="0.35">
      <c r="A598" s="4" t="s">
        <v>19</v>
      </c>
      <c r="B598" s="4" t="s">
        <v>370</v>
      </c>
      <c r="C598" s="4" t="s">
        <v>749</v>
      </c>
      <c r="D598" s="4" t="s">
        <v>750</v>
      </c>
      <c r="E598" s="4" t="s">
        <v>254</v>
      </c>
      <c r="F598" s="4" t="s">
        <v>1808</v>
      </c>
      <c r="G598" s="4" t="s">
        <v>1809</v>
      </c>
      <c r="H598" s="4" t="s">
        <v>37</v>
      </c>
      <c r="I598" s="4" t="s">
        <v>38</v>
      </c>
      <c r="J598" s="5"/>
      <c r="K598" s="5"/>
      <c r="L598" s="5"/>
      <c r="M598" s="4" t="s">
        <v>29</v>
      </c>
      <c r="N598" s="5"/>
    </row>
    <row r="599" spans="1:14" ht="14.4" thickBot="1" x14ac:dyDescent="0.35">
      <c r="A599" s="4" t="s">
        <v>19</v>
      </c>
      <c r="B599" s="4" t="s">
        <v>370</v>
      </c>
      <c r="C599" s="4" t="s">
        <v>749</v>
      </c>
      <c r="D599" s="4" t="s">
        <v>750</v>
      </c>
      <c r="E599" s="4" t="s">
        <v>254</v>
      </c>
      <c r="F599" s="4" t="s">
        <v>1810</v>
      </c>
      <c r="G599" s="4" t="s">
        <v>1811</v>
      </c>
      <c r="H599" s="4" t="s">
        <v>135</v>
      </c>
      <c r="I599" s="4" t="s">
        <v>38</v>
      </c>
      <c r="J599" s="4" t="s">
        <v>28</v>
      </c>
      <c r="K599" s="4" t="s">
        <v>28</v>
      </c>
      <c r="L599" s="4" t="s">
        <v>27</v>
      </c>
      <c r="M599" s="4" t="s">
        <v>29</v>
      </c>
      <c r="N599" s="4" t="s">
        <v>28</v>
      </c>
    </row>
    <row r="600" spans="1:14" ht="14.4" thickBot="1" x14ac:dyDescent="0.35">
      <c r="A600" s="4" t="s">
        <v>19</v>
      </c>
      <c r="B600" s="4" t="s">
        <v>370</v>
      </c>
      <c r="C600" s="4" t="s">
        <v>749</v>
      </c>
      <c r="D600" s="4" t="s">
        <v>750</v>
      </c>
      <c r="E600" s="4" t="s">
        <v>254</v>
      </c>
      <c r="F600" s="4" t="s">
        <v>1812</v>
      </c>
      <c r="G600" s="4" t="s">
        <v>1813</v>
      </c>
      <c r="H600" s="4" t="s">
        <v>26</v>
      </c>
      <c r="I600" s="4" t="s">
        <v>26</v>
      </c>
      <c r="J600" s="4" t="s">
        <v>27</v>
      </c>
      <c r="K600" s="4" t="s">
        <v>28</v>
      </c>
      <c r="L600" s="4" t="s">
        <v>28</v>
      </c>
      <c r="M600" s="4" t="s">
        <v>29</v>
      </c>
      <c r="N600" s="4" t="s">
        <v>28</v>
      </c>
    </row>
    <row r="601" spans="1:14" ht="14.4" thickBot="1" x14ac:dyDescent="0.35">
      <c r="A601" s="4" t="s">
        <v>19</v>
      </c>
      <c r="B601" s="4" t="s">
        <v>370</v>
      </c>
      <c r="C601" s="4" t="s">
        <v>749</v>
      </c>
      <c r="D601" s="4" t="s">
        <v>750</v>
      </c>
      <c r="E601" s="4" t="s">
        <v>254</v>
      </c>
      <c r="F601" s="4" t="s">
        <v>1814</v>
      </c>
      <c r="G601" s="4" t="s">
        <v>1815</v>
      </c>
      <c r="H601" s="4" t="s">
        <v>26</v>
      </c>
      <c r="I601" s="4" t="s">
        <v>69</v>
      </c>
      <c r="J601" s="4" t="s">
        <v>27</v>
      </c>
      <c r="K601" s="4" t="s">
        <v>28</v>
      </c>
      <c r="L601" s="4" t="s">
        <v>28</v>
      </c>
      <c r="M601" s="4" t="s">
        <v>29</v>
      </c>
      <c r="N601" s="4" t="s">
        <v>28</v>
      </c>
    </row>
    <row r="602" spans="1:14" ht="14.4" thickBot="1" x14ac:dyDescent="0.35">
      <c r="A602" s="4" t="s">
        <v>19</v>
      </c>
      <c r="B602" s="4" t="s">
        <v>370</v>
      </c>
      <c r="C602" s="4" t="s">
        <v>749</v>
      </c>
      <c r="D602" s="4" t="s">
        <v>750</v>
      </c>
      <c r="E602" s="4" t="s">
        <v>254</v>
      </c>
      <c r="F602" s="4" t="s">
        <v>1816</v>
      </c>
      <c r="G602" s="4" t="s">
        <v>1817</v>
      </c>
      <c r="H602" s="4" t="s">
        <v>26</v>
      </c>
      <c r="I602" s="4" t="s">
        <v>26</v>
      </c>
      <c r="J602" s="5"/>
      <c r="K602" s="5"/>
      <c r="L602" s="5"/>
      <c r="M602" s="4" t="s">
        <v>29</v>
      </c>
      <c r="N602" s="5"/>
    </row>
    <row r="603" spans="1:14" ht="14.4" thickBot="1" x14ac:dyDescent="0.35">
      <c r="A603" s="4" t="s">
        <v>19</v>
      </c>
      <c r="B603" s="4" t="s">
        <v>370</v>
      </c>
      <c r="C603" s="4" t="s">
        <v>749</v>
      </c>
      <c r="D603" s="4" t="s">
        <v>750</v>
      </c>
      <c r="E603" s="4" t="s">
        <v>254</v>
      </c>
      <c r="F603" s="4" t="s">
        <v>2342</v>
      </c>
      <c r="G603" s="4" t="s">
        <v>2343</v>
      </c>
      <c r="H603" s="4" t="s">
        <v>69</v>
      </c>
      <c r="I603" s="4" t="s">
        <v>94</v>
      </c>
      <c r="J603" s="4" t="s">
        <v>28</v>
      </c>
      <c r="K603" s="4" t="s">
        <v>27</v>
      </c>
      <c r="L603" s="4" t="s">
        <v>28</v>
      </c>
      <c r="M603" s="4" t="s">
        <v>34</v>
      </c>
      <c r="N603" s="4" t="s">
        <v>28</v>
      </c>
    </row>
    <row r="604" spans="1:14" ht="14.4" thickBot="1" x14ac:dyDescent="0.35">
      <c r="A604" s="4" t="s">
        <v>19</v>
      </c>
      <c r="B604" s="4" t="s">
        <v>370</v>
      </c>
      <c r="C604" s="4" t="s">
        <v>749</v>
      </c>
      <c r="D604" s="4" t="s">
        <v>750</v>
      </c>
      <c r="E604" s="4" t="s">
        <v>254</v>
      </c>
      <c r="F604" s="4" t="s">
        <v>2344</v>
      </c>
      <c r="G604" s="4" t="s">
        <v>2345</v>
      </c>
      <c r="H604" s="4" t="s">
        <v>37</v>
      </c>
      <c r="I604" s="4" t="s">
        <v>38</v>
      </c>
      <c r="J604" s="4" t="s">
        <v>28</v>
      </c>
      <c r="K604" s="4" t="s">
        <v>28</v>
      </c>
      <c r="L604" s="4" t="s">
        <v>27</v>
      </c>
      <c r="M604" s="4" t="s">
        <v>34</v>
      </c>
      <c r="N604" s="4" t="s">
        <v>28</v>
      </c>
    </row>
    <row r="605" spans="1:14" ht="14.4" thickBot="1" x14ac:dyDescent="0.35">
      <c r="A605" s="4" t="s">
        <v>19</v>
      </c>
      <c r="B605" s="4" t="s">
        <v>370</v>
      </c>
      <c r="C605" s="4" t="s">
        <v>749</v>
      </c>
      <c r="D605" s="4" t="s">
        <v>750</v>
      </c>
      <c r="E605" s="4" t="s">
        <v>254</v>
      </c>
      <c r="F605" s="4" t="s">
        <v>2346</v>
      </c>
      <c r="G605" s="4" t="s">
        <v>2347</v>
      </c>
      <c r="H605" s="4" t="s">
        <v>37</v>
      </c>
      <c r="I605" s="4" t="s">
        <v>38</v>
      </c>
      <c r="J605" s="4" t="s">
        <v>28</v>
      </c>
      <c r="K605" s="4" t="s">
        <v>28</v>
      </c>
      <c r="L605" s="4" t="s">
        <v>27</v>
      </c>
      <c r="M605" s="4" t="s">
        <v>34</v>
      </c>
      <c r="N605" s="4" t="s">
        <v>28</v>
      </c>
    </row>
    <row r="606" spans="1:14" ht="14.4" thickBot="1" x14ac:dyDescent="0.35">
      <c r="A606" s="4" t="s">
        <v>19</v>
      </c>
      <c r="B606" s="4" t="s">
        <v>370</v>
      </c>
      <c r="C606" s="4" t="s">
        <v>749</v>
      </c>
      <c r="D606" s="4" t="s">
        <v>750</v>
      </c>
      <c r="E606" s="4" t="s">
        <v>254</v>
      </c>
      <c r="F606" s="4" t="s">
        <v>2348</v>
      </c>
      <c r="G606" s="4" t="s">
        <v>2349</v>
      </c>
      <c r="H606" s="4" t="s">
        <v>69</v>
      </c>
      <c r="I606" s="4" t="s">
        <v>94</v>
      </c>
      <c r="J606" s="4" t="s">
        <v>28</v>
      </c>
      <c r="K606" s="4" t="s">
        <v>27</v>
      </c>
      <c r="L606" s="4" t="s">
        <v>28</v>
      </c>
      <c r="M606" s="4" t="s">
        <v>34</v>
      </c>
      <c r="N606" s="4" t="s">
        <v>28</v>
      </c>
    </row>
    <row r="607" spans="1:14" ht="14.4" thickBot="1" x14ac:dyDescent="0.35">
      <c r="A607" s="4" t="s">
        <v>19</v>
      </c>
      <c r="B607" s="4" t="s">
        <v>370</v>
      </c>
      <c r="C607" s="4" t="s">
        <v>749</v>
      </c>
      <c r="D607" s="4" t="s">
        <v>750</v>
      </c>
      <c r="E607" s="4" t="s">
        <v>254</v>
      </c>
      <c r="F607" s="4" t="s">
        <v>2350</v>
      </c>
      <c r="G607" s="4" t="s">
        <v>2351</v>
      </c>
      <c r="H607" s="4" t="s">
        <v>26</v>
      </c>
      <c r="I607" s="4" t="s">
        <v>33</v>
      </c>
      <c r="J607" s="4" t="s">
        <v>27</v>
      </c>
      <c r="K607" s="4" t="s">
        <v>28</v>
      </c>
      <c r="L607" s="4" t="s">
        <v>28</v>
      </c>
      <c r="M607" s="4" t="s">
        <v>34</v>
      </c>
      <c r="N607" s="4" t="s">
        <v>28</v>
      </c>
    </row>
    <row r="608" spans="1:14" ht="14.4" thickBot="1" x14ac:dyDescent="0.35">
      <c r="A608" s="4" t="s">
        <v>19</v>
      </c>
      <c r="B608" s="4" t="s">
        <v>370</v>
      </c>
      <c r="C608" s="4" t="s">
        <v>749</v>
      </c>
      <c r="D608" s="4" t="s">
        <v>750</v>
      </c>
      <c r="E608" s="4" t="s">
        <v>254</v>
      </c>
      <c r="F608" s="4" t="s">
        <v>2352</v>
      </c>
      <c r="G608" s="4" t="s">
        <v>2353</v>
      </c>
      <c r="H608" s="4" t="s">
        <v>135</v>
      </c>
      <c r="I608" s="4" t="s">
        <v>33</v>
      </c>
      <c r="J608" s="4" t="s">
        <v>27</v>
      </c>
      <c r="K608" s="4" t="s">
        <v>28</v>
      </c>
      <c r="L608" s="4" t="s">
        <v>28</v>
      </c>
      <c r="M608" s="4" t="s">
        <v>34</v>
      </c>
      <c r="N608" s="4" t="s">
        <v>28</v>
      </c>
    </row>
    <row r="609" spans="1:14" ht="14.4" thickBot="1" x14ac:dyDescent="0.35">
      <c r="A609" s="4" t="s">
        <v>19</v>
      </c>
      <c r="B609" s="4" t="s">
        <v>370</v>
      </c>
      <c r="C609" s="4" t="s">
        <v>749</v>
      </c>
      <c r="D609" s="4" t="s">
        <v>750</v>
      </c>
      <c r="E609" s="4" t="s">
        <v>254</v>
      </c>
      <c r="F609" s="4" t="s">
        <v>2468</v>
      </c>
      <c r="G609" s="4" t="s">
        <v>2469</v>
      </c>
      <c r="H609" s="4" t="s">
        <v>69</v>
      </c>
      <c r="I609" s="4" t="s">
        <v>38</v>
      </c>
      <c r="J609" s="5"/>
      <c r="K609" s="5"/>
      <c r="L609" s="5"/>
      <c r="M609" s="4" t="s">
        <v>29</v>
      </c>
      <c r="N609" s="5"/>
    </row>
    <row r="610" spans="1:14" ht="14.4" thickBot="1" x14ac:dyDescent="0.35">
      <c r="A610" s="4" t="s">
        <v>19</v>
      </c>
      <c r="B610" s="4" t="s">
        <v>370</v>
      </c>
      <c r="C610" s="4" t="s">
        <v>749</v>
      </c>
      <c r="D610" s="4" t="s">
        <v>750</v>
      </c>
      <c r="E610" s="4" t="s">
        <v>254</v>
      </c>
      <c r="F610" s="4" t="s">
        <v>2470</v>
      </c>
      <c r="G610" s="4" t="s">
        <v>2471</v>
      </c>
      <c r="H610" s="4" t="s">
        <v>26</v>
      </c>
      <c r="I610" s="4" t="s">
        <v>61</v>
      </c>
      <c r="J610" s="4" t="s">
        <v>27</v>
      </c>
      <c r="K610" s="4" t="s">
        <v>28</v>
      </c>
      <c r="L610" s="4" t="s">
        <v>28</v>
      </c>
      <c r="M610" s="4" t="s">
        <v>29</v>
      </c>
      <c r="N610" s="4" t="s">
        <v>28</v>
      </c>
    </row>
    <row r="611" spans="1:14" ht="14.4" thickBot="1" x14ac:dyDescent="0.35">
      <c r="A611" s="4" t="s">
        <v>19</v>
      </c>
      <c r="B611" s="4" t="s">
        <v>370</v>
      </c>
      <c r="C611" s="4" t="s">
        <v>749</v>
      </c>
      <c r="D611" s="4" t="s">
        <v>750</v>
      </c>
      <c r="E611" s="4" t="s">
        <v>254</v>
      </c>
      <c r="F611" s="4" t="s">
        <v>2472</v>
      </c>
      <c r="G611" s="4" t="s">
        <v>2473</v>
      </c>
      <c r="H611" s="4" t="s">
        <v>26</v>
      </c>
      <c r="I611" s="4" t="s">
        <v>26</v>
      </c>
      <c r="J611" s="4" t="s">
        <v>27</v>
      </c>
      <c r="K611" s="4" t="s">
        <v>28</v>
      </c>
      <c r="L611" s="4" t="s">
        <v>28</v>
      </c>
      <c r="M611" s="4" t="s">
        <v>29</v>
      </c>
      <c r="N611" s="4" t="s">
        <v>28</v>
      </c>
    </row>
    <row r="612" spans="1:14" ht="14.4" thickBot="1" x14ac:dyDescent="0.35">
      <c r="A612" s="4" t="s">
        <v>19</v>
      </c>
      <c r="B612" s="4" t="s">
        <v>370</v>
      </c>
      <c r="C612" s="4" t="s">
        <v>749</v>
      </c>
      <c r="D612" s="4" t="s">
        <v>750</v>
      </c>
      <c r="E612" s="4" t="s">
        <v>254</v>
      </c>
      <c r="F612" s="4" t="s">
        <v>2474</v>
      </c>
      <c r="G612" s="4" t="s">
        <v>2475</v>
      </c>
      <c r="H612" s="4" t="s">
        <v>26</v>
      </c>
      <c r="I612" s="4" t="s">
        <v>33</v>
      </c>
      <c r="J612" s="4" t="s">
        <v>27</v>
      </c>
      <c r="K612" s="4" t="s">
        <v>28</v>
      </c>
      <c r="L612" s="4" t="s">
        <v>28</v>
      </c>
      <c r="M612" s="4" t="s">
        <v>29</v>
      </c>
      <c r="N612" s="4" t="s">
        <v>28</v>
      </c>
    </row>
    <row r="613" spans="1:14" ht="14.4" thickBot="1" x14ac:dyDescent="0.35">
      <c r="A613" s="4" t="s">
        <v>19</v>
      </c>
      <c r="B613" s="4" t="s">
        <v>370</v>
      </c>
      <c r="C613" s="4" t="s">
        <v>749</v>
      </c>
      <c r="D613" s="4" t="s">
        <v>750</v>
      </c>
      <c r="E613" s="4" t="s">
        <v>254</v>
      </c>
      <c r="F613" s="4" t="s">
        <v>2476</v>
      </c>
      <c r="G613" s="4" t="s">
        <v>2477</v>
      </c>
      <c r="H613" s="4" t="s">
        <v>69</v>
      </c>
      <c r="I613" s="4" t="s">
        <v>38</v>
      </c>
      <c r="J613" s="4" t="s">
        <v>28</v>
      </c>
      <c r="K613" s="4" t="s">
        <v>28</v>
      </c>
      <c r="L613" s="4" t="s">
        <v>27</v>
      </c>
      <c r="M613" s="4" t="s">
        <v>29</v>
      </c>
      <c r="N613" s="4" t="s">
        <v>28</v>
      </c>
    </row>
    <row r="614" spans="1:14" ht="14.4" thickBot="1" x14ac:dyDescent="0.35">
      <c r="A614" s="4" t="s">
        <v>19</v>
      </c>
      <c r="B614" s="4" t="s">
        <v>370</v>
      </c>
      <c r="C614" s="4" t="s">
        <v>749</v>
      </c>
      <c r="D614" s="4" t="s">
        <v>750</v>
      </c>
      <c r="E614" s="4" t="s">
        <v>254</v>
      </c>
      <c r="F614" s="4" t="s">
        <v>2478</v>
      </c>
      <c r="G614" s="4" t="s">
        <v>2479</v>
      </c>
      <c r="H614" s="4" t="s">
        <v>26</v>
      </c>
      <c r="I614" s="4" t="s">
        <v>26</v>
      </c>
      <c r="J614" s="4" t="s">
        <v>27</v>
      </c>
      <c r="K614" s="4" t="s">
        <v>28</v>
      </c>
      <c r="L614" s="4" t="s">
        <v>28</v>
      </c>
      <c r="M614" s="4" t="s">
        <v>29</v>
      </c>
      <c r="N614" s="4" t="s">
        <v>28</v>
      </c>
    </row>
    <row r="615" spans="1:14" ht="14.4" thickBot="1" x14ac:dyDescent="0.35">
      <c r="A615" s="4" t="s">
        <v>19</v>
      </c>
      <c r="B615" s="4" t="s">
        <v>370</v>
      </c>
      <c r="C615" s="4" t="s">
        <v>749</v>
      </c>
      <c r="D615" s="4" t="s">
        <v>750</v>
      </c>
      <c r="E615" s="4" t="s">
        <v>254</v>
      </c>
      <c r="F615" s="4" t="s">
        <v>2480</v>
      </c>
      <c r="G615" s="4" t="s">
        <v>2481</v>
      </c>
      <c r="H615" s="4" t="s">
        <v>26</v>
      </c>
      <c r="I615" s="4" t="s">
        <v>26</v>
      </c>
      <c r="J615" s="4" t="s">
        <v>27</v>
      </c>
      <c r="K615" s="4" t="s">
        <v>28</v>
      </c>
      <c r="L615" s="4" t="s">
        <v>28</v>
      </c>
      <c r="M615" s="4" t="s">
        <v>29</v>
      </c>
      <c r="N615" s="4" t="s">
        <v>28</v>
      </c>
    </row>
    <row r="616" spans="1:14" ht="14.4" thickBot="1" x14ac:dyDescent="0.35">
      <c r="A616" s="4" t="s">
        <v>19</v>
      </c>
      <c r="B616" s="4" t="s">
        <v>370</v>
      </c>
      <c r="C616" s="4" t="s">
        <v>749</v>
      </c>
      <c r="D616" s="4" t="s">
        <v>750</v>
      </c>
      <c r="E616" s="4" t="s">
        <v>254</v>
      </c>
      <c r="F616" s="4" t="s">
        <v>2482</v>
      </c>
      <c r="G616" s="4" t="s">
        <v>2483</v>
      </c>
      <c r="H616" s="4" t="s">
        <v>26</v>
      </c>
      <c r="I616" s="4" t="s">
        <v>26</v>
      </c>
      <c r="J616" s="5"/>
      <c r="K616" s="5"/>
      <c r="L616" s="5"/>
      <c r="M616" s="4" t="s">
        <v>29</v>
      </c>
      <c r="N616" s="5"/>
    </row>
    <row r="617" spans="1:14" ht="14.4" thickBot="1" x14ac:dyDescent="0.35">
      <c r="A617" s="4" t="s">
        <v>19</v>
      </c>
      <c r="B617" s="4" t="s">
        <v>370</v>
      </c>
      <c r="C617" s="4" t="s">
        <v>749</v>
      </c>
      <c r="D617" s="4" t="s">
        <v>750</v>
      </c>
      <c r="E617" s="4" t="s">
        <v>254</v>
      </c>
      <c r="F617" s="4" t="s">
        <v>3107</v>
      </c>
      <c r="G617" s="4" t="s">
        <v>3108</v>
      </c>
      <c r="H617" s="4" t="s">
        <v>26</v>
      </c>
      <c r="I617" s="4" t="s">
        <v>33</v>
      </c>
      <c r="J617" s="4" t="s">
        <v>27</v>
      </c>
      <c r="K617" s="4" t="s">
        <v>28</v>
      </c>
      <c r="L617" s="4" t="s">
        <v>28</v>
      </c>
      <c r="M617" s="4" t="s">
        <v>34</v>
      </c>
      <c r="N617" s="4" t="s">
        <v>28</v>
      </c>
    </row>
    <row r="618" spans="1:14" ht="14.4" thickBot="1" x14ac:dyDescent="0.35">
      <c r="A618" s="4" t="s">
        <v>19</v>
      </c>
      <c r="B618" s="4" t="s">
        <v>370</v>
      </c>
      <c r="C618" s="4" t="s">
        <v>749</v>
      </c>
      <c r="D618" s="4" t="s">
        <v>750</v>
      </c>
      <c r="E618" s="4" t="s">
        <v>254</v>
      </c>
      <c r="F618" s="4" t="s">
        <v>3109</v>
      </c>
      <c r="G618" s="4" t="s">
        <v>3110</v>
      </c>
      <c r="H618" s="4" t="s">
        <v>135</v>
      </c>
      <c r="I618" s="4" t="s">
        <v>33</v>
      </c>
      <c r="J618" s="4" t="s">
        <v>27</v>
      </c>
      <c r="K618" s="4" t="s">
        <v>28</v>
      </c>
      <c r="L618" s="4" t="s">
        <v>28</v>
      </c>
      <c r="M618" s="4" t="s">
        <v>34</v>
      </c>
      <c r="N618" s="4" t="s">
        <v>28</v>
      </c>
    </row>
    <row r="619" spans="1:14" ht="14.4" thickBot="1" x14ac:dyDescent="0.35">
      <c r="A619" s="4" t="s">
        <v>19</v>
      </c>
      <c r="B619" s="4" t="s">
        <v>370</v>
      </c>
      <c r="C619" s="4" t="s">
        <v>749</v>
      </c>
      <c r="D619" s="4" t="s">
        <v>750</v>
      </c>
      <c r="E619" s="4" t="s">
        <v>254</v>
      </c>
      <c r="F619" s="4" t="s">
        <v>3111</v>
      </c>
      <c r="G619" s="4" t="s">
        <v>3112</v>
      </c>
      <c r="H619" s="4" t="s">
        <v>135</v>
      </c>
      <c r="I619" s="4" t="s">
        <v>33</v>
      </c>
      <c r="J619" s="4" t="s">
        <v>27</v>
      </c>
      <c r="K619" s="4" t="s">
        <v>28</v>
      </c>
      <c r="L619" s="4" t="s">
        <v>28</v>
      </c>
      <c r="M619" s="4" t="s">
        <v>34</v>
      </c>
      <c r="N619" s="4" t="s">
        <v>28</v>
      </c>
    </row>
    <row r="620" spans="1:14" ht="14.4" thickBot="1" x14ac:dyDescent="0.35">
      <c r="A620" s="4" t="s">
        <v>19</v>
      </c>
      <c r="B620" s="4" t="s">
        <v>370</v>
      </c>
      <c r="C620" s="4" t="s">
        <v>749</v>
      </c>
      <c r="D620" s="4" t="s">
        <v>750</v>
      </c>
      <c r="E620" s="4" t="s">
        <v>254</v>
      </c>
      <c r="F620" s="4" t="s">
        <v>3113</v>
      </c>
      <c r="G620" s="4" t="s">
        <v>3114</v>
      </c>
      <c r="H620" s="4" t="s">
        <v>135</v>
      </c>
      <c r="I620" s="4" t="s">
        <v>33</v>
      </c>
      <c r="J620" s="4" t="s">
        <v>27</v>
      </c>
      <c r="K620" s="4" t="s">
        <v>28</v>
      </c>
      <c r="L620" s="4" t="s">
        <v>28</v>
      </c>
      <c r="M620" s="4" t="s">
        <v>34</v>
      </c>
      <c r="N620" s="4" t="s">
        <v>28</v>
      </c>
    </row>
    <row r="621" spans="1:14" ht="14.4" thickBot="1" x14ac:dyDescent="0.35">
      <c r="A621" s="4" t="s">
        <v>19</v>
      </c>
      <c r="B621" s="4" t="s">
        <v>370</v>
      </c>
      <c r="C621" s="4" t="s">
        <v>749</v>
      </c>
      <c r="D621" s="4" t="s">
        <v>750</v>
      </c>
      <c r="E621" s="4" t="s">
        <v>254</v>
      </c>
      <c r="F621" s="4" t="s">
        <v>3115</v>
      </c>
      <c r="G621" s="4" t="s">
        <v>3116</v>
      </c>
      <c r="H621" s="4" t="s">
        <v>69</v>
      </c>
      <c r="I621" s="4" t="s">
        <v>38</v>
      </c>
      <c r="J621" s="4" t="s">
        <v>28</v>
      </c>
      <c r="K621" s="4" t="s">
        <v>28</v>
      </c>
      <c r="L621" s="4" t="s">
        <v>27</v>
      </c>
      <c r="M621" s="4" t="s">
        <v>34</v>
      </c>
      <c r="N621" s="4" t="s">
        <v>28</v>
      </c>
    </row>
    <row r="622" spans="1:14" ht="14.4" thickBot="1" x14ac:dyDescent="0.35">
      <c r="A622" s="4" t="s">
        <v>19</v>
      </c>
      <c r="B622" s="4" t="s">
        <v>370</v>
      </c>
      <c r="C622" s="4" t="s">
        <v>749</v>
      </c>
      <c r="D622" s="4" t="s">
        <v>750</v>
      </c>
      <c r="E622" s="4" t="s">
        <v>254</v>
      </c>
      <c r="F622" s="4" t="s">
        <v>3117</v>
      </c>
      <c r="G622" s="4" t="s">
        <v>3118</v>
      </c>
      <c r="H622" s="4" t="s">
        <v>69</v>
      </c>
      <c r="I622" s="4" t="s">
        <v>94</v>
      </c>
      <c r="J622" s="4" t="s">
        <v>28</v>
      </c>
      <c r="K622" s="4" t="s">
        <v>27</v>
      </c>
      <c r="L622" s="4" t="s">
        <v>28</v>
      </c>
      <c r="M622" s="4" t="s">
        <v>34</v>
      </c>
      <c r="N622" s="4" t="s">
        <v>28</v>
      </c>
    </row>
    <row r="623" spans="1:14" ht="14.4" thickBot="1" x14ac:dyDescent="0.35">
      <c r="A623" s="4" t="s">
        <v>19</v>
      </c>
      <c r="B623" s="4" t="s">
        <v>370</v>
      </c>
      <c r="C623" s="4" t="s">
        <v>749</v>
      </c>
      <c r="D623" s="4" t="s">
        <v>750</v>
      </c>
      <c r="E623" s="4" t="s">
        <v>254</v>
      </c>
      <c r="F623" s="4" t="s">
        <v>3119</v>
      </c>
      <c r="G623" s="4" t="s">
        <v>1313</v>
      </c>
      <c r="H623" s="4" t="s">
        <v>26</v>
      </c>
      <c r="I623" s="4" t="s">
        <v>33</v>
      </c>
      <c r="J623" s="4" t="s">
        <v>27</v>
      </c>
      <c r="K623" s="4" t="s">
        <v>28</v>
      </c>
      <c r="L623" s="4" t="s">
        <v>28</v>
      </c>
      <c r="M623" s="4" t="s">
        <v>34</v>
      </c>
      <c r="N623" s="4" t="s">
        <v>28</v>
      </c>
    </row>
    <row r="624" spans="1:14" ht="14.4" thickBot="1" x14ac:dyDescent="0.35">
      <c r="A624" s="4" t="s">
        <v>19</v>
      </c>
      <c r="B624" s="4" t="s">
        <v>370</v>
      </c>
      <c r="C624" s="4" t="s">
        <v>749</v>
      </c>
      <c r="D624" s="4" t="s">
        <v>750</v>
      </c>
      <c r="E624" s="4" t="s">
        <v>254</v>
      </c>
      <c r="F624" s="4" t="s">
        <v>3120</v>
      </c>
      <c r="G624" s="4" t="s">
        <v>3121</v>
      </c>
      <c r="H624" s="4" t="s">
        <v>69</v>
      </c>
      <c r="I624" s="4" t="s">
        <v>94</v>
      </c>
      <c r="J624" s="4" t="s">
        <v>28</v>
      </c>
      <c r="K624" s="4" t="s">
        <v>27</v>
      </c>
      <c r="L624" s="4" t="s">
        <v>28</v>
      </c>
      <c r="M624" s="4" t="s">
        <v>34</v>
      </c>
      <c r="N624" s="4" t="s">
        <v>28</v>
      </c>
    </row>
    <row r="625" spans="1:14" ht="14.4" thickBot="1" x14ac:dyDescent="0.35">
      <c r="A625" s="4" t="s">
        <v>19</v>
      </c>
      <c r="B625" s="4" t="s">
        <v>370</v>
      </c>
      <c r="C625" s="4" t="s">
        <v>749</v>
      </c>
      <c r="D625" s="4" t="s">
        <v>750</v>
      </c>
      <c r="E625" s="4" t="s">
        <v>254</v>
      </c>
      <c r="F625" s="4" t="s">
        <v>3122</v>
      </c>
      <c r="G625" s="4" t="s">
        <v>3123</v>
      </c>
      <c r="H625" s="4" t="s">
        <v>37</v>
      </c>
      <c r="I625" s="4" t="s">
        <v>38</v>
      </c>
      <c r="J625" s="4" t="s">
        <v>28</v>
      </c>
      <c r="K625" s="4" t="s">
        <v>28</v>
      </c>
      <c r="L625" s="4" t="s">
        <v>27</v>
      </c>
      <c r="M625" s="4" t="s">
        <v>34</v>
      </c>
      <c r="N625" s="4" t="s">
        <v>28</v>
      </c>
    </row>
    <row r="626" spans="1:14" ht="14.4" thickBot="1" x14ac:dyDescent="0.35">
      <c r="A626" s="4" t="s">
        <v>19</v>
      </c>
      <c r="B626" s="4" t="s">
        <v>370</v>
      </c>
      <c r="C626" s="4" t="s">
        <v>749</v>
      </c>
      <c r="D626" s="4" t="s">
        <v>750</v>
      </c>
      <c r="E626" s="4" t="s">
        <v>254</v>
      </c>
      <c r="F626" s="4" t="s">
        <v>3234</v>
      </c>
      <c r="G626" s="4" t="s">
        <v>3235</v>
      </c>
      <c r="H626" s="4" t="s">
        <v>26</v>
      </c>
      <c r="I626" s="4" t="s">
        <v>26</v>
      </c>
      <c r="J626" s="4" t="s">
        <v>27</v>
      </c>
      <c r="K626" s="4" t="s">
        <v>28</v>
      </c>
      <c r="L626" s="4" t="s">
        <v>28</v>
      </c>
      <c r="M626" s="4" t="s">
        <v>29</v>
      </c>
      <c r="N626" s="4" t="s">
        <v>28</v>
      </c>
    </row>
    <row r="627" spans="1:14" ht="14.4" thickBot="1" x14ac:dyDescent="0.35">
      <c r="A627" s="4" t="s">
        <v>19</v>
      </c>
      <c r="B627" s="4" t="s">
        <v>370</v>
      </c>
      <c r="C627" s="4" t="s">
        <v>749</v>
      </c>
      <c r="D627" s="4" t="s">
        <v>750</v>
      </c>
      <c r="E627" s="4" t="s">
        <v>254</v>
      </c>
      <c r="F627" s="4" t="s">
        <v>3236</v>
      </c>
      <c r="G627" s="4" t="s">
        <v>3237</v>
      </c>
      <c r="H627" s="4" t="s">
        <v>26</v>
      </c>
      <c r="I627" s="4" t="s">
        <v>69</v>
      </c>
      <c r="J627" s="5"/>
      <c r="K627" s="5"/>
      <c r="L627" s="5"/>
      <c r="M627" s="4" t="s">
        <v>29</v>
      </c>
      <c r="N627" s="5"/>
    </row>
    <row r="628" spans="1:14" ht="14.4" thickBot="1" x14ac:dyDescent="0.35">
      <c r="A628" s="4" t="s">
        <v>19</v>
      </c>
      <c r="B628" s="4" t="s">
        <v>370</v>
      </c>
      <c r="C628" s="4" t="s">
        <v>749</v>
      </c>
      <c r="D628" s="4" t="s">
        <v>750</v>
      </c>
      <c r="E628" s="4" t="s">
        <v>254</v>
      </c>
      <c r="F628" s="4" t="s">
        <v>3238</v>
      </c>
      <c r="G628" s="4" t="s">
        <v>3239</v>
      </c>
      <c r="H628" s="4" t="s">
        <v>26</v>
      </c>
      <c r="I628" s="4" t="s">
        <v>135</v>
      </c>
      <c r="J628" s="5"/>
      <c r="K628" s="5"/>
      <c r="L628" s="5"/>
      <c r="M628" s="4" t="s">
        <v>29</v>
      </c>
      <c r="N628" s="5"/>
    </row>
    <row r="629" spans="1:14" ht="14.4" thickBot="1" x14ac:dyDescent="0.35">
      <c r="A629" s="4" t="s">
        <v>19</v>
      </c>
      <c r="B629" s="4" t="s">
        <v>370</v>
      </c>
      <c r="C629" s="4" t="s">
        <v>749</v>
      </c>
      <c r="D629" s="4" t="s">
        <v>750</v>
      </c>
      <c r="E629" s="4" t="s">
        <v>254</v>
      </c>
      <c r="F629" s="4" t="s">
        <v>3240</v>
      </c>
      <c r="G629" s="4" t="s">
        <v>3241</v>
      </c>
      <c r="H629" s="4" t="s">
        <v>26</v>
      </c>
      <c r="I629" s="4" t="s">
        <v>26</v>
      </c>
      <c r="J629" s="5"/>
      <c r="K629" s="5"/>
      <c r="L629" s="5"/>
      <c r="M629" s="4" t="s">
        <v>29</v>
      </c>
      <c r="N629" s="5"/>
    </row>
    <row r="630" spans="1:14" ht="14.4" thickBot="1" x14ac:dyDescent="0.35">
      <c r="A630" s="4" t="s">
        <v>19</v>
      </c>
      <c r="B630" s="4" t="s">
        <v>370</v>
      </c>
      <c r="C630" s="4" t="s">
        <v>749</v>
      </c>
      <c r="D630" s="4" t="s">
        <v>750</v>
      </c>
      <c r="E630" s="4" t="s">
        <v>254</v>
      </c>
      <c r="F630" s="4" t="s">
        <v>3242</v>
      </c>
      <c r="G630" s="4" t="s">
        <v>3243</v>
      </c>
      <c r="H630" s="4" t="s">
        <v>26</v>
      </c>
      <c r="I630" s="4" t="s">
        <v>94</v>
      </c>
      <c r="J630" s="5"/>
      <c r="K630" s="5"/>
      <c r="L630" s="5"/>
      <c r="M630" s="4" t="s">
        <v>29</v>
      </c>
      <c r="N630" s="5"/>
    </row>
    <row r="631" spans="1:14" ht="14.4" thickBot="1" x14ac:dyDescent="0.35">
      <c r="A631" s="4" t="s">
        <v>19</v>
      </c>
      <c r="B631" s="4" t="s">
        <v>370</v>
      </c>
      <c r="C631" s="4" t="s">
        <v>749</v>
      </c>
      <c r="D631" s="4" t="s">
        <v>750</v>
      </c>
      <c r="E631" s="4" t="s">
        <v>254</v>
      </c>
      <c r="F631" s="4" t="s">
        <v>3244</v>
      </c>
      <c r="G631" s="4" t="s">
        <v>3245</v>
      </c>
      <c r="H631" s="4" t="s">
        <v>26</v>
      </c>
      <c r="I631" s="4" t="s">
        <v>26</v>
      </c>
      <c r="J631" s="4" t="s">
        <v>27</v>
      </c>
      <c r="K631" s="4" t="s">
        <v>28</v>
      </c>
      <c r="L631" s="4" t="s">
        <v>28</v>
      </c>
      <c r="M631" s="4" t="s">
        <v>29</v>
      </c>
      <c r="N631" s="4" t="s">
        <v>28</v>
      </c>
    </row>
    <row r="632" spans="1:14" ht="14.4" thickBot="1" x14ac:dyDescent="0.35">
      <c r="A632" s="4" t="s">
        <v>19</v>
      </c>
      <c r="B632" s="4" t="s">
        <v>370</v>
      </c>
      <c r="C632" s="4" t="s">
        <v>749</v>
      </c>
      <c r="D632" s="4" t="s">
        <v>750</v>
      </c>
      <c r="E632" s="4" t="s">
        <v>254</v>
      </c>
      <c r="F632" s="4" t="s">
        <v>3246</v>
      </c>
      <c r="G632" s="4" t="s">
        <v>3247</v>
      </c>
      <c r="H632" s="4" t="s">
        <v>26</v>
      </c>
      <c r="I632" s="4" t="s">
        <v>26</v>
      </c>
      <c r="J632" s="5"/>
      <c r="K632" s="5"/>
      <c r="L632" s="5"/>
      <c r="M632" s="4" t="s">
        <v>29</v>
      </c>
      <c r="N632" s="5"/>
    </row>
    <row r="633" spans="1:14" ht="14.4" thickBot="1" x14ac:dyDescent="0.35">
      <c r="A633" s="4" t="s">
        <v>19</v>
      </c>
      <c r="B633" s="4" t="s">
        <v>370</v>
      </c>
      <c r="C633" s="4" t="s">
        <v>749</v>
      </c>
      <c r="D633" s="4" t="s">
        <v>750</v>
      </c>
      <c r="E633" s="4" t="s">
        <v>254</v>
      </c>
      <c r="F633" s="4" t="s">
        <v>3248</v>
      </c>
      <c r="G633" s="4" t="s">
        <v>3249</v>
      </c>
      <c r="H633" s="4" t="s">
        <v>26</v>
      </c>
      <c r="I633" s="4" t="s">
        <v>26</v>
      </c>
      <c r="J633" s="4" t="s">
        <v>27</v>
      </c>
      <c r="K633" s="4" t="s">
        <v>28</v>
      </c>
      <c r="L633" s="4" t="s">
        <v>28</v>
      </c>
      <c r="M633" s="4" t="s">
        <v>130</v>
      </c>
      <c r="N633" s="5"/>
    </row>
    <row r="634" spans="1:14" ht="14.4" thickBot="1" x14ac:dyDescent="0.35">
      <c r="A634" s="4" t="s">
        <v>19</v>
      </c>
      <c r="B634" s="4" t="s">
        <v>370</v>
      </c>
      <c r="C634" s="4" t="s">
        <v>749</v>
      </c>
      <c r="D634" s="4" t="s">
        <v>750</v>
      </c>
      <c r="E634" s="4" t="s">
        <v>254</v>
      </c>
      <c r="F634" s="4" t="s">
        <v>3250</v>
      </c>
      <c r="G634" s="4" t="s">
        <v>3251</v>
      </c>
      <c r="H634" s="4" t="s">
        <v>26</v>
      </c>
      <c r="I634" s="4" t="s">
        <v>135</v>
      </c>
      <c r="J634" s="5"/>
      <c r="K634" s="5"/>
      <c r="L634" s="5"/>
      <c r="M634" s="4" t="s">
        <v>29</v>
      </c>
      <c r="N634" s="5"/>
    </row>
    <row r="635" spans="1:14" ht="14.4" thickBot="1" x14ac:dyDescent="0.35">
      <c r="A635" s="4" t="s">
        <v>19</v>
      </c>
      <c r="B635" s="4" t="s">
        <v>370</v>
      </c>
      <c r="C635" s="4" t="s">
        <v>749</v>
      </c>
      <c r="D635" s="4" t="s">
        <v>750</v>
      </c>
      <c r="E635" s="4" t="s">
        <v>254</v>
      </c>
      <c r="F635" s="4" t="s">
        <v>3905</v>
      </c>
      <c r="G635" s="4" t="s">
        <v>3906</v>
      </c>
      <c r="H635" s="4" t="s">
        <v>135</v>
      </c>
      <c r="I635" s="4" t="s">
        <v>38</v>
      </c>
      <c r="J635" s="4" t="s">
        <v>28</v>
      </c>
      <c r="K635" s="4" t="s">
        <v>28</v>
      </c>
      <c r="L635" s="4" t="s">
        <v>27</v>
      </c>
      <c r="M635" s="4" t="s">
        <v>34</v>
      </c>
      <c r="N635" s="4" t="s">
        <v>27</v>
      </c>
    </row>
    <row r="636" spans="1:14" ht="14.4" thickBot="1" x14ac:dyDescent="0.35">
      <c r="A636" s="4" t="s">
        <v>19</v>
      </c>
      <c r="B636" s="4" t="s">
        <v>370</v>
      </c>
      <c r="C636" s="4" t="s">
        <v>749</v>
      </c>
      <c r="D636" s="4" t="s">
        <v>750</v>
      </c>
      <c r="E636" s="4" t="s">
        <v>254</v>
      </c>
      <c r="F636" s="4" t="s">
        <v>3907</v>
      </c>
      <c r="G636" s="4" t="s">
        <v>3908</v>
      </c>
      <c r="H636" s="4" t="s">
        <v>69</v>
      </c>
      <c r="I636" s="4" t="s">
        <v>38</v>
      </c>
      <c r="J636" s="4" t="s">
        <v>28</v>
      </c>
      <c r="K636" s="4" t="s">
        <v>28</v>
      </c>
      <c r="L636" s="4" t="s">
        <v>27</v>
      </c>
      <c r="M636" s="4" t="s">
        <v>34</v>
      </c>
      <c r="N636" s="4" t="s">
        <v>27</v>
      </c>
    </row>
    <row r="637" spans="1:14" ht="14.4" thickBot="1" x14ac:dyDescent="0.35">
      <c r="A637" s="4" t="s">
        <v>19</v>
      </c>
      <c r="B637" s="4" t="s">
        <v>370</v>
      </c>
      <c r="C637" s="4" t="s">
        <v>749</v>
      </c>
      <c r="D637" s="4" t="s">
        <v>750</v>
      </c>
      <c r="E637" s="4" t="s">
        <v>254</v>
      </c>
      <c r="F637" s="4" t="s">
        <v>3909</v>
      </c>
      <c r="G637" s="4" t="s">
        <v>3910</v>
      </c>
      <c r="H637" s="4" t="s">
        <v>26</v>
      </c>
      <c r="I637" s="4" t="s">
        <v>33</v>
      </c>
      <c r="J637" s="4" t="s">
        <v>27</v>
      </c>
      <c r="K637" s="4" t="s">
        <v>28</v>
      </c>
      <c r="L637" s="4" t="s">
        <v>28</v>
      </c>
      <c r="M637" s="4" t="s">
        <v>34</v>
      </c>
      <c r="N637" s="4" t="s">
        <v>28</v>
      </c>
    </row>
    <row r="638" spans="1:14" ht="14.4" thickBot="1" x14ac:dyDescent="0.35">
      <c r="A638" s="4" t="s">
        <v>19</v>
      </c>
      <c r="B638" s="4" t="s">
        <v>370</v>
      </c>
      <c r="C638" s="4" t="s">
        <v>749</v>
      </c>
      <c r="D638" s="4" t="s">
        <v>750</v>
      </c>
      <c r="E638" s="4" t="s">
        <v>254</v>
      </c>
      <c r="F638" s="4" t="s">
        <v>3911</v>
      </c>
      <c r="G638" s="4" t="s">
        <v>3912</v>
      </c>
      <c r="H638" s="4" t="s">
        <v>135</v>
      </c>
      <c r="I638" s="4" t="s">
        <v>33</v>
      </c>
      <c r="J638" s="4" t="s">
        <v>27</v>
      </c>
      <c r="K638" s="4" t="s">
        <v>28</v>
      </c>
      <c r="L638" s="4" t="s">
        <v>28</v>
      </c>
      <c r="M638" s="4" t="s">
        <v>34</v>
      </c>
      <c r="N638" s="4" t="s">
        <v>28</v>
      </c>
    </row>
    <row r="639" spans="1:14" ht="14.4" thickBot="1" x14ac:dyDescent="0.35">
      <c r="A639" s="4" t="s">
        <v>19</v>
      </c>
      <c r="B639" s="4" t="s">
        <v>370</v>
      </c>
      <c r="C639" s="4" t="s">
        <v>749</v>
      </c>
      <c r="D639" s="4" t="s">
        <v>750</v>
      </c>
      <c r="E639" s="4" t="s">
        <v>254</v>
      </c>
      <c r="F639" s="4" t="s">
        <v>3913</v>
      </c>
      <c r="G639" s="4" t="s">
        <v>3914</v>
      </c>
      <c r="H639" s="4" t="s">
        <v>26</v>
      </c>
      <c r="I639" s="4" t="s">
        <v>69</v>
      </c>
      <c r="J639" s="4" t="s">
        <v>27</v>
      </c>
      <c r="K639" s="4" t="s">
        <v>28</v>
      </c>
      <c r="L639" s="4" t="s">
        <v>28</v>
      </c>
      <c r="M639" s="4" t="s">
        <v>34</v>
      </c>
      <c r="N639" s="4" t="s">
        <v>28</v>
      </c>
    </row>
    <row r="640" spans="1:14" ht="14.4" thickBot="1" x14ac:dyDescent="0.35">
      <c r="A640" s="4" t="s">
        <v>19</v>
      </c>
      <c r="B640" s="4" t="s">
        <v>370</v>
      </c>
      <c r="C640" s="4" t="s">
        <v>749</v>
      </c>
      <c r="D640" s="4" t="s">
        <v>750</v>
      </c>
      <c r="E640" s="4" t="s">
        <v>254</v>
      </c>
      <c r="F640" s="4" t="s">
        <v>3915</v>
      </c>
      <c r="G640" s="4" t="s">
        <v>3916</v>
      </c>
      <c r="H640" s="4" t="s">
        <v>26</v>
      </c>
      <c r="I640" s="4" t="s">
        <v>33</v>
      </c>
      <c r="J640" s="4" t="s">
        <v>27</v>
      </c>
      <c r="K640" s="4" t="s">
        <v>28</v>
      </c>
      <c r="L640" s="4" t="s">
        <v>28</v>
      </c>
      <c r="M640" s="4" t="s">
        <v>34</v>
      </c>
      <c r="N640" s="4" t="s">
        <v>28</v>
      </c>
    </row>
    <row r="641" spans="1:14" ht="14.4" thickBot="1" x14ac:dyDescent="0.35">
      <c r="A641" s="4" t="s">
        <v>19</v>
      </c>
      <c r="B641" s="4" t="s">
        <v>370</v>
      </c>
      <c r="C641" s="4" t="s">
        <v>749</v>
      </c>
      <c r="D641" s="4" t="s">
        <v>750</v>
      </c>
      <c r="E641" s="4" t="s">
        <v>254</v>
      </c>
      <c r="F641" s="4" t="s">
        <v>3917</v>
      </c>
      <c r="G641" s="4" t="s">
        <v>3918</v>
      </c>
      <c r="H641" s="4" t="s">
        <v>37</v>
      </c>
      <c r="I641" s="4" t="s">
        <v>38</v>
      </c>
      <c r="J641" s="4" t="s">
        <v>28</v>
      </c>
      <c r="K641" s="4" t="s">
        <v>28</v>
      </c>
      <c r="L641" s="4" t="s">
        <v>27</v>
      </c>
      <c r="M641" s="4" t="s">
        <v>34</v>
      </c>
      <c r="N641" s="4" t="s">
        <v>27</v>
      </c>
    </row>
    <row r="642" spans="1:14" ht="14.4" thickBot="1" x14ac:dyDescent="0.35">
      <c r="A642" s="4" t="s">
        <v>19</v>
      </c>
      <c r="B642" s="4" t="s">
        <v>370</v>
      </c>
      <c r="C642" s="4" t="s">
        <v>749</v>
      </c>
      <c r="D642" s="4" t="s">
        <v>750</v>
      </c>
      <c r="E642" s="4" t="s">
        <v>254</v>
      </c>
      <c r="F642" s="4" t="s">
        <v>4041</v>
      </c>
      <c r="G642" s="4" t="s">
        <v>4042</v>
      </c>
      <c r="H642" s="4" t="s">
        <v>26</v>
      </c>
      <c r="I642" s="4" t="s">
        <v>26</v>
      </c>
      <c r="J642" s="4" t="s">
        <v>27</v>
      </c>
      <c r="K642" s="4" t="s">
        <v>28</v>
      </c>
      <c r="L642" s="4" t="s">
        <v>28</v>
      </c>
      <c r="M642" s="4" t="s">
        <v>29</v>
      </c>
      <c r="N642" s="4" t="s">
        <v>28</v>
      </c>
    </row>
    <row r="643" spans="1:14" ht="14.4" thickBot="1" x14ac:dyDescent="0.35">
      <c r="A643" s="4" t="s">
        <v>19</v>
      </c>
      <c r="B643" s="4" t="s">
        <v>370</v>
      </c>
      <c r="C643" s="4" t="s">
        <v>749</v>
      </c>
      <c r="D643" s="4" t="s">
        <v>750</v>
      </c>
      <c r="E643" s="4" t="s">
        <v>254</v>
      </c>
      <c r="F643" s="4" t="s">
        <v>4043</v>
      </c>
      <c r="G643" s="4" t="s">
        <v>4044</v>
      </c>
      <c r="H643" s="4" t="s">
        <v>26</v>
      </c>
      <c r="I643" s="4" t="s">
        <v>26</v>
      </c>
      <c r="J643" s="4" t="s">
        <v>27</v>
      </c>
      <c r="K643" s="4" t="s">
        <v>28</v>
      </c>
      <c r="L643" s="4" t="s">
        <v>28</v>
      </c>
      <c r="M643" s="4" t="s">
        <v>29</v>
      </c>
      <c r="N643" s="4" t="s">
        <v>28</v>
      </c>
    </row>
    <row r="644" spans="1:14" ht="14.4" thickBot="1" x14ac:dyDescent="0.35">
      <c r="A644" s="4" t="s">
        <v>19</v>
      </c>
      <c r="B644" s="4" t="s">
        <v>370</v>
      </c>
      <c r="C644" s="4" t="s">
        <v>749</v>
      </c>
      <c r="D644" s="4" t="s">
        <v>750</v>
      </c>
      <c r="E644" s="4" t="s">
        <v>254</v>
      </c>
      <c r="F644" s="4" t="s">
        <v>4045</v>
      </c>
      <c r="G644" s="4" t="s">
        <v>4046</v>
      </c>
      <c r="H644" s="4" t="s">
        <v>26</v>
      </c>
      <c r="I644" s="4" t="s">
        <v>135</v>
      </c>
      <c r="J644" s="4" t="s">
        <v>27</v>
      </c>
      <c r="K644" s="4" t="s">
        <v>28</v>
      </c>
      <c r="L644" s="4" t="s">
        <v>28</v>
      </c>
      <c r="M644" s="4" t="s">
        <v>29</v>
      </c>
      <c r="N644" s="4" t="s">
        <v>28</v>
      </c>
    </row>
    <row r="645" spans="1:14" ht="14.4" thickBot="1" x14ac:dyDescent="0.35">
      <c r="A645" s="4" t="s">
        <v>19</v>
      </c>
      <c r="B645" s="4" t="s">
        <v>370</v>
      </c>
      <c r="C645" s="4" t="s">
        <v>749</v>
      </c>
      <c r="D645" s="4" t="s">
        <v>750</v>
      </c>
      <c r="E645" s="4" t="s">
        <v>254</v>
      </c>
      <c r="F645" s="4" t="s">
        <v>4047</v>
      </c>
      <c r="G645" s="4" t="s">
        <v>4048</v>
      </c>
      <c r="H645" s="4" t="s">
        <v>26</v>
      </c>
      <c r="I645" s="4" t="s">
        <v>116</v>
      </c>
      <c r="J645" s="4" t="s">
        <v>27</v>
      </c>
      <c r="K645" s="4" t="s">
        <v>28</v>
      </c>
      <c r="L645" s="4" t="s">
        <v>28</v>
      </c>
      <c r="M645" s="4" t="s">
        <v>29</v>
      </c>
      <c r="N645" s="4" t="s">
        <v>28</v>
      </c>
    </row>
    <row r="646" spans="1:14" ht="14.4" thickBot="1" x14ac:dyDescent="0.35">
      <c r="A646" s="4" t="s">
        <v>19</v>
      </c>
      <c r="B646" s="4" t="s">
        <v>370</v>
      </c>
      <c r="C646" s="4" t="s">
        <v>749</v>
      </c>
      <c r="D646" s="4" t="s">
        <v>750</v>
      </c>
      <c r="E646" s="4" t="s">
        <v>254</v>
      </c>
      <c r="F646" s="4" t="s">
        <v>4049</v>
      </c>
      <c r="G646" s="4" t="s">
        <v>4050</v>
      </c>
      <c r="H646" s="4" t="s">
        <v>26</v>
      </c>
      <c r="I646" s="4" t="s">
        <v>26</v>
      </c>
      <c r="J646" s="5"/>
      <c r="K646" s="5"/>
      <c r="L646" s="5"/>
      <c r="M646" s="4" t="s">
        <v>29</v>
      </c>
      <c r="N646" s="5"/>
    </row>
    <row r="647" spans="1:14" ht="14.4" thickBot="1" x14ac:dyDescent="0.35">
      <c r="A647" s="4" t="s">
        <v>19</v>
      </c>
      <c r="B647" s="4" t="s">
        <v>370</v>
      </c>
      <c r="C647" s="4" t="s">
        <v>749</v>
      </c>
      <c r="D647" s="4" t="s">
        <v>750</v>
      </c>
      <c r="E647" s="4" t="s">
        <v>254</v>
      </c>
      <c r="F647" s="4" t="s">
        <v>4051</v>
      </c>
      <c r="G647" s="4" t="s">
        <v>4052</v>
      </c>
      <c r="H647" s="4" t="s">
        <v>26</v>
      </c>
      <c r="I647" s="4" t="s">
        <v>26</v>
      </c>
      <c r="J647" s="5"/>
      <c r="K647" s="5"/>
      <c r="L647" s="5"/>
      <c r="M647" s="4" t="s">
        <v>29</v>
      </c>
      <c r="N647" s="5"/>
    </row>
    <row r="648" spans="1:14" ht="14.4" thickBot="1" x14ac:dyDescent="0.35">
      <c r="A648" s="4" t="s">
        <v>19</v>
      </c>
      <c r="B648" s="4" t="s">
        <v>370</v>
      </c>
      <c r="C648" s="4" t="s">
        <v>749</v>
      </c>
      <c r="D648" s="4" t="s">
        <v>750</v>
      </c>
      <c r="E648" s="4" t="s">
        <v>254</v>
      </c>
      <c r="F648" s="4" t="s">
        <v>4053</v>
      </c>
      <c r="G648" s="4" t="s">
        <v>4054</v>
      </c>
      <c r="H648" s="4" t="s">
        <v>26</v>
      </c>
      <c r="I648" s="4" t="s">
        <v>26</v>
      </c>
      <c r="J648" s="5"/>
      <c r="K648" s="5"/>
      <c r="L648" s="5"/>
      <c r="M648" s="4" t="s">
        <v>29</v>
      </c>
      <c r="N648" s="5"/>
    </row>
    <row r="649" spans="1:14" ht="14.4" thickBot="1" x14ac:dyDescent="0.35">
      <c r="A649" s="4" t="s">
        <v>19</v>
      </c>
      <c r="B649" s="4" t="s">
        <v>370</v>
      </c>
      <c r="C649" s="4" t="s">
        <v>749</v>
      </c>
      <c r="D649" s="4" t="s">
        <v>750</v>
      </c>
      <c r="E649" s="4" t="s">
        <v>254</v>
      </c>
      <c r="F649" s="4" t="s">
        <v>4055</v>
      </c>
      <c r="G649" s="4" t="s">
        <v>4056</v>
      </c>
      <c r="H649" s="4" t="s">
        <v>26</v>
      </c>
      <c r="I649" s="4" t="s">
        <v>69</v>
      </c>
      <c r="J649" s="5"/>
      <c r="K649" s="5"/>
      <c r="L649" s="5"/>
      <c r="M649" s="4" t="s">
        <v>29</v>
      </c>
      <c r="N649" s="5"/>
    </row>
    <row r="650" spans="1:14" ht="14.4" thickBot="1" x14ac:dyDescent="0.35">
      <c r="A650" s="4" t="s">
        <v>19</v>
      </c>
      <c r="B650" s="4" t="s">
        <v>370</v>
      </c>
      <c r="C650" s="4" t="s">
        <v>749</v>
      </c>
      <c r="D650" s="4" t="s">
        <v>750</v>
      </c>
      <c r="E650" s="4" t="s">
        <v>254</v>
      </c>
      <c r="F650" s="4" t="s">
        <v>4632</v>
      </c>
      <c r="G650" s="4" t="s">
        <v>4633</v>
      </c>
      <c r="H650" s="4" t="s">
        <v>26</v>
      </c>
      <c r="I650" s="4" t="s">
        <v>94</v>
      </c>
      <c r="J650" s="4" t="s">
        <v>27</v>
      </c>
      <c r="K650" s="4" t="s">
        <v>28</v>
      </c>
      <c r="L650" s="4" t="s">
        <v>28</v>
      </c>
      <c r="M650" s="4" t="s">
        <v>34</v>
      </c>
      <c r="N650" s="4" t="s">
        <v>28</v>
      </c>
    </row>
    <row r="651" spans="1:14" ht="14.4" thickBot="1" x14ac:dyDescent="0.35">
      <c r="A651" s="4" t="s">
        <v>19</v>
      </c>
      <c r="B651" s="4" t="s">
        <v>370</v>
      </c>
      <c r="C651" s="4" t="s">
        <v>749</v>
      </c>
      <c r="D651" s="4" t="s">
        <v>750</v>
      </c>
      <c r="E651" s="4" t="s">
        <v>254</v>
      </c>
      <c r="F651" s="4" t="s">
        <v>4634</v>
      </c>
      <c r="G651" s="4" t="s">
        <v>4635</v>
      </c>
      <c r="H651" s="4" t="s">
        <v>135</v>
      </c>
      <c r="I651" s="4" t="s">
        <v>33</v>
      </c>
      <c r="J651" s="4" t="s">
        <v>27</v>
      </c>
      <c r="K651" s="4" t="s">
        <v>28</v>
      </c>
      <c r="L651" s="4" t="s">
        <v>28</v>
      </c>
      <c r="M651" s="4" t="s">
        <v>34</v>
      </c>
      <c r="N651" s="4" t="s">
        <v>28</v>
      </c>
    </row>
    <row r="652" spans="1:14" ht="14.4" thickBot="1" x14ac:dyDescent="0.35">
      <c r="A652" s="4" t="s">
        <v>19</v>
      </c>
      <c r="B652" s="4" t="s">
        <v>370</v>
      </c>
      <c r="C652" s="4" t="s">
        <v>749</v>
      </c>
      <c r="D652" s="4" t="s">
        <v>750</v>
      </c>
      <c r="E652" s="4" t="s">
        <v>254</v>
      </c>
      <c r="F652" s="4" t="s">
        <v>4636</v>
      </c>
      <c r="G652" s="4" t="s">
        <v>4637</v>
      </c>
      <c r="H652" s="4" t="s">
        <v>135</v>
      </c>
      <c r="I652" s="4" t="s">
        <v>33</v>
      </c>
      <c r="J652" s="4" t="s">
        <v>27</v>
      </c>
      <c r="K652" s="4" t="s">
        <v>28</v>
      </c>
      <c r="L652" s="4" t="s">
        <v>28</v>
      </c>
      <c r="M652" s="4" t="s">
        <v>34</v>
      </c>
      <c r="N652" s="4" t="s">
        <v>28</v>
      </c>
    </row>
    <row r="653" spans="1:14" ht="14.4" thickBot="1" x14ac:dyDescent="0.35">
      <c r="A653" s="4" t="s">
        <v>19</v>
      </c>
      <c r="B653" s="4" t="s">
        <v>370</v>
      </c>
      <c r="C653" s="4" t="s">
        <v>749</v>
      </c>
      <c r="D653" s="4" t="s">
        <v>750</v>
      </c>
      <c r="E653" s="4" t="s">
        <v>254</v>
      </c>
      <c r="F653" s="4" t="s">
        <v>4742</v>
      </c>
      <c r="G653" s="4" t="s">
        <v>4743</v>
      </c>
      <c r="H653" s="4" t="s">
        <v>37</v>
      </c>
      <c r="I653" s="4" t="s">
        <v>38</v>
      </c>
      <c r="J653" s="4" t="s">
        <v>28</v>
      </c>
      <c r="K653" s="4" t="s">
        <v>28</v>
      </c>
      <c r="L653" s="4" t="s">
        <v>27</v>
      </c>
      <c r="M653" s="4" t="s">
        <v>29</v>
      </c>
      <c r="N653" s="4" t="s">
        <v>28</v>
      </c>
    </row>
    <row r="654" spans="1:14" ht="14.4" thickBot="1" x14ac:dyDescent="0.35">
      <c r="A654" s="4" t="s">
        <v>19</v>
      </c>
      <c r="B654" s="4" t="s">
        <v>370</v>
      </c>
      <c r="C654" s="4" t="s">
        <v>749</v>
      </c>
      <c r="D654" s="4" t="s">
        <v>750</v>
      </c>
      <c r="E654" s="4" t="s">
        <v>254</v>
      </c>
      <c r="F654" s="4" t="s">
        <v>4744</v>
      </c>
      <c r="G654" s="4" t="s">
        <v>4745</v>
      </c>
      <c r="H654" s="4" t="s">
        <v>26</v>
      </c>
      <c r="I654" s="4" t="s">
        <v>26</v>
      </c>
      <c r="J654" s="4" t="s">
        <v>27</v>
      </c>
      <c r="K654" s="4" t="s">
        <v>28</v>
      </c>
      <c r="L654" s="4" t="s">
        <v>28</v>
      </c>
      <c r="M654" s="4" t="s">
        <v>29</v>
      </c>
      <c r="N654" s="4" t="s">
        <v>28</v>
      </c>
    </row>
    <row r="655" spans="1:14" ht="14.4" thickBot="1" x14ac:dyDescent="0.35">
      <c r="A655" s="4" t="s">
        <v>19</v>
      </c>
      <c r="B655" s="4" t="s">
        <v>370</v>
      </c>
      <c r="C655" s="4" t="s">
        <v>749</v>
      </c>
      <c r="D655" s="4" t="s">
        <v>750</v>
      </c>
      <c r="E655" s="4" t="s">
        <v>254</v>
      </c>
      <c r="F655" s="4" t="s">
        <v>4746</v>
      </c>
      <c r="G655" s="4" t="s">
        <v>4747</v>
      </c>
      <c r="H655" s="4" t="s">
        <v>26</v>
      </c>
      <c r="I655" s="4" t="s">
        <v>26</v>
      </c>
      <c r="J655" s="4" t="s">
        <v>27</v>
      </c>
      <c r="K655" s="4" t="s">
        <v>28</v>
      </c>
      <c r="L655" s="4" t="s">
        <v>28</v>
      </c>
      <c r="M655" s="4" t="s">
        <v>29</v>
      </c>
      <c r="N655" s="4" t="s">
        <v>28</v>
      </c>
    </row>
    <row r="656" spans="1:14" ht="14.4" thickBot="1" x14ac:dyDescent="0.35">
      <c r="A656" s="4" t="s">
        <v>19</v>
      </c>
      <c r="B656" s="4" t="s">
        <v>370</v>
      </c>
      <c r="C656" s="4" t="s">
        <v>749</v>
      </c>
      <c r="D656" s="4" t="s">
        <v>750</v>
      </c>
      <c r="E656" s="4" t="s">
        <v>254</v>
      </c>
      <c r="F656" s="4" t="s">
        <v>4748</v>
      </c>
      <c r="G656" s="4" t="s">
        <v>4749</v>
      </c>
      <c r="H656" s="4" t="s">
        <v>135</v>
      </c>
      <c r="I656" s="4" t="s">
        <v>38</v>
      </c>
      <c r="J656" s="5"/>
      <c r="K656" s="5"/>
      <c r="L656" s="5"/>
      <c r="M656" s="4" t="s">
        <v>29</v>
      </c>
      <c r="N656" s="5"/>
    </row>
    <row r="657" spans="1:14" ht="14.4" thickBot="1" x14ac:dyDescent="0.35">
      <c r="A657" s="4" t="s">
        <v>19</v>
      </c>
      <c r="B657" s="4" t="s">
        <v>370</v>
      </c>
      <c r="C657" s="4" t="s">
        <v>749</v>
      </c>
      <c r="D657" s="4" t="s">
        <v>750</v>
      </c>
      <c r="E657" s="4" t="s">
        <v>254</v>
      </c>
      <c r="F657" s="4" t="s">
        <v>4750</v>
      </c>
      <c r="G657" s="4" t="s">
        <v>4751</v>
      </c>
      <c r="H657" s="4" t="s">
        <v>26</v>
      </c>
      <c r="I657" s="4" t="s">
        <v>94</v>
      </c>
      <c r="J657" s="5"/>
      <c r="K657" s="5"/>
      <c r="L657" s="5"/>
      <c r="M657" s="4" t="s">
        <v>29</v>
      </c>
      <c r="N657" s="5"/>
    </row>
    <row r="658" spans="1:14" ht="14.4" thickBot="1" x14ac:dyDescent="0.35">
      <c r="A658" s="4" t="s">
        <v>19</v>
      </c>
      <c r="B658" s="4" t="s">
        <v>370</v>
      </c>
      <c r="C658" s="4" t="s">
        <v>749</v>
      </c>
      <c r="D658" s="4" t="s">
        <v>750</v>
      </c>
      <c r="E658" s="4" t="s">
        <v>254</v>
      </c>
      <c r="F658" s="4" t="s">
        <v>4752</v>
      </c>
      <c r="G658" s="4" t="s">
        <v>4753</v>
      </c>
      <c r="H658" s="4" t="s">
        <v>26</v>
      </c>
      <c r="I658" s="4" t="s">
        <v>116</v>
      </c>
      <c r="J658" s="4" t="s">
        <v>27</v>
      </c>
      <c r="K658" s="4" t="s">
        <v>28</v>
      </c>
      <c r="L658" s="4" t="s">
        <v>28</v>
      </c>
      <c r="M658" s="4" t="s">
        <v>29</v>
      </c>
      <c r="N658" s="4" t="s">
        <v>28</v>
      </c>
    </row>
    <row r="659" spans="1:14" ht="14.4" thickBot="1" x14ac:dyDescent="0.35">
      <c r="A659" s="4" t="s">
        <v>19</v>
      </c>
      <c r="B659" s="4" t="s">
        <v>370</v>
      </c>
      <c r="C659" s="4" t="s">
        <v>749</v>
      </c>
      <c r="D659" s="4" t="s">
        <v>750</v>
      </c>
      <c r="E659" s="4" t="s">
        <v>254</v>
      </c>
      <c r="F659" s="4" t="s">
        <v>4754</v>
      </c>
      <c r="G659" s="4" t="s">
        <v>4755</v>
      </c>
      <c r="H659" s="4" t="s">
        <v>26</v>
      </c>
      <c r="I659" s="4" t="s">
        <v>33</v>
      </c>
      <c r="J659" s="5"/>
      <c r="K659" s="5"/>
      <c r="L659" s="5"/>
      <c r="M659" s="4" t="s">
        <v>29</v>
      </c>
      <c r="N659" s="5"/>
    </row>
    <row r="660" spans="1:14" ht="14.4" thickBot="1" x14ac:dyDescent="0.35">
      <c r="A660" s="4" t="s">
        <v>19</v>
      </c>
      <c r="B660" s="4" t="s">
        <v>370</v>
      </c>
      <c r="C660" s="4" t="s">
        <v>749</v>
      </c>
      <c r="D660" s="4" t="s">
        <v>750</v>
      </c>
      <c r="E660" s="4" t="s">
        <v>254</v>
      </c>
      <c r="F660" s="4" t="s">
        <v>4756</v>
      </c>
      <c r="G660" s="4" t="s">
        <v>4757</v>
      </c>
      <c r="H660" s="4" t="s">
        <v>26</v>
      </c>
      <c r="I660" s="4" t="s">
        <v>94</v>
      </c>
      <c r="J660" s="5"/>
      <c r="K660" s="5"/>
      <c r="L660" s="5"/>
      <c r="M660" s="4" t="s">
        <v>29</v>
      </c>
      <c r="N660" s="5"/>
    </row>
    <row r="661" spans="1:14" ht="14.4" thickBot="1" x14ac:dyDescent="0.35">
      <c r="A661" s="4" t="s">
        <v>19</v>
      </c>
      <c r="B661" s="4" t="s">
        <v>370</v>
      </c>
      <c r="C661" s="4" t="s">
        <v>749</v>
      </c>
      <c r="D661" s="4" t="s">
        <v>750</v>
      </c>
      <c r="E661" s="4" t="s">
        <v>254</v>
      </c>
      <c r="F661" s="4" t="s">
        <v>4758</v>
      </c>
      <c r="G661" s="4" t="s">
        <v>4759</v>
      </c>
      <c r="H661" s="4" t="s">
        <v>26</v>
      </c>
      <c r="I661" s="4" t="s">
        <v>26</v>
      </c>
      <c r="J661" s="5"/>
      <c r="K661" s="5"/>
      <c r="L661" s="5"/>
      <c r="M661" s="4" t="s">
        <v>29</v>
      </c>
      <c r="N661" s="5"/>
    </row>
    <row r="662" spans="1:14" ht="14.4" thickBot="1" x14ac:dyDescent="0.35">
      <c r="A662" s="4" t="s">
        <v>19</v>
      </c>
      <c r="B662" s="4" t="s">
        <v>370</v>
      </c>
      <c r="C662" s="4" t="s">
        <v>749</v>
      </c>
      <c r="D662" s="4" t="s">
        <v>750</v>
      </c>
      <c r="E662" s="4" t="s">
        <v>254</v>
      </c>
      <c r="F662" s="4" t="s">
        <v>4760</v>
      </c>
      <c r="G662" s="4" t="s">
        <v>4761</v>
      </c>
      <c r="H662" s="4" t="s">
        <v>26</v>
      </c>
      <c r="I662" s="4" t="s">
        <v>94</v>
      </c>
      <c r="J662" s="5"/>
      <c r="K662" s="5"/>
      <c r="L662" s="5"/>
      <c r="M662" s="4" t="s">
        <v>29</v>
      </c>
      <c r="N662" s="5"/>
    </row>
    <row r="663" spans="1:14" ht="14.4" thickBot="1" x14ac:dyDescent="0.35">
      <c r="A663" s="4" t="s">
        <v>19</v>
      </c>
      <c r="B663" s="4" t="s">
        <v>370</v>
      </c>
      <c r="C663" s="4" t="s">
        <v>749</v>
      </c>
      <c r="D663" s="4" t="s">
        <v>750</v>
      </c>
      <c r="E663" s="4" t="s">
        <v>254</v>
      </c>
      <c r="F663" s="4" t="s">
        <v>4762</v>
      </c>
      <c r="G663" s="4" t="s">
        <v>4763</v>
      </c>
      <c r="H663" s="4" t="s">
        <v>26</v>
      </c>
      <c r="I663" s="4" t="s">
        <v>94</v>
      </c>
      <c r="J663" s="4" t="s">
        <v>27</v>
      </c>
      <c r="K663" s="4" t="s">
        <v>28</v>
      </c>
      <c r="L663" s="4" t="s">
        <v>28</v>
      </c>
      <c r="M663" s="4" t="s">
        <v>29</v>
      </c>
      <c r="N663" s="5"/>
    </row>
    <row r="664" spans="1:14" ht="14.4" thickBot="1" x14ac:dyDescent="0.35">
      <c r="A664" s="4" t="s">
        <v>19</v>
      </c>
      <c r="B664" s="4" t="s">
        <v>370</v>
      </c>
      <c r="C664" s="4" t="s">
        <v>749</v>
      </c>
      <c r="D664" s="4" t="s">
        <v>750</v>
      </c>
      <c r="E664" s="4" t="s">
        <v>254</v>
      </c>
      <c r="F664" s="4" t="s">
        <v>4764</v>
      </c>
      <c r="G664" s="4" t="s">
        <v>4765</v>
      </c>
      <c r="H664" s="4" t="s">
        <v>26</v>
      </c>
      <c r="I664" s="4" t="s">
        <v>135</v>
      </c>
      <c r="J664" s="4" t="s">
        <v>27</v>
      </c>
      <c r="K664" s="4" t="s">
        <v>28</v>
      </c>
      <c r="L664" s="4" t="s">
        <v>28</v>
      </c>
      <c r="M664" s="4" t="s">
        <v>29</v>
      </c>
      <c r="N664" s="5"/>
    </row>
    <row r="665" spans="1:14" ht="14.4" thickBot="1" x14ac:dyDescent="0.35">
      <c r="A665" s="4" t="s">
        <v>19</v>
      </c>
      <c r="B665" s="4" t="s">
        <v>370</v>
      </c>
      <c r="C665" s="4" t="s">
        <v>749</v>
      </c>
      <c r="D665" s="4" t="s">
        <v>750</v>
      </c>
      <c r="E665" s="4" t="s">
        <v>254</v>
      </c>
      <c r="F665" s="4" t="s">
        <v>4766</v>
      </c>
      <c r="G665" s="4" t="s">
        <v>4767</v>
      </c>
      <c r="H665" s="4" t="s">
        <v>26</v>
      </c>
      <c r="I665" s="4" t="s">
        <v>135</v>
      </c>
      <c r="J665" s="5"/>
      <c r="K665" s="5"/>
      <c r="L665" s="5"/>
      <c r="M665" s="4" t="s">
        <v>29</v>
      </c>
      <c r="N665" s="5"/>
    </row>
    <row r="666" spans="1:14" ht="14.4" thickBot="1" x14ac:dyDescent="0.35">
      <c r="A666" s="4" t="s">
        <v>19</v>
      </c>
      <c r="B666" s="4" t="s">
        <v>370</v>
      </c>
      <c r="C666" s="4" t="s">
        <v>749</v>
      </c>
      <c r="D666" s="4" t="s">
        <v>750</v>
      </c>
      <c r="E666" s="4" t="s">
        <v>254</v>
      </c>
      <c r="F666" s="4" t="s">
        <v>4768</v>
      </c>
      <c r="G666" s="4" t="s">
        <v>4769</v>
      </c>
      <c r="H666" s="4" t="s">
        <v>135</v>
      </c>
      <c r="I666" s="4" t="s">
        <v>94</v>
      </c>
      <c r="J666" s="5"/>
      <c r="K666" s="5"/>
      <c r="L666" s="5"/>
      <c r="M666" s="4" t="s">
        <v>29</v>
      </c>
      <c r="N666" s="5"/>
    </row>
    <row r="667" spans="1:14" ht="14.4" thickBot="1" x14ac:dyDescent="0.35">
      <c r="A667" s="4" t="s">
        <v>19</v>
      </c>
      <c r="B667" s="4" t="s">
        <v>370</v>
      </c>
      <c r="C667" s="4" t="s">
        <v>749</v>
      </c>
      <c r="D667" s="4" t="s">
        <v>750</v>
      </c>
      <c r="E667" s="4" t="s">
        <v>254</v>
      </c>
      <c r="F667" s="4" t="s">
        <v>546</v>
      </c>
      <c r="G667" s="4" t="s">
        <v>5308</v>
      </c>
      <c r="H667" s="4" t="s">
        <v>135</v>
      </c>
      <c r="I667" s="4" t="s">
        <v>38</v>
      </c>
      <c r="J667" s="4" t="s">
        <v>28</v>
      </c>
      <c r="K667" s="4" t="s">
        <v>28</v>
      </c>
      <c r="L667" s="4" t="s">
        <v>27</v>
      </c>
      <c r="M667" s="4" t="s">
        <v>34</v>
      </c>
      <c r="N667" s="4" t="s">
        <v>28</v>
      </c>
    </row>
    <row r="668" spans="1:14" ht="14.4" thickBot="1" x14ac:dyDescent="0.35">
      <c r="A668" s="4" t="s">
        <v>19</v>
      </c>
      <c r="B668" s="4" t="s">
        <v>370</v>
      </c>
      <c r="C668" s="4" t="s">
        <v>749</v>
      </c>
      <c r="D668" s="4" t="s">
        <v>750</v>
      </c>
      <c r="E668" s="4" t="s">
        <v>254</v>
      </c>
      <c r="F668" s="4" t="s">
        <v>5309</v>
      </c>
      <c r="G668" s="4" t="s">
        <v>5310</v>
      </c>
      <c r="H668" s="4" t="s">
        <v>69</v>
      </c>
      <c r="I668" s="4" t="s">
        <v>94</v>
      </c>
      <c r="J668" s="4" t="s">
        <v>28</v>
      </c>
      <c r="K668" s="4" t="s">
        <v>27</v>
      </c>
      <c r="L668" s="4" t="s">
        <v>28</v>
      </c>
      <c r="M668" s="4" t="s">
        <v>34</v>
      </c>
      <c r="N668" s="4" t="s">
        <v>27</v>
      </c>
    </row>
    <row r="669" spans="1:14" ht="14.4" thickBot="1" x14ac:dyDescent="0.35">
      <c r="A669" s="4" t="s">
        <v>19</v>
      </c>
      <c r="B669" s="4" t="s">
        <v>370</v>
      </c>
      <c r="C669" s="4" t="s">
        <v>749</v>
      </c>
      <c r="D669" s="4" t="s">
        <v>750</v>
      </c>
      <c r="E669" s="4" t="s">
        <v>254</v>
      </c>
      <c r="F669" s="4" t="s">
        <v>5311</v>
      </c>
      <c r="G669" s="4" t="s">
        <v>5312</v>
      </c>
      <c r="H669" s="4" t="s">
        <v>135</v>
      </c>
      <c r="I669" s="4" t="s">
        <v>33</v>
      </c>
      <c r="J669" s="4" t="s">
        <v>27</v>
      </c>
      <c r="K669" s="4" t="s">
        <v>28</v>
      </c>
      <c r="L669" s="4" t="s">
        <v>28</v>
      </c>
      <c r="M669" s="4" t="s">
        <v>34</v>
      </c>
      <c r="N669" s="4" t="s">
        <v>28</v>
      </c>
    </row>
    <row r="670" spans="1:14" ht="14.4" thickBot="1" x14ac:dyDescent="0.35">
      <c r="A670" s="4" t="s">
        <v>19</v>
      </c>
      <c r="B670" s="4" t="s">
        <v>370</v>
      </c>
      <c r="C670" s="4" t="s">
        <v>749</v>
      </c>
      <c r="D670" s="4" t="s">
        <v>750</v>
      </c>
      <c r="E670" s="4" t="s">
        <v>254</v>
      </c>
      <c r="F670" s="4" t="s">
        <v>5313</v>
      </c>
      <c r="G670" s="4" t="s">
        <v>5314</v>
      </c>
      <c r="H670" s="4" t="s">
        <v>26</v>
      </c>
      <c r="I670" s="4" t="s">
        <v>33</v>
      </c>
      <c r="J670" s="4" t="s">
        <v>27</v>
      </c>
      <c r="K670" s="4" t="s">
        <v>28</v>
      </c>
      <c r="L670" s="4" t="s">
        <v>28</v>
      </c>
      <c r="M670" s="4" t="s">
        <v>34</v>
      </c>
      <c r="N670" s="4" t="s">
        <v>28</v>
      </c>
    </row>
    <row r="671" spans="1:14" ht="14.4" thickBot="1" x14ac:dyDescent="0.35">
      <c r="A671" s="4" t="s">
        <v>19</v>
      </c>
      <c r="B671" s="4" t="s">
        <v>370</v>
      </c>
      <c r="C671" s="4" t="s">
        <v>749</v>
      </c>
      <c r="D671" s="4" t="s">
        <v>750</v>
      </c>
      <c r="E671" s="4" t="s">
        <v>254</v>
      </c>
      <c r="F671" s="4" t="s">
        <v>5315</v>
      </c>
      <c r="G671" s="4" t="s">
        <v>5316</v>
      </c>
      <c r="H671" s="4" t="s">
        <v>26</v>
      </c>
      <c r="I671" s="4" t="s">
        <v>33</v>
      </c>
      <c r="J671" s="4" t="s">
        <v>27</v>
      </c>
      <c r="K671" s="4" t="s">
        <v>28</v>
      </c>
      <c r="L671" s="4" t="s">
        <v>28</v>
      </c>
      <c r="M671" s="4" t="s">
        <v>34</v>
      </c>
      <c r="N671" s="4" t="s">
        <v>28</v>
      </c>
    </row>
    <row r="672" spans="1:14" ht="14.4" thickBot="1" x14ac:dyDescent="0.35">
      <c r="A672" s="4" t="s">
        <v>19</v>
      </c>
      <c r="B672" s="4" t="s">
        <v>370</v>
      </c>
      <c r="C672" s="4" t="s">
        <v>749</v>
      </c>
      <c r="D672" s="4" t="s">
        <v>750</v>
      </c>
      <c r="E672" s="4" t="s">
        <v>254</v>
      </c>
      <c r="F672" s="4" t="s">
        <v>5317</v>
      </c>
      <c r="G672" s="4" t="s">
        <v>5318</v>
      </c>
      <c r="H672" s="4" t="s">
        <v>135</v>
      </c>
      <c r="I672" s="4" t="s">
        <v>33</v>
      </c>
      <c r="J672" s="4" t="s">
        <v>27</v>
      </c>
      <c r="K672" s="4" t="s">
        <v>28</v>
      </c>
      <c r="L672" s="4" t="s">
        <v>28</v>
      </c>
      <c r="M672" s="4" t="s">
        <v>34</v>
      </c>
      <c r="N672" s="4" t="s">
        <v>28</v>
      </c>
    </row>
    <row r="673" spans="1:14" ht="14.4" thickBot="1" x14ac:dyDescent="0.35">
      <c r="A673" s="4" t="s">
        <v>19</v>
      </c>
      <c r="B673" s="4" t="s">
        <v>370</v>
      </c>
      <c r="C673" s="4" t="s">
        <v>749</v>
      </c>
      <c r="D673" s="4" t="s">
        <v>750</v>
      </c>
      <c r="E673" s="4" t="s">
        <v>254</v>
      </c>
      <c r="F673" s="4" t="s">
        <v>5319</v>
      </c>
      <c r="G673" s="4" t="s">
        <v>5320</v>
      </c>
      <c r="H673" s="4" t="s">
        <v>69</v>
      </c>
      <c r="I673" s="4" t="s">
        <v>94</v>
      </c>
      <c r="J673" s="4" t="s">
        <v>28</v>
      </c>
      <c r="K673" s="4" t="s">
        <v>27</v>
      </c>
      <c r="L673" s="4" t="s">
        <v>28</v>
      </c>
      <c r="M673" s="4" t="s">
        <v>34</v>
      </c>
      <c r="N673" s="4" t="s">
        <v>28</v>
      </c>
    </row>
    <row r="674" spans="1:14" ht="14.4" thickBot="1" x14ac:dyDescent="0.35">
      <c r="A674" s="4" t="s">
        <v>19</v>
      </c>
      <c r="B674" s="4" t="s">
        <v>370</v>
      </c>
      <c r="C674" s="4" t="s">
        <v>749</v>
      </c>
      <c r="D674" s="4" t="s">
        <v>750</v>
      </c>
      <c r="E674" s="4" t="s">
        <v>254</v>
      </c>
      <c r="F674" s="4" t="s">
        <v>5321</v>
      </c>
      <c r="G674" s="4" t="s">
        <v>5322</v>
      </c>
      <c r="H674" s="4" t="s">
        <v>69</v>
      </c>
      <c r="I674" s="4" t="s">
        <v>94</v>
      </c>
      <c r="J674" s="4" t="s">
        <v>28</v>
      </c>
      <c r="K674" s="4" t="s">
        <v>27</v>
      </c>
      <c r="L674" s="4" t="s">
        <v>28</v>
      </c>
      <c r="M674" s="4" t="s">
        <v>34</v>
      </c>
      <c r="N674" s="4" t="s">
        <v>28</v>
      </c>
    </row>
    <row r="675" spans="1:14" ht="14.4" thickBot="1" x14ac:dyDescent="0.35">
      <c r="A675" s="4" t="s">
        <v>19</v>
      </c>
      <c r="B675" s="4" t="s">
        <v>370</v>
      </c>
      <c r="C675" s="4" t="s">
        <v>749</v>
      </c>
      <c r="D675" s="4" t="s">
        <v>750</v>
      </c>
      <c r="E675" s="4" t="s">
        <v>254</v>
      </c>
      <c r="F675" s="4" t="s">
        <v>5323</v>
      </c>
      <c r="G675" s="4" t="s">
        <v>5324</v>
      </c>
      <c r="H675" s="4" t="s">
        <v>26</v>
      </c>
      <c r="I675" s="4" t="s">
        <v>33</v>
      </c>
      <c r="J675" s="4" t="s">
        <v>27</v>
      </c>
      <c r="K675" s="4" t="s">
        <v>28</v>
      </c>
      <c r="L675" s="4" t="s">
        <v>28</v>
      </c>
      <c r="M675" s="4" t="s">
        <v>34</v>
      </c>
      <c r="N675" s="4" t="s">
        <v>28</v>
      </c>
    </row>
    <row r="676" spans="1:14" ht="14.4" thickBot="1" x14ac:dyDescent="0.35">
      <c r="A676" s="4" t="s">
        <v>19</v>
      </c>
      <c r="B676" s="4" t="s">
        <v>370</v>
      </c>
      <c r="C676" s="4" t="s">
        <v>749</v>
      </c>
      <c r="D676" s="4" t="s">
        <v>750</v>
      </c>
      <c r="E676" s="4" t="s">
        <v>254</v>
      </c>
      <c r="F676" s="4" t="s">
        <v>5442</v>
      </c>
      <c r="G676" s="4" t="s">
        <v>5443</v>
      </c>
      <c r="H676" s="4" t="s">
        <v>26</v>
      </c>
      <c r="I676" s="4" t="s">
        <v>38</v>
      </c>
      <c r="J676" s="4" t="s">
        <v>28</v>
      </c>
      <c r="K676" s="4" t="s">
        <v>28</v>
      </c>
      <c r="L676" s="4" t="s">
        <v>27</v>
      </c>
      <c r="M676" s="4" t="s">
        <v>29</v>
      </c>
      <c r="N676" s="4" t="s">
        <v>28</v>
      </c>
    </row>
    <row r="677" spans="1:14" ht="14.4" thickBot="1" x14ac:dyDescent="0.35">
      <c r="A677" s="4" t="s">
        <v>19</v>
      </c>
      <c r="B677" s="4" t="s">
        <v>370</v>
      </c>
      <c r="C677" s="4" t="s">
        <v>749</v>
      </c>
      <c r="D677" s="4" t="s">
        <v>750</v>
      </c>
      <c r="E677" s="4" t="s">
        <v>254</v>
      </c>
      <c r="F677" s="4" t="s">
        <v>5444</v>
      </c>
      <c r="G677" s="4" t="s">
        <v>5445</v>
      </c>
      <c r="H677" s="4" t="s">
        <v>26</v>
      </c>
      <c r="I677" s="4" t="s">
        <v>94</v>
      </c>
      <c r="J677" s="4" t="s">
        <v>27</v>
      </c>
      <c r="K677" s="4" t="s">
        <v>28</v>
      </c>
      <c r="L677" s="4" t="s">
        <v>28</v>
      </c>
      <c r="M677" s="4" t="s">
        <v>29</v>
      </c>
      <c r="N677" s="4" t="s">
        <v>28</v>
      </c>
    </row>
    <row r="678" spans="1:14" ht="14.4" thickBot="1" x14ac:dyDescent="0.35">
      <c r="A678" s="4" t="s">
        <v>19</v>
      </c>
      <c r="B678" s="4" t="s">
        <v>370</v>
      </c>
      <c r="C678" s="4" t="s">
        <v>749</v>
      </c>
      <c r="D678" s="4" t="s">
        <v>750</v>
      </c>
      <c r="E678" s="4" t="s">
        <v>254</v>
      </c>
      <c r="F678" s="4" t="s">
        <v>5446</v>
      </c>
      <c r="G678" s="4" t="s">
        <v>5447</v>
      </c>
      <c r="H678" s="4" t="s">
        <v>26</v>
      </c>
      <c r="I678" s="4" t="s">
        <v>116</v>
      </c>
      <c r="J678" s="4" t="s">
        <v>27</v>
      </c>
      <c r="K678" s="4" t="s">
        <v>28</v>
      </c>
      <c r="L678" s="4" t="s">
        <v>28</v>
      </c>
      <c r="M678" s="4" t="s">
        <v>29</v>
      </c>
      <c r="N678" s="4" t="s">
        <v>28</v>
      </c>
    </row>
    <row r="679" spans="1:14" ht="14.4" thickBot="1" x14ac:dyDescent="0.35">
      <c r="A679" s="4" t="s">
        <v>19</v>
      </c>
      <c r="B679" s="4" t="s">
        <v>370</v>
      </c>
      <c r="C679" s="4" t="s">
        <v>749</v>
      </c>
      <c r="D679" s="4" t="s">
        <v>750</v>
      </c>
      <c r="E679" s="4" t="s">
        <v>254</v>
      </c>
      <c r="F679" s="4" t="s">
        <v>5448</v>
      </c>
      <c r="G679" s="4" t="s">
        <v>5449</v>
      </c>
      <c r="H679" s="4" t="s">
        <v>26</v>
      </c>
      <c r="I679" s="4" t="s">
        <v>26</v>
      </c>
      <c r="J679" s="5"/>
      <c r="K679" s="5"/>
      <c r="L679" s="5"/>
      <c r="M679" s="4" t="s">
        <v>29</v>
      </c>
      <c r="N679" s="5"/>
    </row>
    <row r="680" spans="1:14" ht="14.4" thickBot="1" x14ac:dyDescent="0.35">
      <c r="A680" s="4" t="s">
        <v>19</v>
      </c>
      <c r="B680" s="4" t="s">
        <v>370</v>
      </c>
      <c r="C680" s="4" t="s">
        <v>749</v>
      </c>
      <c r="D680" s="4" t="s">
        <v>750</v>
      </c>
      <c r="E680" s="4" t="s">
        <v>254</v>
      </c>
      <c r="F680" s="4" t="s">
        <v>5450</v>
      </c>
      <c r="G680" s="4" t="s">
        <v>5451</v>
      </c>
      <c r="H680" s="4" t="s">
        <v>26</v>
      </c>
      <c r="I680" s="4" t="s">
        <v>26</v>
      </c>
      <c r="J680" s="4" t="s">
        <v>27</v>
      </c>
      <c r="K680" s="4" t="s">
        <v>28</v>
      </c>
      <c r="L680" s="4" t="s">
        <v>28</v>
      </c>
      <c r="M680" s="4" t="s">
        <v>29</v>
      </c>
      <c r="N680" s="4" t="s">
        <v>28</v>
      </c>
    </row>
    <row r="681" spans="1:14" ht="14.4" thickBot="1" x14ac:dyDescent="0.35">
      <c r="A681" s="4" t="s">
        <v>19</v>
      </c>
      <c r="B681" s="4" t="s">
        <v>370</v>
      </c>
      <c r="C681" s="4" t="s">
        <v>749</v>
      </c>
      <c r="D681" s="4" t="s">
        <v>750</v>
      </c>
      <c r="E681" s="4" t="s">
        <v>254</v>
      </c>
      <c r="F681" s="4" t="s">
        <v>5452</v>
      </c>
      <c r="G681" s="4" t="s">
        <v>5453</v>
      </c>
      <c r="H681" s="4" t="s">
        <v>26</v>
      </c>
      <c r="I681" s="4" t="s">
        <v>26</v>
      </c>
      <c r="J681" s="5"/>
      <c r="K681" s="5"/>
      <c r="L681" s="5"/>
      <c r="M681" s="4" t="s">
        <v>29</v>
      </c>
      <c r="N681" s="5"/>
    </row>
    <row r="682" spans="1:14" ht="14.4" thickBot="1" x14ac:dyDescent="0.35">
      <c r="A682" s="4" t="s">
        <v>19</v>
      </c>
      <c r="B682" s="4" t="s">
        <v>370</v>
      </c>
      <c r="C682" s="4" t="s">
        <v>749</v>
      </c>
      <c r="D682" s="4" t="s">
        <v>750</v>
      </c>
      <c r="E682" s="4" t="s">
        <v>254</v>
      </c>
      <c r="F682" s="4" t="s">
        <v>5454</v>
      </c>
      <c r="G682" s="4" t="s">
        <v>5455</v>
      </c>
      <c r="H682" s="4" t="s">
        <v>26</v>
      </c>
      <c r="I682" s="4" t="s">
        <v>26</v>
      </c>
      <c r="J682" s="4" t="s">
        <v>27</v>
      </c>
      <c r="K682" s="4" t="s">
        <v>28</v>
      </c>
      <c r="L682" s="4" t="s">
        <v>28</v>
      </c>
      <c r="M682" s="4" t="s">
        <v>130</v>
      </c>
      <c r="N682" s="5"/>
    </row>
    <row r="683" spans="1:14" ht="14.4" thickBot="1" x14ac:dyDescent="0.35">
      <c r="A683" s="4" t="s">
        <v>19</v>
      </c>
      <c r="B683" s="4" t="s">
        <v>370</v>
      </c>
      <c r="C683" s="4" t="s">
        <v>749</v>
      </c>
      <c r="D683" s="4" t="s">
        <v>750</v>
      </c>
      <c r="E683" s="4" t="s">
        <v>254</v>
      </c>
      <c r="F683" s="4" t="s">
        <v>5456</v>
      </c>
      <c r="G683" s="4" t="s">
        <v>5457</v>
      </c>
      <c r="H683" s="4" t="s">
        <v>26</v>
      </c>
      <c r="I683" s="4" t="s">
        <v>135</v>
      </c>
      <c r="J683" s="5"/>
      <c r="K683" s="5"/>
      <c r="L683" s="5"/>
      <c r="M683" s="4" t="s">
        <v>29</v>
      </c>
      <c r="N683" s="5"/>
    </row>
    <row r="684" spans="1:14" ht="14.4" thickBot="1" x14ac:dyDescent="0.35">
      <c r="A684" s="4" t="s">
        <v>19</v>
      </c>
      <c r="B684" s="4" t="s">
        <v>370</v>
      </c>
      <c r="C684" s="4" t="s">
        <v>749</v>
      </c>
      <c r="D684" s="4" t="s">
        <v>750</v>
      </c>
      <c r="E684" s="4" t="s">
        <v>254</v>
      </c>
      <c r="F684" s="4" t="s">
        <v>5458</v>
      </c>
      <c r="G684" s="4" t="s">
        <v>5459</v>
      </c>
      <c r="H684" s="4" t="s">
        <v>26</v>
      </c>
      <c r="I684" s="4" t="s">
        <v>135</v>
      </c>
      <c r="J684" s="5"/>
      <c r="K684" s="5"/>
      <c r="L684" s="5"/>
      <c r="M684" s="4" t="s">
        <v>29</v>
      </c>
      <c r="N684" s="5"/>
    </row>
    <row r="685" spans="1:14" ht="14.4" thickBot="1" x14ac:dyDescent="0.35">
      <c r="A685" s="4" t="s">
        <v>19</v>
      </c>
      <c r="B685" s="4" t="s">
        <v>370</v>
      </c>
      <c r="C685" s="4" t="s">
        <v>749</v>
      </c>
      <c r="D685" s="4" t="s">
        <v>750</v>
      </c>
      <c r="E685" s="4" t="s">
        <v>254</v>
      </c>
      <c r="F685" s="4" t="s">
        <v>6018</v>
      </c>
      <c r="G685" s="4" t="s">
        <v>6019</v>
      </c>
      <c r="H685" s="4" t="s">
        <v>26</v>
      </c>
      <c r="I685" s="4" t="s">
        <v>94</v>
      </c>
      <c r="J685" s="4" t="s">
        <v>27</v>
      </c>
      <c r="K685" s="4" t="s">
        <v>28</v>
      </c>
      <c r="L685" s="4" t="s">
        <v>28</v>
      </c>
      <c r="M685" s="4" t="s">
        <v>34</v>
      </c>
      <c r="N685" s="4" t="s">
        <v>28</v>
      </c>
    </row>
    <row r="686" spans="1:14" ht="14.4" thickBot="1" x14ac:dyDescent="0.35">
      <c r="A686" s="4" t="s">
        <v>19</v>
      </c>
      <c r="B686" s="4" t="s">
        <v>370</v>
      </c>
      <c r="C686" s="4" t="s">
        <v>749</v>
      </c>
      <c r="D686" s="4" t="s">
        <v>750</v>
      </c>
      <c r="E686" s="4" t="s">
        <v>254</v>
      </c>
      <c r="F686" s="4" t="s">
        <v>6020</v>
      </c>
      <c r="G686" s="4" t="s">
        <v>6021</v>
      </c>
      <c r="H686" s="4" t="s">
        <v>26</v>
      </c>
      <c r="I686" s="4" t="s">
        <v>94</v>
      </c>
      <c r="J686" s="4" t="s">
        <v>27</v>
      </c>
      <c r="K686" s="4" t="s">
        <v>28</v>
      </c>
      <c r="L686" s="4" t="s">
        <v>28</v>
      </c>
      <c r="M686" s="4" t="s">
        <v>34</v>
      </c>
      <c r="N686" s="4" t="s">
        <v>28</v>
      </c>
    </row>
    <row r="687" spans="1:14" ht="14.4" thickBot="1" x14ac:dyDescent="0.35">
      <c r="A687" s="4" t="s">
        <v>19</v>
      </c>
      <c r="B687" s="4" t="s">
        <v>370</v>
      </c>
      <c r="C687" s="4" t="s">
        <v>749</v>
      </c>
      <c r="D687" s="4" t="s">
        <v>750</v>
      </c>
      <c r="E687" s="4" t="s">
        <v>254</v>
      </c>
      <c r="F687" s="4" t="s">
        <v>6022</v>
      </c>
      <c r="G687" s="4" t="s">
        <v>6023</v>
      </c>
      <c r="H687" s="4" t="s">
        <v>26</v>
      </c>
      <c r="I687" s="4" t="s">
        <v>94</v>
      </c>
      <c r="J687" s="4" t="s">
        <v>27</v>
      </c>
      <c r="K687" s="4" t="s">
        <v>28</v>
      </c>
      <c r="L687" s="4" t="s">
        <v>28</v>
      </c>
      <c r="M687" s="4" t="s">
        <v>34</v>
      </c>
      <c r="N687" s="4" t="s">
        <v>28</v>
      </c>
    </row>
    <row r="688" spans="1:14" ht="14.4" thickBot="1" x14ac:dyDescent="0.35">
      <c r="A688" s="4" t="s">
        <v>19</v>
      </c>
      <c r="B688" s="4" t="s">
        <v>370</v>
      </c>
      <c r="C688" s="4" t="s">
        <v>749</v>
      </c>
      <c r="D688" s="4" t="s">
        <v>750</v>
      </c>
      <c r="E688" s="4" t="s">
        <v>254</v>
      </c>
      <c r="F688" s="4" t="s">
        <v>6024</v>
      </c>
      <c r="G688" s="4" t="s">
        <v>6025</v>
      </c>
      <c r="H688" s="4" t="s">
        <v>26</v>
      </c>
      <c r="I688" s="4" t="s">
        <v>33</v>
      </c>
      <c r="J688" s="4" t="s">
        <v>27</v>
      </c>
      <c r="K688" s="4" t="s">
        <v>28</v>
      </c>
      <c r="L688" s="4" t="s">
        <v>28</v>
      </c>
      <c r="M688" s="4" t="s">
        <v>34</v>
      </c>
      <c r="N688" s="4" t="s">
        <v>28</v>
      </c>
    </row>
    <row r="689" spans="1:14" ht="14.4" thickBot="1" x14ac:dyDescent="0.35">
      <c r="A689" s="4" t="s">
        <v>19</v>
      </c>
      <c r="B689" s="4" t="s">
        <v>370</v>
      </c>
      <c r="C689" s="4" t="s">
        <v>749</v>
      </c>
      <c r="D689" s="4" t="s">
        <v>750</v>
      </c>
      <c r="E689" s="4" t="s">
        <v>254</v>
      </c>
      <c r="F689" s="4" t="s">
        <v>6026</v>
      </c>
      <c r="G689" s="4" t="s">
        <v>6027</v>
      </c>
      <c r="H689" s="4" t="s">
        <v>37</v>
      </c>
      <c r="I689" s="4" t="s">
        <v>38</v>
      </c>
      <c r="J689" s="4" t="s">
        <v>28</v>
      </c>
      <c r="K689" s="4" t="s">
        <v>28</v>
      </c>
      <c r="L689" s="4" t="s">
        <v>27</v>
      </c>
      <c r="M689" s="4" t="s">
        <v>34</v>
      </c>
      <c r="N689" s="4" t="s">
        <v>28</v>
      </c>
    </row>
    <row r="690" spans="1:14" ht="14.4" thickBot="1" x14ac:dyDescent="0.35">
      <c r="A690" s="4" t="s">
        <v>19</v>
      </c>
      <c r="B690" s="4" t="s">
        <v>370</v>
      </c>
      <c r="C690" s="4" t="s">
        <v>749</v>
      </c>
      <c r="D690" s="4" t="s">
        <v>750</v>
      </c>
      <c r="E690" s="4" t="s">
        <v>254</v>
      </c>
      <c r="F690" s="4" t="s">
        <v>6028</v>
      </c>
      <c r="G690" s="4" t="s">
        <v>6029</v>
      </c>
      <c r="H690" s="4" t="s">
        <v>135</v>
      </c>
      <c r="I690" s="4" t="s">
        <v>33</v>
      </c>
      <c r="J690" s="4" t="s">
        <v>27</v>
      </c>
      <c r="K690" s="4" t="s">
        <v>28</v>
      </c>
      <c r="L690" s="4" t="s">
        <v>28</v>
      </c>
      <c r="M690" s="4" t="s">
        <v>34</v>
      </c>
      <c r="N690" s="4" t="s">
        <v>28</v>
      </c>
    </row>
    <row r="691" spans="1:14" ht="14.4" thickBot="1" x14ac:dyDescent="0.35">
      <c r="A691" s="4" t="s">
        <v>19</v>
      </c>
      <c r="B691" s="4" t="s">
        <v>370</v>
      </c>
      <c r="C691" s="4" t="s">
        <v>749</v>
      </c>
      <c r="D691" s="4" t="s">
        <v>750</v>
      </c>
      <c r="E691" s="4" t="s">
        <v>254</v>
      </c>
      <c r="F691" s="4" t="s">
        <v>6030</v>
      </c>
      <c r="G691" s="4" t="s">
        <v>6031</v>
      </c>
      <c r="H691" s="4" t="s">
        <v>37</v>
      </c>
      <c r="I691" s="4" t="s">
        <v>38</v>
      </c>
      <c r="J691" s="4" t="s">
        <v>28</v>
      </c>
      <c r="K691" s="4" t="s">
        <v>28</v>
      </c>
      <c r="L691" s="4" t="s">
        <v>27</v>
      </c>
      <c r="M691" s="4" t="s">
        <v>34</v>
      </c>
      <c r="N691" s="4" t="s">
        <v>28</v>
      </c>
    </row>
    <row r="692" spans="1:14" ht="14.4" thickBot="1" x14ac:dyDescent="0.35">
      <c r="A692" s="4" t="s">
        <v>19</v>
      </c>
      <c r="B692" s="4" t="s">
        <v>370</v>
      </c>
      <c r="C692" s="4" t="s">
        <v>749</v>
      </c>
      <c r="D692" s="4" t="s">
        <v>750</v>
      </c>
      <c r="E692" s="4" t="s">
        <v>254</v>
      </c>
      <c r="F692" s="4" t="s">
        <v>6032</v>
      </c>
      <c r="G692" s="4" t="s">
        <v>6033</v>
      </c>
      <c r="H692" s="4" t="s">
        <v>26</v>
      </c>
      <c r="I692" s="4" t="s">
        <v>33</v>
      </c>
      <c r="J692" s="4" t="s">
        <v>27</v>
      </c>
      <c r="K692" s="4" t="s">
        <v>28</v>
      </c>
      <c r="L692" s="4" t="s">
        <v>28</v>
      </c>
      <c r="M692" s="4" t="s">
        <v>34</v>
      </c>
      <c r="N692" s="4" t="s">
        <v>28</v>
      </c>
    </row>
    <row r="693" spans="1:14" ht="14.4" thickBot="1" x14ac:dyDescent="0.35">
      <c r="A693" s="4" t="s">
        <v>19</v>
      </c>
      <c r="B693" s="4" t="s">
        <v>370</v>
      </c>
      <c r="C693" s="4" t="s">
        <v>749</v>
      </c>
      <c r="D693" s="4" t="s">
        <v>750</v>
      </c>
      <c r="E693" s="4" t="s">
        <v>254</v>
      </c>
      <c r="F693" s="4" t="s">
        <v>588</v>
      </c>
      <c r="G693" s="4" t="s">
        <v>4185</v>
      </c>
      <c r="H693" s="4" t="s">
        <v>69</v>
      </c>
      <c r="I693" s="4" t="s">
        <v>94</v>
      </c>
      <c r="J693" s="4" t="s">
        <v>28</v>
      </c>
      <c r="K693" s="4" t="s">
        <v>27</v>
      </c>
      <c r="L693" s="4" t="s">
        <v>28</v>
      </c>
      <c r="M693" s="4" t="s">
        <v>34</v>
      </c>
      <c r="N693" s="4" t="s">
        <v>28</v>
      </c>
    </row>
    <row r="694" spans="1:14" ht="14.4" thickBot="1" x14ac:dyDescent="0.35">
      <c r="A694" s="4" t="s">
        <v>19</v>
      </c>
      <c r="B694" s="4" t="s">
        <v>370</v>
      </c>
      <c r="C694" s="4" t="s">
        <v>749</v>
      </c>
      <c r="D694" s="4" t="s">
        <v>750</v>
      </c>
      <c r="E694" s="4" t="s">
        <v>254</v>
      </c>
      <c r="F694" s="4" t="s">
        <v>6034</v>
      </c>
      <c r="G694" s="4" t="s">
        <v>6035</v>
      </c>
      <c r="H694" s="4" t="s">
        <v>37</v>
      </c>
      <c r="I694" s="4" t="s">
        <v>38</v>
      </c>
      <c r="J694" s="4" t="s">
        <v>28</v>
      </c>
      <c r="K694" s="4" t="s">
        <v>28</v>
      </c>
      <c r="L694" s="4" t="s">
        <v>27</v>
      </c>
      <c r="M694" s="4" t="s">
        <v>34</v>
      </c>
      <c r="N694" s="4" t="s">
        <v>28</v>
      </c>
    </row>
    <row r="695" spans="1:14" ht="14.4" thickBot="1" x14ac:dyDescent="0.35">
      <c r="A695" s="4" t="s">
        <v>19</v>
      </c>
      <c r="B695" s="4" t="s">
        <v>370</v>
      </c>
      <c r="C695" s="4" t="s">
        <v>749</v>
      </c>
      <c r="D695" s="4" t="s">
        <v>750</v>
      </c>
      <c r="E695" s="4" t="s">
        <v>254</v>
      </c>
      <c r="F695" s="4" t="s">
        <v>6136</v>
      </c>
      <c r="G695" s="4" t="s">
        <v>6137</v>
      </c>
      <c r="H695" s="4" t="s">
        <v>69</v>
      </c>
      <c r="I695" s="4" t="s">
        <v>38</v>
      </c>
      <c r="J695" s="4" t="s">
        <v>28</v>
      </c>
      <c r="K695" s="4" t="s">
        <v>28</v>
      </c>
      <c r="L695" s="4" t="s">
        <v>27</v>
      </c>
      <c r="M695" s="4" t="s">
        <v>29</v>
      </c>
      <c r="N695" s="4" t="s">
        <v>28</v>
      </c>
    </row>
    <row r="696" spans="1:14" ht="14.4" thickBot="1" x14ac:dyDescent="0.35">
      <c r="A696" s="4" t="s">
        <v>19</v>
      </c>
      <c r="B696" s="4" t="s">
        <v>370</v>
      </c>
      <c r="C696" s="4" t="s">
        <v>749</v>
      </c>
      <c r="D696" s="4" t="s">
        <v>750</v>
      </c>
      <c r="E696" s="4" t="s">
        <v>254</v>
      </c>
      <c r="F696" s="4" t="s">
        <v>6138</v>
      </c>
      <c r="G696" s="4" t="s">
        <v>6139</v>
      </c>
      <c r="H696" s="4" t="s">
        <v>26</v>
      </c>
      <c r="I696" s="4" t="s">
        <v>26</v>
      </c>
      <c r="J696" s="4" t="s">
        <v>27</v>
      </c>
      <c r="K696" s="4" t="s">
        <v>28</v>
      </c>
      <c r="L696" s="4" t="s">
        <v>28</v>
      </c>
      <c r="M696" s="4" t="s">
        <v>29</v>
      </c>
      <c r="N696" s="4" t="s">
        <v>28</v>
      </c>
    </row>
    <row r="697" spans="1:14" ht="14.4" thickBot="1" x14ac:dyDescent="0.35">
      <c r="A697" s="4" t="s">
        <v>19</v>
      </c>
      <c r="B697" s="4" t="s">
        <v>370</v>
      </c>
      <c r="C697" s="4" t="s">
        <v>749</v>
      </c>
      <c r="D697" s="4" t="s">
        <v>750</v>
      </c>
      <c r="E697" s="4" t="s">
        <v>254</v>
      </c>
      <c r="F697" s="4" t="s">
        <v>6140</v>
      </c>
      <c r="G697" s="4" t="s">
        <v>6141</v>
      </c>
      <c r="H697" s="4" t="s">
        <v>26</v>
      </c>
      <c r="I697" s="4" t="s">
        <v>26</v>
      </c>
      <c r="J697" s="4" t="s">
        <v>27</v>
      </c>
      <c r="K697" s="4" t="s">
        <v>28</v>
      </c>
      <c r="L697" s="4" t="s">
        <v>28</v>
      </c>
      <c r="M697" s="4" t="s">
        <v>29</v>
      </c>
      <c r="N697" s="4" t="s">
        <v>28</v>
      </c>
    </row>
    <row r="698" spans="1:14" ht="14.4" thickBot="1" x14ac:dyDescent="0.35">
      <c r="A698" s="4" t="s">
        <v>19</v>
      </c>
      <c r="B698" s="4" t="s">
        <v>370</v>
      </c>
      <c r="C698" s="4" t="s">
        <v>749</v>
      </c>
      <c r="D698" s="4" t="s">
        <v>750</v>
      </c>
      <c r="E698" s="4" t="s">
        <v>254</v>
      </c>
      <c r="F698" s="4" t="s">
        <v>6142</v>
      </c>
      <c r="G698" s="4" t="s">
        <v>6143</v>
      </c>
      <c r="H698" s="4" t="s">
        <v>26</v>
      </c>
      <c r="I698" s="4" t="s">
        <v>26</v>
      </c>
      <c r="J698" s="5"/>
      <c r="K698" s="5"/>
      <c r="L698" s="5"/>
      <c r="M698" s="4" t="s">
        <v>29</v>
      </c>
      <c r="N698" s="5"/>
    </row>
    <row r="699" spans="1:14" ht="14.4" thickBot="1" x14ac:dyDescent="0.35">
      <c r="A699" s="4" t="s">
        <v>19</v>
      </c>
      <c r="B699" s="4" t="s">
        <v>370</v>
      </c>
      <c r="C699" s="4" t="s">
        <v>749</v>
      </c>
      <c r="D699" s="4" t="s">
        <v>750</v>
      </c>
      <c r="E699" s="4" t="s">
        <v>254</v>
      </c>
      <c r="F699" s="4" t="s">
        <v>6144</v>
      </c>
      <c r="G699" s="4" t="s">
        <v>6145</v>
      </c>
      <c r="H699" s="4" t="s">
        <v>26</v>
      </c>
      <c r="I699" s="4" t="s">
        <v>26</v>
      </c>
      <c r="J699" s="5"/>
      <c r="K699" s="5"/>
      <c r="L699" s="5"/>
      <c r="M699" s="4" t="s">
        <v>29</v>
      </c>
      <c r="N699" s="5"/>
    </row>
    <row r="700" spans="1:14" ht="14.4" thickBot="1" x14ac:dyDescent="0.35">
      <c r="A700" s="4" t="s">
        <v>19</v>
      </c>
      <c r="B700" s="4" t="s">
        <v>370</v>
      </c>
      <c r="C700" s="4" t="s">
        <v>749</v>
      </c>
      <c r="D700" s="4" t="s">
        <v>750</v>
      </c>
      <c r="E700" s="4" t="s">
        <v>254</v>
      </c>
      <c r="F700" s="4" t="s">
        <v>6146</v>
      </c>
      <c r="G700" s="4" t="s">
        <v>6147</v>
      </c>
      <c r="H700" s="4" t="s">
        <v>26</v>
      </c>
      <c r="I700" s="4" t="s">
        <v>26</v>
      </c>
      <c r="J700" s="5"/>
      <c r="K700" s="5"/>
      <c r="L700" s="5"/>
      <c r="M700" s="4" t="s">
        <v>29</v>
      </c>
      <c r="N700" s="5"/>
    </row>
    <row r="701" spans="1:14" ht="14.4" thickBot="1" x14ac:dyDescent="0.35">
      <c r="A701" s="4" t="s">
        <v>19</v>
      </c>
      <c r="B701" s="4" t="s">
        <v>370</v>
      </c>
      <c r="C701" s="4" t="s">
        <v>749</v>
      </c>
      <c r="D701" s="4" t="s">
        <v>750</v>
      </c>
      <c r="E701" s="4" t="s">
        <v>254</v>
      </c>
      <c r="F701" s="4" t="s">
        <v>6148</v>
      </c>
      <c r="G701" s="4" t="s">
        <v>6149</v>
      </c>
      <c r="H701" s="4" t="s">
        <v>26</v>
      </c>
      <c r="I701" s="4" t="s">
        <v>32</v>
      </c>
      <c r="J701" s="5"/>
      <c r="K701" s="5"/>
      <c r="L701" s="5"/>
      <c r="M701" s="4" t="s">
        <v>29</v>
      </c>
      <c r="N701" s="5"/>
    </row>
    <row r="702" spans="1:14" ht="14.4" thickBot="1" x14ac:dyDescent="0.35">
      <c r="A702" s="4" t="s">
        <v>19</v>
      </c>
      <c r="B702" s="4" t="s">
        <v>370</v>
      </c>
      <c r="C702" s="4" t="s">
        <v>749</v>
      </c>
      <c r="D702" s="4" t="s">
        <v>750</v>
      </c>
      <c r="E702" s="4" t="s">
        <v>254</v>
      </c>
      <c r="F702" s="4" t="s">
        <v>6150</v>
      </c>
      <c r="G702" s="4" t="s">
        <v>6151</v>
      </c>
      <c r="H702" s="4" t="s">
        <v>26</v>
      </c>
      <c r="I702" s="4" t="s">
        <v>26</v>
      </c>
      <c r="J702" s="4" t="s">
        <v>27</v>
      </c>
      <c r="K702" s="4" t="s">
        <v>28</v>
      </c>
      <c r="L702" s="4" t="s">
        <v>28</v>
      </c>
      <c r="M702" s="4" t="s">
        <v>130</v>
      </c>
      <c r="N702" s="5"/>
    </row>
    <row r="703" spans="1:14" ht="14.4" thickBot="1" x14ac:dyDescent="0.35">
      <c r="A703" s="4" t="s">
        <v>19</v>
      </c>
      <c r="B703" s="4" t="s">
        <v>370</v>
      </c>
      <c r="C703" s="4" t="s">
        <v>749</v>
      </c>
      <c r="D703" s="4" t="s">
        <v>750</v>
      </c>
      <c r="E703" s="4" t="s">
        <v>254</v>
      </c>
      <c r="F703" s="4" t="s">
        <v>6152</v>
      </c>
      <c r="G703" s="4" t="s">
        <v>6153</v>
      </c>
      <c r="H703" s="4" t="s">
        <v>135</v>
      </c>
      <c r="I703" s="4" t="s">
        <v>135</v>
      </c>
      <c r="J703" s="5"/>
      <c r="K703" s="5"/>
      <c r="L703" s="5"/>
      <c r="M703" s="4" t="s">
        <v>29</v>
      </c>
      <c r="N703" s="5"/>
    </row>
    <row r="704" spans="1:14" ht="14.4" thickBot="1" x14ac:dyDescent="0.35">
      <c r="A704" s="4" t="s">
        <v>19</v>
      </c>
      <c r="B704" s="4" t="s">
        <v>370</v>
      </c>
      <c r="C704" s="4" t="s">
        <v>749</v>
      </c>
      <c r="D704" s="4" t="s">
        <v>750</v>
      </c>
      <c r="E704" s="4" t="s">
        <v>254</v>
      </c>
      <c r="F704" s="4" t="s">
        <v>6154</v>
      </c>
      <c r="G704" s="4" t="s">
        <v>6155</v>
      </c>
      <c r="H704" s="4" t="s">
        <v>26</v>
      </c>
      <c r="I704" s="4" t="s">
        <v>135</v>
      </c>
      <c r="J704" s="5"/>
      <c r="K704" s="5"/>
      <c r="L704" s="5"/>
      <c r="M704" s="4" t="s">
        <v>29</v>
      </c>
      <c r="N704" s="5"/>
    </row>
    <row r="705" spans="1:14" ht="14.4" thickBot="1" x14ac:dyDescent="0.35">
      <c r="A705" s="4" t="s">
        <v>19</v>
      </c>
      <c r="B705" s="4" t="s">
        <v>398</v>
      </c>
      <c r="C705" s="4" t="s">
        <v>1314</v>
      </c>
      <c r="D705" s="4" t="s">
        <v>1315</v>
      </c>
      <c r="E705" s="4" t="s">
        <v>23</v>
      </c>
      <c r="F705" s="4" t="s">
        <v>1316</v>
      </c>
      <c r="G705" s="4" t="s">
        <v>1317</v>
      </c>
      <c r="H705" s="4" t="s">
        <v>26</v>
      </c>
      <c r="I705" s="4" t="s">
        <v>26</v>
      </c>
      <c r="J705" s="4" t="s">
        <v>27</v>
      </c>
      <c r="K705" s="4" t="s">
        <v>28</v>
      </c>
      <c r="L705" s="4" t="s">
        <v>28</v>
      </c>
      <c r="M705" s="4" t="s">
        <v>130</v>
      </c>
      <c r="N705" s="4" t="s">
        <v>28</v>
      </c>
    </row>
    <row r="706" spans="1:14" ht="14.4" thickBot="1" x14ac:dyDescent="0.35">
      <c r="A706" s="4" t="s">
        <v>19</v>
      </c>
      <c r="B706" s="4" t="s">
        <v>398</v>
      </c>
      <c r="C706" s="4" t="s">
        <v>1314</v>
      </c>
      <c r="D706" s="4" t="s">
        <v>1315</v>
      </c>
      <c r="E706" s="4" t="s">
        <v>23</v>
      </c>
      <c r="F706" s="4" t="s">
        <v>1318</v>
      </c>
      <c r="G706" s="4" t="s">
        <v>1319</v>
      </c>
      <c r="H706" s="4" t="s">
        <v>37</v>
      </c>
      <c r="I706" s="4" t="s">
        <v>38</v>
      </c>
      <c r="J706" s="4" t="s">
        <v>28</v>
      </c>
      <c r="K706" s="4" t="s">
        <v>28</v>
      </c>
      <c r="L706" s="4" t="s">
        <v>27</v>
      </c>
      <c r="M706" s="4" t="s">
        <v>34</v>
      </c>
      <c r="N706" s="4" t="s">
        <v>28</v>
      </c>
    </row>
    <row r="707" spans="1:14" ht="14.4" thickBot="1" x14ac:dyDescent="0.35">
      <c r="A707" s="4" t="s">
        <v>19</v>
      </c>
      <c r="B707" s="4" t="s">
        <v>398</v>
      </c>
      <c r="C707" s="4" t="s">
        <v>1314</v>
      </c>
      <c r="D707" s="4" t="s">
        <v>1315</v>
      </c>
      <c r="E707" s="4" t="s">
        <v>23</v>
      </c>
      <c r="F707" s="4" t="s">
        <v>2830</v>
      </c>
      <c r="G707" s="4" t="s">
        <v>2831</v>
      </c>
      <c r="H707" s="4" t="s">
        <v>190</v>
      </c>
      <c r="I707" s="4" t="s">
        <v>26</v>
      </c>
      <c r="J707" s="4" t="s">
        <v>27</v>
      </c>
      <c r="K707" s="4" t="s">
        <v>28</v>
      </c>
      <c r="L707" s="4" t="s">
        <v>28</v>
      </c>
      <c r="M707" s="4" t="s">
        <v>34</v>
      </c>
      <c r="N707" s="4" t="s">
        <v>28</v>
      </c>
    </row>
    <row r="708" spans="1:14" ht="14.4" thickBot="1" x14ac:dyDescent="0.35">
      <c r="A708" s="4" t="s">
        <v>19</v>
      </c>
      <c r="B708" s="4" t="s">
        <v>398</v>
      </c>
      <c r="C708" s="4" t="s">
        <v>1314</v>
      </c>
      <c r="D708" s="4" t="s">
        <v>1315</v>
      </c>
      <c r="E708" s="4" t="s">
        <v>23</v>
      </c>
      <c r="F708" s="4" t="s">
        <v>2832</v>
      </c>
      <c r="G708" s="4" t="s">
        <v>2833</v>
      </c>
      <c r="H708" s="4" t="s">
        <v>26</v>
      </c>
      <c r="I708" s="4" t="s">
        <v>38</v>
      </c>
      <c r="J708" s="5"/>
      <c r="K708" s="5"/>
      <c r="L708" s="5"/>
      <c r="M708" s="4" t="s">
        <v>29</v>
      </c>
      <c r="N708" s="5"/>
    </row>
    <row r="709" spans="1:14" ht="14.4" thickBot="1" x14ac:dyDescent="0.35">
      <c r="A709" s="4" t="s">
        <v>19</v>
      </c>
      <c r="B709" s="4" t="s">
        <v>398</v>
      </c>
      <c r="C709" s="4" t="s">
        <v>1314</v>
      </c>
      <c r="D709" s="4" t="s">
        <v>1315</v>
      </c>
      <c r="E709" s="4" t="s">
        <v>23</v>
      </c>
      <c r="F709" s="4" t="s">
        <v>3578</v>
      </c>
      <c r="G709" s="4" t="s">
        <v>3579</v>
      </c>
      <c r="H709" s="4" t="s">
        <v>69</v>
      </c>
      <c r="I709" s="4" t="s">
        <v>94</v>
      </c>
      <c r="J709" s="4" t="s">
        <v>28</v>
      </c>
      <c r="K709" s="4" t="s">
        <v>27</v>
      </c>
      <c r="L709" s="4" t="s">
        <v>28</v>
      </c>
      <c r="M709" s="4" t="s">
        <v>34</v>
      </c>
      <c r="N709" s="4" t="s">
        <v>28</v>
      </c>
    </row>
    <row r="710" spans="1:14" ht="14.4" thickBot="1" x14ac:dyDescent="0.35">
      <c r="A710" s="4" t="s">
        <v>19</v>
      </c>
      <c r="B710" s="4" t="s">
        <v>398</v>
      </c>
      <c r="C710" s="4" t="s">
        <v>1314</v>
      </c>
      <c r="D710" s="4" t="s">
        <v>1315</v>
      </c>
      <c r="E710" s="4" t="s">
        <v>23</v>
      </c>
      <c r="F710" s="4" t="s">
        <v>4376</v>
      </c>
      <c r="G710" s="4" t="s">
        <v>4377</v>
      </c>
      <c r="H710" s="4" t="s">
        <v>135</v>
      </c>
      <c r="I710" s="4" t="s">
        <v>33</v>
      </c>
      <c r="J710" s="4" t="s">
        <v>27</v>
      </c>
      <c r="K710" s="4" t="s">
        <v>28</v>
      </c>
      <c r="L710" s="4" t="s">
        <v>28</v>
      </c>
      <c r="M710" s="4" t="s">
        <v>34</v>
      </c>
      <c r="N710" s="4" t="s">
        <v>28</v>
      </c>
    </row>
    <row r="711" spans="1:14" ht="14.4" thickBot="1" x14ac:dyDescent="0.35">
      <c r="A711" s="4" t="s">
        <v>19</v>
      </c>
      <c r="B711" s="4" t="s">
        <v>398</v>
      </c>
      <c r="C711" s="4" t="s">
        <v>1314</v>
      </c>
      <c r="D711" s="4" t="s">
        <v>1315</v>
      </c>
      <c r="E711" s="4" t="s">
        <v>23</v>
      </c>
      <c r="F711" s="4" t="s">
        <v>5042</v>
      </c>
      <c r="G711" s="4" t="s">
        <v>5043</v>
      </c>
      <c r="H711" s="4" t="s">
        <v>122</v>
      </c>
      <c r="I711" s="4" t="s">
        <v>38</v>
      </c>
      <c r="J711" s="4" t="s">
        <v>28</v>
      </c>
      <c r="K711" s="4" t="s">
        <v>28</v>
      </c>
      <c r="L711" s="4" t="s">
        <v>27</v>
      </c>
      <c r="M711" s="4" t="s">
        <v>34</v>
      </c>
      <c r="N711" s="4" t="s">
        <v>28</v>
      </c>
    </row>
    <row r="712" spans="1:14" ht="14.4" thickBot="1" x14ac:dyDescent="0.35">
      <c r="A712" s="4" t="s">
        <v>19</v>
      </c>
      <c r="B712" s="4" t="s">
        <v>398</v>
      </c>
      <c r="C712" s="4" t="s">
        <v>399</v>
      </c>
      <c r="D712" s="4" t="s">
        <v>400</v>
      </c>
      <c r="E712" s="4" t="s">
        <v>23</v>
      </c>
      <c r="F712" s="4" t="s">
        <v>401</v>
      </c>
      <c r="G712" s="4" t="s">
        <v>402</v>
      </c>
      <c r="H712" s="4" t="s">
        <v>33</v>
      </c>
      <c r="I712" s="4" t="s">
        <v>94</v>
      </c>
      <c r="J712" s="4" t="s">
        <v>28</v>
      </c>
      <c r="K712" s="4" t="s">
        <v>27</v>
      </c>
      <c r="L712" s="4" t="s">
        <v>28</v>
      </c>
      <c r="M712" s="4" t="s">
        <v>34</v>
      </c>
      <c r="N712" s="4" t="s">
        <v>28</v>
      </c>
    </row>
    <row r="713" spans="1:14" ht="14.4" thickBot="1" x14ac:dyDescent="0.35">
      <c r="A713" s="4" t="s">
        <v>19</v>
      </c>
      <c r="B713" s="4" t="s">
        <v>398</v>
      </c>
      <c r="C713" s="4" t="s">
        <v>399</v>
      </c>
      <c r="D713" s="4" t="s">
        <v>400</v>
      </c>
      <c r="E713" s="4" t="s">
        <v>23</v>
      </c>
      <c r="F713" s="4" t="s">
        <v>1320</v>
      </c>
      <c r="G713" s="4" t="s">
        <v>1321</v>
      </c>
      <c r="H713" s="4" t="s">
        <v>37</v>
      </c>
      <c r="I713" s="4" t="s">
        <v>38</v>
      </c>
      <c r="J713" s="4" t="s">
        <v>28</v>
      </c>
      <c r="K713" s="4" t="s">
        <v>28</v>
      </c>
      <c r="L713" s="4" t="s">
        <v>27</v>
      </c>
      <c r="M713" s="4" t="s">
        <v>34</v>
      </c>
      <c r="N713" s="4" t="s">
        <v>28</v>
      </c>
    </row>
    <row r="714" spans="1:14" ht="14.4" thickBot="1" x14ac:dyDescent="0.35">
      <c r="A714" s="4" t="s">
        <v>19</v>
      </c>
      <c r="B714" s="4" t="s">
        <v>398</v>
      </c>
      <c r="C714" s="4" t="s">
        <v>399</v>
      </c>
      <c r="D714" s="4" t="s">
        <v>400</v>
      </c>
      <c r="E714" s="4" t="s">
        <v>23</v>
      </c>
      <c r="F714" s="4" t="s">
        <v>2116</v>
      </c>
      <c r="G714" s="4" t="s">
        <v>2117</v>
      </c>
      <c r="H714" s="4" t="s">
        <v>37</v>
      </c>
      <c r="I714" s="4" t="s">
        <v>38</v>
      </c>
      <c r="J714" s="4" t="s">
        <v>28</v>
      </c>
      <c r="K714" s="4" t="s">
        <v>28</v>
      </c>
      <c r="L714" s="4" t="s">
        <v>27</v>
      </c>
      <c r="M714" s="4" t="s">
        <v>34</v>
      </c>
      <c r="N714" s="4" t="s">
        <v>28</v>
      </c>
    </row>
    <row r="715" spans="1:14" ht="14.4" thickBot="1" x14ac:dyDescent="0.35">
      <c r="A715" s="4" t="s">
        <v>19</v>
      </c>
      <c r="B715" s="4" t="s">
        <v>398</v>
      </c>
      <c r="C715" s="4" t="s">
        <v>399</v>
      </c>
      <c r="D715" s="4" t="s">
        <v>400</v>
      </c>
      <c r="E715" s="4" t="s">
        <v>23</v>
      </c>
      <c r="F715" s="4" t="s">
        <v>2118</v>
      </c>
      <c r="G715" s="4" t="s">
        <v>2119</v>
      </c>
      <c r="H715" s="4" t="s">
        <v>135</v>
      </c>
      <c r="I715" s="4" t="s">
        <v>454</v>
      </c>
      <c r="J715" s="4" t="s">
        <v>27</v>
      </c>
      <c r="K715" s="4" t="s">
        <v>28</v>
      </c>
      <c r="L715" s="4" t="s">
        <v>28</v>
      </c>
      <c r="M715" s="4" t="s">
        <v>34</v>
      </c>
      <c r="N715" s="4" t="s">
        <v>28</v>
      </c>
    </row>
    <row r="716" spans="1:14" ht="14.4" thickBot="1" x14ac:dyDescent="0.35">
      <c r="A716" s="4" t="s">
        <v>19</v>
      </c>
      <c r="B716" s="4" t="s">
        <v>398</v>
      </c>
      <c r="C716" s="4" t="s">
        <v>399</v>
      </c>
      <c r="D716" s="4" t="s">
        <v>400</v>
      </c>
      <c r="E716" s="4" t="s">
        <v>23</v>
      </c>
      <c r="F716" s="4" t="s">
        <v>2834</v>
      </c>
      <c r="G716" s="4" t="s">
        <v>2835</v>
      </c>
      <c r="H716" s="4" t="s">
        <v>26</v>
      </c>
      <c r="I716" s="4" t="s">
        <v>26</v>
      </c>
      <c r="J716" s="4" t="s">
        <v>27</v>
      </c>
      <c r="K716" s="4" t="s">
        <v>28</v>
      </c>
      <c r="L716" s="4" t="s">
        <v>28</v>
      </c>
      <c r="M716" s="4" t="s">
        <v>29</v>
      </c>
      <c r="N716" s="4" t="s">
        <v>28</v>
      </c>
    </row>
    <row r="717" spans="1:14" ht="14.4" thickBot="1" x14ac:dyDescent="0.35">
      <c r="A717" s="4" t="s">
        <v>19</v>
      </c>
      <c r="B717" s="4" t="s">
        <v>398</v>
      </c>
      <c r="C717" s="4" t="s">
        <v>399</v>
      </c>
      <c r="D717" s="4" t="s">
        <v>400</v>
      </c>
      <c r="E717" s="4" t="s">
        <v>23</v>
      </c>
      <c r="F717" s="4" t="s">
        <v>3580</v>
      </c>
      <c r="G717" s="4" t="s">
        <v>3581</v>
      </c>
      <c r="H717" s="4" t="s">
        <v>33</v>
      </c>
      <c r="I717" s="4" t="s">
        <v>94</v>
      </c>
      <c r="J717" s="4" t="s">
        <v>28</v>
      </c>
      <c r="K717" s="4" t="s">
        <v>27</v>
      </c>
      <c r="L717" s="4" t="s">
        <v>28</v>
      </c>
      <c r="M717" s="4" t="s">
        <v>34</v>
      </c>
      <c r="N717" s="4" t="s">
        <v>28</v>
      </c>
    </row>
    <row r="718" spans="1:14" ht="14.4" thickBot="1" x14ac:dyDescent="0.35">
      <c r="A718" s="4" t="s">
        <v>19</v>
      </c>
      <c r="B718" s="4" t="s">
        <v>398</v>
      </c>
      <c r="C718" s="4" t="s">
        <v>399</v>
      </c>
      <c r="D718" s="4" t="s">
        <v>400</v>
      </c>
      <c r="E718" s="4" t="s">
        <v>23</v>
      </c>
      <c r="F718" s="4" t="s">
        <v>4378</v>
      </c>
      <c r="G718" s="4" t="s">
        <v>130</v>
      </c>
      <c r="H718" s="4" t="s">
        <v>26</v>
      </c>
      <c r="I718" s="4" t="s">
        <v>26</v>
      </c>
      <c r="J718" s="5"/>
      <c r="K718" s="5"/>
      <c r="L718" s="5"/>
      <c r="M718" s="4" t="s">
        <v>130</v>
      </c>
      <c r="N718" s="5"/>
    </row>
    <row r="719" spans="1:14" ht="14.4" thickBot="1" x14ac:dyDescent="0.35">
      <c r="A719" s="4" t="s">
        <v>19</v>
      </c>
      <c r="B719" s="4" t="s">
        <v>398</v>
      </c>
      <c r="C719" s="4" t="s">
        <v>399</v>
      </c>
      <c r="D719" s="4" t="s">
        <v>400</v>
      </c>
      <c r="E719" s="4" t="s">
        <v>23</v>
      </c>
      <c r="F719" s="4" t="s">
        <v>5044</v>
      </c>
      <c r="G719" s="4" t="s">
        <v>5045</v>
      </c>
      <c r="H719" s="4" t="s">
        <v>190</v>
      </c>
      <c r="I719" s="4" t="s">
        <v>26</v>
      </c>
      <c r="J719" s="4" t="s">
        <v>27</v>
      </c>
      <c r="K719" s="4" t="s">
        <v>28</v>
      </c>
      <c r="L719" s="4" t="s">
        <v>28</v>
      </c>
      <c r="M719" s="4" t="s">
        <v>34</v>
      </c>
      <c r="N719" s="4" t="s">
        <v>28</v>
      </c>
    </row>
    <row r="720" spans="1:14" ht="14.4" thickBot="1" x14ac:dyDescent="0.35">
      <c r="A720" s="4" t="s">
        <v>19</v>
      </c>
      <c r="B720" s="4" t="s">
        <v>403</v>
      </c>
      <c r="C720" s="4" t="s">
        <v>404</v>
      </c>
      <c r="D720" s="4" t="s">
        <v>405</v>
      </c>
      <c r="E720" s="4" t="s">
        <v>48</v>
      </c>
      <c r="F720" s="4" t="s">
        <v>406</v>
      </c>
      <c r="G720" s="4" t="s">
        <v>407</v>
      </c>
      <c r="H720" s="4" t="s">
        <v>26</v>
      </c>
      <c r="I720" s="4" t="s">
        <v>33</v>
      </c>
      <c r="J720" s="4" t="s">
        <v>27</v>
      </c>
      <c r="K720" s="4" t="s">
        <v>28</v>
      </c>
      <c r="L720" s="4" t="s">
        <v>28</v>
      </c>
      <c r="M720" s="4" t="s">
        <v>34</v>
      </c>
      <c r="N720" s="4" t="s">
        <v>28</v>
      </c>
    </row>
    <row r="721" spans="1:14" ht="14.4" thickBot="1" x14ac:dyDescent="0.35">
      <c r="A721" s="4" t="s">
        <v>19</v>
      </c>
      <c r="B721" s="4" t="s">
        <v>403</v>
      </c>
      <c r="C721" s="4" t="s">
        <v>404</v>
      </c>
      <c r="D721" s="4" t="s">
        <v>405</v>
      </c>
      <c r="E721" s="4" t="s">
        <v>48</v>
      </c>
      <c r="F721" s="4" t="s">
        <v>3582</v>
      </c>
      <c r="G721" s="4" t="s">
        <v>3583</v>
      </c>
      <c r="H721" s="4" t="s">
        <v>69</v>
      </c>
      <c r="I721" s="4" t="s">
        <v>38</v>
      </c>
      <c r="J721" s="4" t="s">
        <v>28</v>
      </c>
      <c r="K721" s="4" t="s">
        <v>28</v>
      </c>
      <c r="L721" s="4" t="s">
        <v>27</v>
      </c>
      <c r="M721" s="4" t="s">
        <v>34</v>
      </c>
      <c r="N721" s="4" t="s">
        <v>28</v>
      </c>
    </row>
    <row r="722" spans="1:14" ht="14.4" thickBot="1" x14ac:dyDescent="0.35">
      <c r="A722" s="4" t="s">
        <v>19</v>
      </c>
      <c r="B722" s="4" t="s">
        <v>403</v>
      </c>
      <c r="C722" s="4" t="s">
        <v>767</v>
      </c>
      <c r="D722" s="4" t="s">
        <v>768</v>
      </c>
      <c r="E722" s="4" t="s">
        <v>23</v>
      </c>
      <c r="F722" s="4" t="s">
        <v>769</v>
      </c>
      <c r="G722" s="4" t="s">
        <v>770</v>
      </c>
      <c r="H722" s="4" t="s">
        <v>122</v>
      </c>
      <c r="I722" s="4" t="s">
        <v>38</v>
      </c>
      <c r="J722" s="4" t="s">
        <v>28</v>
      </c>
      <c r="K722" s="4" t="s">
        <v>28</v>
      </c>
      <c r="L722" s="4" t="s">
        <v>27</v>
      </c>
      <c r="M722" s="4" t="s">
        <v>34</v>
      </c>
      <c r="N722" s="4" t="s">
        <v>28</v>
      </c>
    </row>
    <row r="723" spans="1:14" ht="14.4" thickBot="1" x14ac:dyDescent="0.35">
      <c r="A723" s="4" t="s">
        <v>19</v>
      </c>
      <c r="B723" s="4" t="s">
        <v>403</v>
      </c>
      <c r="C723" s="4" t="s">
        <v>767</v>
      </c>
      <c r="D723" s="4" t="s">
        <v>768</v>
      </c>
      <c r="E723" s="4" t="s">
        <v>23</v>
      </c>
      <c r="F723" s="4" t="s">
        <v>3124</v>
      </c>
      <c r="G723" s="4" t="s">
        <v>3125</v>
      </c>
      <c r="H723" s="4" t="s">
        <v>26</v>
      </c>
      <c r="I723" s="4" t="s">
        <v>69</v>
      </c>
      <c r="J723" s="4" t="s">
        <v>27</v>
      </c>
      <c r="K723" s="4" t="s">
        <v>28</v>
      </c>
      <c r="L723" s="4" t="s">
        <v>28</v>
      </c>
      <c r="M723" s="4" t="s">
        <v>34</v>
      </c>
      <c r="N723" s="4" t="s">
        <v>28</v>
      </c>
    </row>
    <row r="724" spans="1:14" ht="14.4" thickBot="1" x14ac:dyDescent="0.35">
      <c r="A724" s="4" t="s">
        <v>19</v>
      </c>
      <c r="B724" s="4" t="s">
        <v>1322</v>
      </c>
      <c r="C724" s="4" t="s">
        <v>1323</v>
      </c>
      <c r="D724" s="4" t="s">
        <v>1324</v>
      </c>
      <c r="E724" s="4" t="s">
        <v>23</v>
      </c>
      <c r="F724" s="4" t="s">
        <v>1325</v>
      </c>
      <c r="G724" s="4" t="s">
        <v>1326</v>
      </c>
      <c r="H724" s="4" t="s">
        <v>122</v>
      </c>
      <c r="I724" s="4" t="s">
        <v>94</v>
      </c>
      <c r="J724" s="4" t="s">
        <v>28</v>
      </c>
      <c r="K724" s="4" t="s">
        <v>27</v>
      </c>
      <c r="L724" s="4" t="s">
        <v>28</v>
      </c>
      <c r="M724" s="4" t="s">
        <v>34</v>
      </c>
      <c r="N724" s="4" t="s">
        <v>28</v>
      </c>
    </row>
    <row r="725" spans="1:14" ht="14.4" thickBot="1" x14ac:dyDescent="0.35">
      <c r="A725" s="4" t="s">
        <v>19</v>
      </c>
      <c r="B725" s="4" t="s">
        <v>1322</v>
      </c>
      <c r="C725" s="4" t="s">
        <v>1323</v>
      </c>
      <c r="D725" s="4" t="s">
        <v>1324</v>
      </c>
      <c r="E725" s="4" t="s">
        <v>23</v>
      </c>
      <c r="F725" s="4" t="s">
        <v>2120</v>
      </c>
      <c r="G725" s="4" t="s">
        <v>2121</v>
      </c>
      <c r="H725" s="4" t="s">
        <v>26</v>
      </c>
      <c r="I725" s="4" t="s">
        <v>69</v>
      </c>
      <c r="J725" s="4" t="s">
        <v>27</v>
      </c>
      <c r="K725" s="4" t="s">
        <v>28</v>
      </c>
      <c r="L725" s="4" t="s">
        <v>28</v>
      </c>
      <c r="M725" s="4" t="s">
        <v>34</v>
      </c>
      <c r="N725" s="4" t="s">
        <v>27</v>
      </c>
    </row>
    <row r="726" spans="1:14" ht="14.4" thickBot="1" x14ac:dyDescent="0.35">
      <c r="A726" s="4" t="s">
        <v>19</v>
      </c>
      <c r="B726" s="4" t="s">
        <v>1322</v>
      </c>
      <c r="C726" s="4" t="s">
        <v>1323</v>
      </c>
      <c r="D726" s="4" t="s">
        <v>1324</v>
      </c>
      <c r="E726" s="4" t="s">
        <v>23</v>
      </c>
      <c r="F726" s="4" t="s">
        <v>2836</v>
      </c>
      <c r="G726" s="4" t="s">
        <v>2837</v>
      </c>
      <c r="H726" s="4" t="s">
        <v>26</v>
      </c>
      <c r="I726" s="4" t="s">
        <v>69</v>
      </c>
      <c r="J726" s="4" t="s">
        <v>27</v>
      </c>
      <c r="K726" s="4" t="s">
        <v>28</v>
      </c>
      <c r="L726" s="4" t="s">
        <v>28</v>
      </c>
      <c r="M726" s="4" t="s">
        <v>34</v>
      </c>
      <c r="N726" s="4" t="s">
        <v>28</v>
      </c>
    </row>
    <row r="727" spans="1:14" ht="14.4" thickBot="1" x14ac:dyDescent="0.35">
      <c r="A727" s="4" t="s">
        <v>19</v>
      </c>
      <c r="B727" s="4" t="s">
        <v>1322</v>
      </c>
      <c r="C727" s="4" t="s">
        <v>1323</v>
      </c>
      <c r="D727" s="4" t="s">
        <v>1324</v>
      </c>
      <c r="E727" s="4" t="s">
        <v>23</v>
      </c>
      <c r="F727" s="4" t="s">
        <v>3584</v>
      </c>
      <c r="G727" s="4" t="s">
        <v>3585</v>
      </c>
      <c r="H727" s="4" t="s">
        <v>37</v>
      </c>
      <c r="I727" s="4" t="s">
        <v>38</v>
      </c>
      <c r="J727" s="4" t="s">
        <v>28</v>
      </c>
      <c r="K727" s="4" t="s">
        <v>28</v>
      </c>
      <c r="L727" s="4" t="s">
        <v>27</v>
      </c>
      <c r="M727" s="4" t="s">
        <v>34</v>
      </c>
      <c r="N727" s="4" t="s">
        <v>28</v>
      </c>
    </row>
    <row r="728" spans="1:14" ht="14.4" thickBot="1" x14ac:dyDescent="0.35">
      <c r="A728" s="4" t="s">
        <v>19</v>
      </c>
      <c r="B728" s="4" t="s">
        <v>1322</v>
      </c>
      <c r="C728" s="4" t="s">
        <v>1323</v>
      </c>
      <c r="D728" s="4" t="s">
        <v>1324</v>
      </c>
      <c r="E728" s="4" t="s">
        <v>23</v>
      </c>
      <c r="F728" s="4" t="s">
        <v>5046</v>
      </c>
      <c r="G728" s="4" t="s">
        <v>5047</v>
      </c>
      <c r="H728" s="4" t="s">
        <v>26</v>
      </c>
      <c r="I728" s="4" t="s">
        <v>69</v>
      </c>
      <c r="J728" s="4" t="s">
        <v>27</v>
      </c>
      <c r="K728" s="4" t="s">
        <v>28</v>
      </c>
      <c r="L728" s="4" t="s">
        <v>28</v>
      </c>
      <c r="M728" s="4" t="s">
        <v>34</v>
      </c>
      <c r="N728" s="4" t="s">
        <v>28</v>
      </c>
    </row>
    <row r="729" spans="1:14" ht="14.4" thickBot="1" x14ac:dyDescent="0.35">
      <c r="A729" s="4" t="s">
        <v>19</v>
      </c>
      <c r="B729" s="4" t="s">
        <v>554</v>
      </c>
      <c r="C729" s="4" t="s">
        <v>555</v>
      </c>
      <c r="D729" s="4" t="s">
        <v>556</v>
      </c>
      <c r="E729" s="4" t="s">
        <v>48</v>
      </c>
      <c r="F729" s="4" t="s">
        <v>557</v>
      </c>
      <c r="G729" s="4" t="s">
        <v>558</v>
      </c>
      <c r="H729" s="4" t="s">
        <v>26</v>
      </c>
      <c r="I729" s="4" t="s">
        <v>26</v>
      </c>
      <c r="J729" s="4" t="s">
        <v>27</v>
      </c>
      <c r="K729" s="4" t="s">
        <v>28</v>
      </c>
      <c r="L729" s="4" t="s">
        <v>28</v>
      </c>
      <c r="M729" s="4" t="s">
        <v>29</v>
      </c>
      <c r="N729" s="5"/>
    </row>
    <row r="730" spans="1:14" ht="14.4" thickBot="1" x14ac:dyDescent="0.35">
      <c r="A730" s="4" t="s">
        <v>19</v>
      </c>
      <c r="B730" s="4" t="s">
        <v>554</v>
      </c>
      <c r="C730" s="4" t="s">
        <v>555</v>
      </c>
      <c r="D730" s="4" t="s">
        <v>556</v>
      </c>
      <c r="E730" s="4" t="s">
        <v>48</v>
      </c>
      <c r="F730" s="4" t="s">
        <v>1327</v>
      </c>
      <c r="G730" s="4" t="s">
        <v>1328</v>
      </c>
      <c r="H730" s="4" t="s">
        <v>135</v>
      </c>
      <c r="I730" s="4" t="s">
        <v>38</v>
      </c>
      <c r="J730" s="4" t="s">
        <v>28</v>
      </c>
      <c r="K730" s="4" t="s">
        <v>28</v>
      </c>
      <c r="L730" s="4" t="s">
        <v>27</v>
      </c>
      <c r="M730" s="4" t="s">
        <v>34</v>
      </c>
      <c r="N730" s="4" t="s">
        <v>28</v>
      </c>
    </row>
    <row r="731" spans="1:14" ht="14.4" thickBot="1" x14ac:dyDescent="0.35">
      <c r="A731" s="4" t="s">
        <v>19</v>
      </c>
      <c r="B731" s="4" t="s">
        <v>554</v>
      </c>
      <c r="C731" s="4" t="s">
        <v>555</v>
      </c>
      <c r="D731" s="4" t="s">
        <v>556</v>
      </c>
      <c r="E731" s="4" t="s">
        <v>48</v>
      </c>
      <c r="F731" s="4" t="s">
        <v>4379</v>
      </c>
      <c r="G731" s="4" t="s">
        <v>4380</v>
      </c>
      <c r="H731" s="4" t="s">
        <v>135</v>
      </c>
      <c r="I731" s="4" t="s">
        <v>33</v>
      </c>
      <c r="J731" s="4" t="s">
        <v>27</v>
      </c>
      <c r="K731" s="4" t="s">
        <v>28</v>
      </c>
      <c r="L731" s="4" t="s">
        <v>28</v>
      </c>
      <c r="M731" s="4" t="s">
        <v>34</v>
      </c>
      <c r="N731" s="4" t="s">
        <v>28</v>
      </c>
    </row>
    <row r="732" spans="1:14" ht="14.4" thickBot="1" x14ac:dyDescent="0.35">
      <c r="A732" s="4" t="s">
        <v>19</v>
      </c>
      <c r="B732" s="4" t="s">
        <v>554</v>
      </c>
      <c r="C732" s="4" t="s">
        <v>555</v>
      </c>
      <c r="D732" s="4" t="s">
        <v>556</v>
      </c>
      <c r="E732" s="4" t="s">
        <v>48</v>
      </c>
      <c r="F732" s="4" t="s">
        <v>4381</v>
      </c>
      <c r="G732" s="4" t="s">
        <v>4382</v>
      </c>
      <c r="H732" s="4" t="s">
        <v>37</v>
      </c>
      <c r="I732" s="4" t="s">
        <v>38</v>
      </c>
      <c r="J732" s="4" t="s">
        <v>28</v>
      </c>
      <c r="K732" s="4" t="s">
        <v>28</v>
      </c>
      <c r="L732" s="4" t="s">
        <v>27</v>
      </c>
      <c r="M732" s="4" t="s">
        <v>34</v>
      </c>
      <c r="N732" s="4" t="s">
        <v>28</v>
      </c>
    </row>
    <row r="733" spans="1:14" ht="14.4" thickBot="1" x14ac:dyDescent="0.35">
      <c r="A733" s="4" t="s">
        <v>19</v>
      </c>
      <c r="B733" s="4" t="s">
        <v>554</v>
      </c>
      <c r="C733" s="4" t="s">
        <v>555</v>
      </c>
      <c r="D733" s="4" t="s">
        <v>556</v>
      </c>
      <c r="E733" s="4" t="s">
        <v>48</v>
      </c>
      <c r="F733" s="4" t="s">
        <v>5048</v>
      </c>
      <c r="G733" s="4" t="s">
        <v>5049</v>
      </c>
      <c r="H733" s="4" t="s">
        <v>26</v>
      </c>
      <c r="I733" s="4" t="s">
        <v>33</v>
      </c>
      <c r="J733" s="4" t="s">
        <v>27</v>
      </c>
      <c r="K733" s="4" t="s">
        <v>28</v>
      </c>
      <c r="L733" s="4" t="s">
        <v>28</v>
      </c>
      <c r="M733" s="4" t="s">
        <v>34</v>
      </c>
      <c r="N733" s="4" t="s">
        <v>28</v>
      </c>
    </row>
    <row r="734" spans="1:14" ht="14.4" thickBot="1" x14ac:dyDescent="0.35">
      <c r="A734" s="4" t="s">
        <v>19</v>
      </c>
      <c r="B734" s="4" t="s">
        <v>554</v>
      </c>
      <c r="C734" s="4" t="s">
        <v>555</v>
      </c>
      <c r="D734" s="4" t="s">
        <v>556</v>
      </c>
      <c r="E734" s="4" t="s">
        <v>48</v>
      </c>
      <c r="F734" s="4" t="s">
        <v>5050</v>
      </c>
      <c r="G734" s="4" t="s">
        <v>5051</v>
      </c>
      <c r="H734" s="4" t="s">
        <v>69</v>
      </c>
      <c r="I734" s="4" t="s">
        <v>94</v>
      </c>
      <c r="J734" s="4" t="s">
        <v>28</v>
      </c>
      <c r="K734" s="4" t="s">
        <v>27</v>
      </c>
      <c r="L734" s="4" t="s">
        <v>28</v>
      </c>
      <c r="M734" s="4" t="s">
        <v>34</v>
      </c>
      <c r="N734" s="4" t="s">
        <v>28</v>
      </c>
    </row>
    <row r="735" spans="1:14" ht="14.4" thickBot="1" x14ac:dyDescent="0.35">
      <c r="A735" s="4" t="s">
        <v>19</v>
      </c>
      <c r="B735" s="4" t="s">
        <v>554</v>
      </c>
      <c r="C735" s="4" t="s">
        <v>771</v>
      </c>
      <c r="D735" s="4" t="s">
        <v>772</v>
      </c>
      <c r="E735" s="4" t="s">
        <v>48</v>
      </c>
      <c r="F735" s="4" t="s">
        <v>773</v>
      </c>
      <c r="G735" s="4" t="s">
        <v>774</v>
      </c>
      <c r="H735" s="4" t="s">
        <v>26</v>
      </c>
      <c r="I735" s="4" t="s">
        <v>69</v>
      </c>
      <c r="J735" s="4" t="s">
        <v>27</v>
      </c>
      <c r="K735" s="4" t="s">
        <v>28</v>
      </c>
      <c r="L735" s="4" t="s">
        <v>28</v>
      </c>
      <c r="M735" s="4" t="s">
        <v>34</v>
      </c>
      <c r="N735" s="4" t="s">
        <v>28</v>
      </c>
    </row>
    <row r="736" spans="1:14" ht="14.4" thickBot="1" x14ac:dyDescent="0.35">
      <c r="A736" s="4" t="s">
        <v>19</v>
      </c>
      <c r="B736" s="4" t="s">
        <v>554</v>
      </c>
      <c r="C736" s="4" t="s">
        <v>771</v>
      </c>
      <c r="D736" s="4" t="s">
        <v>772</v>
      </c>
      <c r="E736" s="4" t="s">
        <v>48</v>
      </c>
      <c r="F736" s="4" t="s">
        <v>1818</v>
      </c>
      <c r="G736" s="4" t="s">
        <v>1819</v>
      </c>
      <c r="H736" s="4" t="s">
        <v>26</v>
      </c>
      <c r="I736" s="4" t="s">
        <v>26</v>
      </c>
      <c r="J736" s="5"/>
      <c r="K736" s="5"/>
      <c r="L736" s="5"/>
      <c r="M736" s="4" t="s">
        <v>130</v>
      </c>
      <c r="N736" s="5"/>
    </row>
    <row r="737" spans="1:14" ht="14.4" thickBot="1" x14ac:dyDescent="0.35">
      <c r="A737" s="4" t="s">
        <v>19</v>
      </c>
      <c r="B737" s="4" t="s">
        <v>554</v>
      </c>
      <c r="C737" s="4" t="s">
        <v>771</v>
      </c>
      <c r="D737" s="4" t="s">
        <v>772</v>
      </c>
      <c r="E737" s="4" t="s">
        <v>48</v>
      </c>
      <c r="F737" s="4" t="s">
        <v>2354</v>
      </c>
      <c r="G737" s="4" t="s">
        <v>2355</v>
      </c>
      <c r="H737" s="4" t="s">
        <v>122</v>
      </c>
      <c r="I737" s="4" t="s">
        <v>38</v>
      </c>
      <c r="J737" s="4" t="s">
        <v>28</v>
      </c>
      <c r="K737" s="4" t="s">
        <v>28</v>
      </c>
      <c r="L737" s="4" t="s">
        <v>27</v>
      </c>
      <c r="M737" s="4" t="s">
        <v>34</v>
      </c>
      <c r="N737" s="4" t="s">
        <v>28</v>
      </c>
    </row>
    <row r="738" spans="1:14" ht="14.4" thickBot="1" x14ac:dyDescent="0.35">
      <c r="A738" s="4" t="s">
        <v>19</v>
      </c>
      <c r="B738" s="4" t="s">
        <v>554</v>
      </c>
      <c r="C738" s="4" t="s">
        <v>3805</v>
      </c>
      <c r="D738" s="4" t="s">
        <v>3806</v>
      </c>
      <c r="E738" s="4" t="s">
        <v>48</v>
      </c>
      <c r="F738" s="4" t="s">
        <v>3807</v>
      </c>
      <c r="G738" s="4" t="s">
        <v>3808</v>
      </c>
      <c r="H738" s="4" t="s">
        <v>26</v>
      </c>
      <c r="I738" s="4" t="s">
        <v>26</v>
      </c>
      <c r="J738" s="5"/>
      <c r="K738" s="5"/>
      <c r="L738" s="5"/>
      <c r="M738" s="4" t="s">
        <v>130</v>
      </c>
      <c r="N738" s="5"/>
    </row>
    <row r="739" spans="1:14" ht="14.4" thickBot="1" x14ac:dyDescent="0.35">
      <c r="A739" s="4" t="s">
        <v>19</v>
      </c>
      <c r="B739" s="4" t="s">
        <v>554</v>
      </c>
      <c r="C739" s="4" t="s">
        <v>3805</v>
      </c>
      <c r="D739" s="4" t="s">
        <v>3806</v>
      </c>
      <c r="E739" s="4" t="s">
        <v>48</v>
      </c>
      <c r="F739" s="4" t="s">
        <v>3809</v>
      </c>
      <c r="G739" s="4" t="s">
        <v>3810</v>
      </c>
      <c r="H739" s="4" t="s">
        <v>122</v>
      </c>
      <c r="I739" s="4" t="s">
        <v>94</v>
      </c>
      <c r="J739" s="4" t="s">
        <v>28</v>
      </c>
      <c r="K739" s="4" t="s">
        <v>27</v>
      </c>
      <c r="L739" s="4" t="s">
        <v>28</v>
      </c>
      <c r="M739" s="4" t="s">
        <v>34</v>
      </c>
      <c r="N739" s="4" t="s">
        <v>28</v>
      </c>
    </row>
    <row r="740" spans="1:14" ht="14.4" thickBot="1" x14ac:dyDescent="0.35">
      <c r="A740" s="4" t="s">
        <v>19</v>
      </c>
      <c r="B740" s="4" t="s">
        <v>554</v>
      </c>
      <c r="C740" s="4" t="s">
        <v>3805</v>
      </c>
      <c r="D740" s="4" t="s">
        <v>3806</v>
      </c>
      <c r="E740" s="4" t="s">
        <v>48</v>
      </c>
      <c r="F740" s="4" t="s">
        <v>4555</v>
      </c>
      <c r="G740" s="4" t="s">
        <v>4556</v>
      </c>
      <c r="H740" s="4" t="s">
        <v>37</v>
      </c>
      <c r="I740" s="4" t="s">
        <v>38</v>
      </c>
      <c r="J740" s="4" t="s">
        <v>28</v>
      </c>
      <c r="K740" s="4" t="s">
        <v>28</v>
      </c>
      <c r="L740" s="4" t="s">
        <v>27</v>
      </c>
      <c r="M740" s="4" t="s">
        <v>34</v>
      </c>
      <c r="N740" s="4" t="s">
        <v>28</v>
      </c>
    </row>
    <row r="741" spans="1:14" ht="14.4" thickBot="1" x14ac:dyDescent="0.35">
      <c r="A741" s="4" t="s">
        <v>19</v>
      </c>
      <c r="B741" s="4" t="s">
        <v>554</v>
      </c>
      <c r="C741" s="4" t="s">
        <v>3805</v>
      </c>
      <c r="D741" s="4" t="s">
        <v>3806</v>
      </c>
      <c r="E741" s="4" t="s">
        <v>48</v>
      </c>
      <c r="F741" s="4" t="s">
        <v>5929</v>
      </c>
      <c r="G741" s="4" t="s">
        <v>5930</v>
      </c>
      <c r="H741" s="4" t="s">
        <v>26</v>
      </c>
      <c r="I741" s="4" t="s">
        <v>69</v>
      </c>
      <c r="J741" s="4" t="s">
        <v>27</v>
      </c>
      <c r="K741" s="4" t="s">
        <v>28</v>
      </c>
      <c r="L741" s="4" t="s">
        <v>28</v>
      </c>
      <c r="M741" s="4" t="s">
        <v>34</v>
      </c>
      <c r="N741" s="4" t="s">
        <v>28</v>
      </c>
    </row>
    <row r="742" spans="1:14" ht="14.4" thickBot="1" x14ac:dyDescent="0.35">
      <c r="A742" s="4" t="s">
        <v>19</v>
      </c>
      <c r="B742" s="4" t="s">
        <v>1858</v>
      </c>
      <c r="C742" s="4" t="s">
        <v>1859</v>
      </c>
      <c r="D742" s="4" t="s">
        <v>1860</v>
      </c>
      <c r="E742" s="4" t="s">
        <v>48</v>
      </c>
      <c r="F742" s="4" t="s">
        <v>1861</v>
      </c>
      <c r="G742" s="4" t="s">
        <v>1862</v>
      </c>
      <c r="H742" s="4" t="s">
        <v>26</v>
      </c>
      <c r="I742" s="4" t="s">
        <v>26</v>
      </c>
      <c r="J742" s="5"/>
      <c r="K742" s="5"/>
      <c r="L742" s="5"/>
      <c r="M742" s="4" t="s">
        <v>130</v>
      </c>
      <c r="N742" s="5"/>
    </row>
    <row r="743" spans="1:14" ht="14.4" thickBot="1" x14ac:dyDescent="0.35">
      <c r="A743" s="4" t="s">
        <v>19</v>
      </c>
      <c r="B743" s="4" t="s">
        <v>1858</v>
      </c>
      <c r="C743" s="4" t="s">
        <v>1859</v>
      </c>
      <c r="D743" s="4" t="s">
        <v>1860</v>
      </c>
      <c r="E743" s="4" t="s">
        <v>48</v>
      </c>
      <c r="F743" s="4" t="s">
        <v>4706</v>
      </c>
      <c r="G743" s="4" t="s">
        <v>4707</v>
      </c>
      <c r="H743" s="4" t="s">
        <v>26</v>
      </c>
      <c r="I743" s="4" t="s">
        <v>38</v>
      </c>
      <c r="J743" s="4" t="s">
        <v>28</v>
      </c>
      <c r="K743" s="4" t="s">
        <v>28</v>
      </c>
      <c r="L743" s="4" t="s">
        <v>27</v>
      </c>
      <c r="M743" s="4" t="s">
        <v>34</v>
      </c>
      <c r="N743" s="4" t="s">
        <v>28</v>
      </c>
    </row>
    <row r="744" spans="1:14" ht="14.4" thickBot="1" x14ac:dyDescent="0.35">
      <c r="A744" s="4" t="s">
        <v>19</v>
      </c>
      <c r="B744" s="4" t="s">
        <v>1858</v>
      </c>
      <c r="C744" s="4" t="s">
        <v>3811</v>
      </c>
      <c r="D744" s="4" t="s">
        <v>3812</v>
      </c>
      <c r="E744" s="4" t="s">
        <v>48</v>
      </c>
      <c r="F744" s="4" t="s">
        <v>3813</v>
      </c>
      <c r="G744" s="4" t="s">
        <v>3814</v>
      </c>
      <c r="H744" s="4" t="s">
        <v>26</v>
      </c>
      <c r="I744" s="4" t="s">
        <v>26</v>
      </c>
      <c r="J744" s="4" t="s">
        <v>27</v>
      </c>
      <c r="K744" s="4" t="s">
        <v>28</v>
      </c>
      <c r="L744" s="4" t="s">
        <v>28</v>
      </c>
      <c r="M744" s="4" t="s">
        <v>29</v>
      </c>
      <c r="N744" s="4" t="s">
        <v>28</v>
      </c>
    </row>
    <row r="745" spans="1:14" ht="14.4" thickBot="1" x14ac:dyDescent="0.35">
      <c r="A745" s="4" t="s">
        <v>19</v>
      </c>
      <c r="B745" s="4" t="s">
        <v>1858</v>
      </c>
      <c r="C745" s="4" t="s">
        <v>3811</v>
      </c>
      <c r="D745" s="4" t="s">
        <v>3812</v>
      </c>
      <c r="E745" s="4" t="s">
        <v>48</v>
      </c>
      <c r="F745" s="4" t="s">
        <v>5252</v>
      </c>
      <c r="G745" s="4" t="s">
        <v>5253</v>
      </c>
      <c r="H745" s="4" t="s">
        <v>26</v>
      </c>
      <c r="I745" s="4" t="s">
        <v>26</v>
      </c>
      <c r="J745" s="5"/>
      <c r="K745" s="5"/>
      <c r="L745" s="5"/>
      <c r="M745" s="4" t="s">
        <v>130</v>
      </c>
      <c r="N745" s="5"/>
    </row>
    <row r="746" spans="1:14" ht="14.4" thickBot="1" x14ac:dyDescent="0.35">
      <c r="A746" s="4" t="s">
        <v>19</v>
      </c>
      <c r="B746" s="4" t="s">
        <v>1858</v>
      </c>
      <c r="C746" s="4" t="s">
        <v>3811</v>
      </c>
      <c r="D746" s="4" t="s">
        <v>3812</v>
      </c>
      <c r="E746" s="4" t="s">
        <v>48</v>
      </c>
      <c r="F746" s="4" t="s">
        <v>5931</v>
      </c>
      <c r="G746" s="4" t="s">
        <v>5932</v>
      </c>
      <c r="H746" s="4" t="s">
        <v>26</v>
      </c>
      <c r="I746" s="4" t="s">
        <v>38</v>
      </c>
      <c r="J746" s="4" t="s">
        <v>28</v>
      </c>
      <c r="K746" s="4" t="s">
        <v>28</v>
      </c>
      <c r="L746" s="4" t="s">
        <v>27</v>
      </c>
      <c r="M746" s="4" t="s">
        <v>34</v>
      </c>
      <c r="N746" s="4" t="s">
        <v>28</v>
      </c>
    </row>
    <row r="747" spans="1:14" ht="14.4" thickBot="1" x14ac:dyDescent="0.35">
      <c r="A747" s="4" t="s">
        <v>19</v>
      </c>
      <c r="B747" s="4" t="s">
        <v>662</v>
      </c>
      <c r="C747" s="4" t="s">
        <v>479</v>
      </c>
      <c r="D747" s="4" t="s">
        <v>663</v>
      </c>
      <c r="E747" s="4" t="s">
        <v>23</v>
      </c>
      <c r="F747" s="4" t="s">
        <v>664</v>
      </c>
      <c r="G747" s="4" t="s">
        <v>665</v>
      </c>
      <c r="H747" s="4" t="s">
        <v>26</v>
      </c>
      <c r="I747" s="4" t="s">
        <v>26</v>
      </c>
      <c r="J747" s="5"/>
      <c r="K747" s="5"/>
      <c r="L747" s="5"/>
      <c r="M747" s="4" t="s">
        <v>29</v>
      </c>
      <c r="N747" s="5"/>
    </row>
    <row r="748" spans="1:14" ht="14.4" thickBot="1" x14ac:dyDescent="0.35">
      <c r="A748" s="4" t="s">
        <v>19</v>
      </c>
      <c r="B748" s="4" t="s">
        <v>662</v>
      </c>
      <c r="C748" s="4" t="s">
        <v>479</v>
      </c>
      <c r="D748" s="4" t="s">
        <v>663</v>
      </c>
      <c r="E748" s="4" t="s">
        <v>23</v>
      </c>
      <c r="F748" s="4" t="s">
        <v>3049</v>
      </c>
      <c r="G748" s="4" t="s">
        <v>3050</v>
      </c>
      <c r="H748" s="4" t="s">
        <v>26</v>
      </c>
      <c r="I748" s="4" t="s">
        <v>26</v>
      </c>
      <c r="J748" s="4" t="s">
        <v>27</v>
      </c>
      <c r="K748" s="4" t="s">
        <v>28</v>
      </c>
      <c r="L748" s="4" t="s">
        <v>28</v>
      </c>
      <c r="M748" s="4" t="s">
        <v>130</v>
      </c>
      <c r="N748" s="5"/>
    </row>
    <row r="749" spans="1:14" ht="14.4" thickBot="1" x14ac:dyDescent="0.35">
      <c r="A749" s="4" t="s">
        <v>19</v>
      </c>
      <c r="B749" s="4" t="s">
        <v>662</v>
      </c>
      <c r="C749" s="4" t="s">
        <v>479</v>
      </c>
      <c r="D749" s="4" t="s">
        <v>663</v>
      </c>
      <c r="E749" s="4" t="s">
        <v>23</v>
      </c>
      <c r="F749" s="4" t="s">
        <v>3815</v>
      </c>
      <c r="G749" s="4" t="s">
        <v>3816</v>
      </c>
      <c r="H749" s="4" t="s">
        <v>135</v>
      </c>
      <c r="I749" s="4" t="s">
        <v>69</v>
      </c>
      <c r="J749" s="4" t="s">
        <v>27</v>
      </c>
      <c r="K749" s="4" t="s">
        <v>28</v>
      </c>
      <c r="L749" s="4" t="s">
        <v>28</v>
      </c>
      <c r="M749" s="4" t="s">
        <v>34</v>
      </c>
      <c r="N749" s="4" t="s">
        <v>28</v>
      </c>
    </row>
    <row r="750" spans="1:14" ht="14.4" thickBot="1" x14ac:dyDescent="0.35">
      <c r="A750" s="4" t="s">
        <v>19</v>
      </c>
      <c r="B750" s="4" t="s">
        <v>662</v>
      </c>
      <c r="C750" s="4" t="s">
        <v>479</v>
      </c>
      <c r="D750" s="4" t="s">
        <v>663</v>
      </c>
      <c r="E750" s="4" t="s">
        <v>23</v>
      </c>
      <c r="F750" s="4" t="s">
        <v>5933</v>
      </c>
      <c r="G750" s="4" t="s">
        <v>5934</v>
      </c>
      <c r="H750" s="4" t="s">
        <v>122</v>
      </c>
      <c r="I750" s="4" t="s">
        <v>38</v>
      </c>
      <c r="J750" s="4" t="s">
        <v>28</v>
      </c>
      <c r="K750" s="4" t="s">
        <v>28</v>
      </c>
      <c r="L750" s="4" t="s">
        <v>27</v>
      </c>
      <c r="M750" s="4" t="s">
        <v>34</v>
      </c>
      <c r="N750" s="4" t="s">
        <v>28</v>
      </c>
    </row>
    <row r="751" spans="1:14" ht="14.4" thickBot="1" x14ac:dyDescent="0.35">
      <c r="A751" s="4" t="s">
        <v>19</v>
      </c>
      <c r="B751" s="4" t="s">
        <v>3817</v>
      </c>
      <c r="C751" s="4" t="s">
        <v>1914</v>
      </c>
      <c r="D751" s="4" t="s">
        <v>3818</v>
      </c>
      <c r="E751" s="4" t="s">
        <v>48</v>
      </c>
      <c r="F751" s="4" t="s">
        <v>3819</v>
      </c>
      <c r="G751" s="4" t="s">
        <v>3820</v>
      </c>
      <c r="H751" s="4" t="s">
        <v>26</v>
      </c>
      <c r="I751" s="4" t="s">
        <v>33</v>
      </c>
      <c r="J751" s="4" t="s">
        <v>27</v>
      </c>
      <c r="K751" s="4" t="s">
        <v>28</v>
      </c>
      <c r="L751" s="4" t="s">
        <v>28</v>
      </c>
      <c r="M751" s="4" t="s">
        <v>34</v>
      </c>
      <c r="N751" s="4" t="s">
        <v>28</v>
      </c>
    </row>
    <row r="752" spans="1:14" ht="14.4" thickBot="1" x14ac:dyDescent="0.35">
      <c r="A752" s="4" t="s">
        <v>19</v>
      </c>
      <c r="B752" s="4" t="s">
        <v>3817</v>
      </c>
      <c r="C752" s="4" t="s">
        <v>1914</v>
      </c>
      <c r="D752" s="4" t="s">
        <v>3818</v>
      </c>
      <c r="E752" s="4" t="s">
        <v>48</v>
      </c>
      <c r="F752" s="4" t="s">
        <v>4557</v>
      </c>
      <c r="G752" s="4" t="s">
        <v>4558</v>
      </c>
      <c r="H752" s="4" t="s">
        <v>69</v>
      </c>
      <c r="I752" s="4" t="s">
        <v>94</v>
      </c>
      <c r="J752" s="4" t="s">
        <v>28</v>
      </c>
      <c r="K752" s="4" t="s">
        <v>27</v>
      </c>
      <c r="L752" s="4" t="s">
        <v>28</v>
      </c>
      <c r="M752" s="4" t="s">
        <v>34</v>
      </c>
      <c r="N752" s="4" t="s">
        <v>28</v>
      </c>
    </row>
    <row r="753" spans="1:14" ht="14.4" thickBot="1" x14ac:dyDescent="0.35">
      <c r="A753" s="4" t="s">
        <v>19</v>
      </c>
      <c r="B753" s="4" t="s">
        <v>3817</v>
      </c>
      <c r="C753" s="4" t="s">
        <v>1914</v>
      </c>
      <c r="D753" s="4" t="s">
        <v>3818</v>
      </c>
      <c r="E753" s="4" t="s">
        <v>48</v>
      </c>
      <c r="F753" s="4" t="s">
        <v>4559</v>
      </c>
      <c r="G753" s="4" t="s">
        <v>4560</v>
      </c>
      <c r="H753" s="4" t="s">
        <v>37</v>
      </c>
      <c r="I753" s="4" t="s">
        <v>38</v>
      </c>
      <c r="J753" s="4" t="s">
        <v>28</v>
      </c>
      <c r="K753" s="4" t="s">
        <v>28</v>
      </c>
      <c r="L753" s="4" t="s">
        <v>27</v>
      </c>
      <c r="M753" s="4" t="s">
        <v>34</v>
      </c>
      <c r="N753" s="4" t="s">
        <v>28</v>
      </c>
    </row>
    <row r="754" spans="1:14" ht="14.4" thickBot="1" x14ac:dyDescent="0.35">
      <c r="A754" s="4" t="s">
        <v>19</v>
      </c>
      <c r="B754" s="4" t="s">
        <v>775</v>
      </c>
      <c r="C754" s="4" t="s">
        <v>776</v>
      </c>
      <c r="D754" s="4" t="s">
        <v>777</v>
      </c>
      <c r="E754" s="4" t="s">
        <v>23</v>
      </c>
      <c r="F754" s="4" t="s">
        <v>778</v>
      </c>
      <c r="G754" s="4" t="s">
        <v>779</v>
      </c>
      <c r="H754" s="4" t="s">
        <v>33</v>
      </c>
      <c r="I754" s="4" t="s">
        <v>94</v>
      </c>
      <c r="J754" s="4" t="s">
        <v>28</v>
      </c>
      <c r="K754" s="4" t="s">
        <v>27</v>
      </c>
      <c r="L754" s="4" t="s">
        <v>28</v>
      </c>
      <c r="M754" s="4" t="s">
        <v>34</v>
      </c>
      <c r="N754" s="4" t="s">
        <v>28</v>
      </c>
    </row>
    <row r="755" spans="1:14" ht="14.4" thickBot="1" x14ac:dyDescent="0.35">
      <c r="A755" s="4" t="s">
        <v>19</v>
      </c>
      <c r="B755" s="4" t="s">
        <v>775</v>
      </c>
      <c r="C755" s="4" t="s">
        <v>776</v>
      </c>
      <c r="D755" s="4" t="s">
        <v>777</v>
      </c>
      <c r="E755" s="4" t="s">
        <v>23</v>
      </c>
      <c r="F755" s="4" t="s">
        <v>780</v>
      </c>
      <c r="G755" s="4" t="s">
        <v>781</v>
      </c>
      <c r="H755" s="4" t="s">
        <v>37</v>
      </c>
      <c r="I755" s="4" t="s">
        <v>38</v>
      </c>
      <c r="J755" s="4" t="s">
        <v>28</v>
      </c>
      <c r="K755" s="4" t="s">
        <v>28</v>
      </c>
      <c r="L755" s="4" t="s">
        <v>27</v>
      </c>
      <c r="M755" s="4" t="s">
        <v>34</v>
      </c>
      <c r="N755" s="4" t="s">
        <v>28</v>
      </c>
    </row>
    <row r="756" spans="1:14" ht="14.4" thickBot="1" x14ac:dyDescent="0.35">
      <c r="A756" s="4" t="s">
        <v>19</v>
      </c>
      <c r="B756" s="4" t="s">
        <v>775</v>
      </c>
      <c r="C756" s="4" t="s">
        <v>776</v>
      </c>
      <c r="D756" s="4" t="s">
        <v>777</v>
      </c>
      <c r="E756" s="4" t="s">
        <v>23</v>
      </c>
      <c r="F756" s="4" t="s">
        <v>954</v>
      </c>
      <c r="G756" s="4" t="s">
        <v>955</v>
      </c>
      <c r="H756" s="4" t="s">
        <v>135</v>
      </c>
      <c r="I756" s="4" t="s">
        <v>94</v>
      </c>
      <c r="J756" s="5"/>
      <c r="K756" s="5"/>
      <c r="L756" s="5"/>
      <c r="M756" s="4" t="s">
        <v>29</v>
      </c>
      <c r="N756" s="5"/>
    </row>
    <row r="757" spans="1:14" ht="14.4" thickBot="1" x14ac:dyDescent="0.35">
      <c r="A757" s="4" t="s">
        <v>19</v>
      </c>
      <c r="B757" s="4" t="s">
        <v>775</v>
      </c>
      <c r="C757" s="4" t="s">
        <v>776</v>
      </c>
      <c r="D757" s="4" t="s">
        <v>777</v>
      </c>
      <c r="E757" s="4" t="s">
        <v>23</v>
      </c>
      <c r="F757" s="4" t="s">
        <v>1670</v>
      </c>
      <c r="G757" s="4" t="s">
        <v>1671</v>
      </c>
      <c r="H757" s="4" t="s">
        <v>122</v>
      </c>
      <c r="I757" s="4" t="s">
        <v>38</v>
      </c>
      <c r="J757" s="4" t="s">
        <v>28</v>
      </c>
      <c r="K757" s="4" t="s">
        <v>28</v>
      </c>
      <c r="L757" s="4" t="s">
        <v>27</v>
      </c>
      <c r="M757" s="4" t="s">
        <v>34</v>
      </c>
      <c r="N757" s="4" t="s">
        <v>28</v>
      </c>
    </row>
    <row r="758" spans="1:14" ht="14.4" thickBot="1" x14ac:dyDescent="0.35">
      <c r="A758" s="4" t="s">
        <v>19</v>
      </c>
      <c r="B758" s="4" t="s">
        <v>775</v>
      </c>
      <c r="C758" s="4" t="s">
        <v>776</v>
      </c>
      <c r="D758" s="4" t="s">
        <v>777</v>
      </c>
      <c r="E758" s="4" t="s">
        <v>23</v>
      </c>
      <c r="F758" s="4" t="s">
        <v>1672</v>
      </c>
      <c r="G758" s="4" t="s">
        <v>1673</v>
      </c>
      <c r="H758" s="4" t="s">
        <v>26</v>
      </c>
      <c r="I758" s="4" t="s">
        <v>33</v>
      </c>
      <c r="J758" s="4" t="s">
        <v>27</v>
      </c>
      <c r="K758" s="4" t="s">
        <v>28</v>
      </c>
      <c r="L758" s="4" t="s">
        <v>28</v>
      </c>
      <c r="M758" s="4" t="s">
        <v>34</v>
      </c>
      <c r="N758" s="4" t="s">
        <v>28</v>
      </c>
    </row>
    <row r="759" spans="1:14" ht="14.4" thickBot="1" x14ac:dyDescent="0.35">
      <c r="A759" s="4" t="s">
        <v>19</v>
      </c>
      <c r="B759" s="4" t="s">
        <v>775</v>
      </c>
      <c r="C759" s="4" t="s">
        <v>776</v>
      </c>
      <c r="D759" s="4" t="s">
        <v>777</v>
      </c>
      <c r="E759" s="4" t="s">
        <v>23</v>
      </c>
      <c r="F759" s="4" t="s">
        <v>1674</v>
      </c>
      <c r="G759" s="4" t="s">
        <v>1675</v>
      </c>
      <c r="H759" s="4" t="s">
        <v>135</v>
      </c>
      <c r="I759" s="4" t="s">
        <v>33</v>
      </c>
      <c r="J759" s="4" t="s">
        <v>27</v>
      </c>
      <c r="K759" s="4" t="s">
        <v>28</v>
      </c>
      <c r="L759" s="4" t="s">
        <v>28</v>
      </c>
      <c r="M759" s="4" t="s">
        <v>34</v>
      </c>
      <c r="N759" s="4" t="s">
        <v>28</v>
      </c>
    </row>
    <row r="760" spans="1:14" ht="14.4" thickBot="1" x14ac:dyDescent="0.35">
      <c r="A760" s="4" t="s">
        <v>19</v>
      </c>
      <c r="B760" s="4" t="s">
        <v>775</v>
      </c>
      <c r="C760" s="4" t="s">
        <v>776</v>
      </c>
      <c r="D760" s="4" t="s">
        <v>777</v>
      </c>
      <c r="E760" s="4" t="s">
        <v>23</v>
      </c>
      <c r="F760" s="4" t="s">
        <v>1820</v>
      </c>
      <c r="G760" s="4" t="s">
        <v>1821</v>
      </c>
      <c r="H760" s="4" t="s">
        <v>26</v>
      </c>
      <c r="I760" s="4" t="s">
        <v>116</v>
      </c>
      <c r="J760" s="4" t="s">
        <v>27</v>
      </c>
      <c r="K760" s="4" t="s">
        <v>28</v>
      </c>
      <c r="L760" s="4" t="s">
        <v>28</v>
      </c>
      <c r="M760" s="4" t="s">
        <v>29</v>
      </c>
      <c r="N760" s="4" t="s">
        <v>28</v>
      </c>
    </row>
    <row r="761" spans="1:14" ht="14.4" thickBot="1" x14ac:dyDescent="0.35">
      <c r="A761" s="4" t="s">
        <v>19</v>
      </c>
      <c r="B761" s="4" t="s">
        <v>775</v>
      </c>
      <c r="C761" s="4" t="s">
        <v>776</v>
      </c>
      <c r="D761" s="4" t="s">
        <v>777</v>
      </c>
      <c r="E761" s="4" t="s">
        <v>23</v>
      </c>
      <c r="F761" s="4" t="s">
        <v>1822</v>
      </c>
      <c r="G761" s="4" t="s">
        <v>1823</v>
      </c>
      <c r="H761" s="4" t="s">
        <v>26</v>
      </c>
      <c r="I761" s="4" t="s">
        <v>26</v>
      </c>
      <c r="J761" s="4" t="s">
        <v>27</v>
      </c>
      <c r="K761" s="4" t="s">
        <v>28</v>
      </c>
      <c r="L761" s="4" t="s">
        <v>28</v>
      </c>
      <c r="M761" s="4" t="s">
        <v>29</v>
      </c>
      <c r="N761" s="4" t="s">
        <v>28</v>
      </c>
    </row>
    <row r="762" spans="1:14" ht="14.4" thickBot="1" x14ac:dyDescent="0.35">
      <c r="A762" s="4" t="s">
        <v>19</v>
      </c>
      <c r="B762" s="4" t="s">
        <v>775</v>
      </c>
      <c r="C762" s="4" t="s">
        <v>776</v>
      </c>
      <c r="D762" s="4" t="s">
        <v>777</v>
      </c>
      <c r="E762" s="4" t="s">
        <v>23</v>
      </c>
      <c r="F762" s="4" t="s">
        <v>1824</v>
      </c>
      <c r="G762" s="4" t="s">
        <v>1825</v>
      </c>
      <c r="H762" s="4" t="s">
        <v>26</v>
      </c>
      <c r="I762" s="4" t="s">
        <v>26</v>
      </c>
      <c r="J762" s="4" t="s">
        <v>27</v>
      </c>
      <c r="K762" s="4" t="s">
        <v>28</v>
      </c>
      <c r="L762" s="4" t="s">
        <v>28</v>
      </c>
      <c r="M762" s="4" t="s">
        <v>29</v>
      </c>
      <c r="N762" s="4" t="s">
        <v>28</v>
      </c>
    </row>
    <row r="763" spans="1:14" ht="14.4" thickBot="1" x14ac:dyDescent="0.35">
      <c r="A763" s="4" t="s">
        <v>19</v>
      </c>
      <c r="B763" s="4" t="s">
        <v>775</v>
      </c>
      <c r="C763" s="4" t="s">
        <v>776</v>
      </c>
      <c r="D763" s="4" t="s">
        <v>777</v>
      </c>
      <c r="E763" s="4" t="s">
        <v>23</v>
      </c>
      <c r="F763" s="4" t="s">
        <v>1826</v>
      </c>
      <c r="G763" s="4" t="s">
        <v>1827</v>
      </c>
      <c r="H763" s="4" t="s">
        <v>26</v>
      </c>
      <c r="I763" s="4" t="s">
        <v>26</v>
      </c>
      <c r="J763" s="4" t="s">
        <v>27</v>
      </c>
      <c r="K763" s="4" t="s">
        <v>28</v>
      </c>
      <c r="L763" s="4" t="s">
        <v>28</v>
      </c>
      <c r="M763" s="4" t="s">
        <v>29</v>
      </c>
      <c r="N763" s="4" t="s">
        <v>28</v>
      </c>
    </row>
    <row r="764" spans="1:14" ht="14.4" thickBot="1" x14ac:dyDescent="0.35">
      <c r="A764" s="4" t="s">
        <v>19</v>
      </c>
      <c r="B764" s="4" t="s">
        <v>775</v>
      </c>
      <c r="C764" s="4" t="s">
        <v>776</v>
      </c>
      <c r="D764" s="4" t="s">
        <v>777</v>
      </c>
      <c r="E764" s="4" t="s">
        <v>23</v>
      </c>
      <c r="F764" s="4" t="s">
        <v>2356</v>
      </c>
      <c r="G764" s="4" t="s">
        <v>2357</v>
      </c>
      <c r="H764" s="4" t="s">
        <v>135</v>
      </c>
      <c r="I764" s="4" t="s">
        <v>33</v>
      </c>
      <c r="J764" s="4" t="s">
        <v>27</v>
      </c>
      <c r="K764" s="4" t="s">
        <v>28</v>
      </c>
      <c r="L764" s="4" t="s">
        <v>28</v>
      </c>
      <c r="M764" s="4" t="s">
        <v>34</v>
      </c>
      <c r="N764" s="4" t="s">
        <v>28</v>
      </c>
    </row>
    <row r="765" spans="1:14" ht="14.4" thickBot="1" x14ac:dyDescent="0.35">
      <c r="A765" s="4" t="s">
        <v>19</v>
      </c>
      <c r="B765" s="4" t="s">
        <v>775</v>
      </c>
      <c r="C765" s="4" t="s">
        <v>776</v>
      </c>
      <c r="D765" s="4" t="s">
        <v>777</v>
      </c>
      <c r="E765" s="4" t="s">
        <v>23</v>
      </c>
      <c r="F765" s="4" t="s">
        <v>3126</v>
      </c>
      <c r="G765" s="4" t="s">
        <v>3127</v>
      </c>
      <c r="H765" s="4" t="s">
        <v>26</v>
      </c>
      <c r="I765" s="4" t="s">
        <v>94</v>
      </c>
      <c r="J765" s="4" t="s">
        <v>27</v>
      </c>
      <c r="K765" s="4" t="s">
        <v>28</v>
      </c>
      <c r="L765" s="4" t="s">
        <v>28</v>
      </c>
      <c r="M765" s="4" t="s">
        <v>34</v>
      </c>
      <c r="N765" s="4" t="s">
        <v>28</v>
      </c>
    </row>
    <row r="766" spans="1:14" ht="14.4" thickBot="1" x14ac:dyDescent="0.35">
      <c r="A766" s="4" t="s">
        <v>19</v>
      </c>
      <c r="B766" s="4" t="s">
        <v>775</v>
      </c>
      <c r="C766" s="4" t="s">
        <v>776</v>
      </c>
      <c r="D766" s="4" t="s">
        <v>777</v>
      </c>
      <c r="E766" s="4" t="s">
        <v>23</v>
      </c>
      <c r="F766" s="4" t="s">
        <v>3128</v>
      </c>
      <c r="G766" s="4" t="s">
        <v>3129</v>
      </c>
      <c r="H766" s="4" t="s">
        <v>37</v>
      </c>
      <c r="I766" s="4" t="s">
        <v>38</v>
      </c>
      <c r="J766" s="4" t="s">
        <v>28</v>
      </c>
      <c r="K766" s="4" t="s">
        <v>28</v>
      </c>
      <c r="L766" s="4" t="s">
        <v>27</v>
      </c>
      <c r="M766" s="4" t="s">
        <v>34</v>
      </c>
      <c r="N766" s="4" t="s">
        <v>28</v>
      </c>
    </row>
    <row r="767" spans="1:14" ht="14.4" thickBot="1" x14ac:dyDescent="0.35">
      <c r="A767" s="4" t="s">
        <v>19</v>
      </c>
      <c r="B767" s="4" t="s">
        <v>775</v>
      </c>
      <c r="C767" s="4" t="s">
        <v>776</v>
      </c>
      <c r="D767" s="4" t="s">
        <v>777</v>
      </c>
      <c r="E767" s="4" t="s">
        <v>23</v>
      </c>
      <c r="F767" s="4" t="s">
        <v>3919</v>
      </c>
      <c r="G767" s="4" t="s">
        <v>3920</v>
      </c>
      <c r="H767" s="4" t="s">
        <v>135</v>
      </c>
      <c r="I767" s="4" t="s">
        <v>38</v>
      </c>
      <c r="J767" s="4" t="s">
        <v>28</v>
      </c>
      <c r="K767" s="4" t="s">
        <v>28</v>
      </c>
      <c r="L767" s="4" t="s">
        <v>27</v>
      </c>
      <c r="M767" s="4" t="s">
        <v>34</v>
      </c>
      <c r="N767" s="4" t="s">
        <v>27</v>
      </c>
    </row>
    <row r="768" spans="1:14" ht="14.4" thickBot="1" x14ac:dyDescent="0.35">
      <c r="A768" s="4" t="s">
        <v>19</v>
      </c>
      <c r="B768" s="4" t="s">
        <v>775</v>
      </c>
      <c r="C768" s="4" t="s">
        <v>776</v>
      </c>
      <c r="D768" s="4" t="s">
        <v>777</v>
      </c>
      <c r="E768" s="4" t="s">
        <v>23</v>
      </c>
      <c r="F768" s="4" t="s">
        <v>3921</v>
      </c>
      <c r="G768" s="4" t="s">
        <v>3922</v>
      </c>
      <c r="H768" s="4" t="s">
        <v>69</v>
      </c>
      <c r="I768" s="4" t="s">
        <v>94</v>
      </c>
      <c r="J768" s="4" t="s">
        <v>28</v>
      </c>
      <c r="K768" s="4" t="s">
        <v>27</v>
      </c>
      <c r="L768" s="4" t="s">
        <v>28</v>
      </c>
      <c r="M768" s="4" t="s">
        <v>34</v>
      </c>
      <c r="N768" s="4" t="s">
        <v>28</v>
      </c>
    </row>
    <row r="769" spans="1:14" ht="14.4" thickBot="1" x14ac:dyDescent="0.35">
      <c r="A769" s="4" t="s">
        <v>19</v>
      </c>
      <c r="B769" s="4" t="s">
        <v>775</v>
      </c>
      <c r="C769" s="4" t="s">
        <v>776</v>
      </c>
      <c r="D769" s="4" t="s">
        <v>777</v>
      </c>
      <c r="E769" s="4" t="s">
        <v>23</v>
      </c>
      <c r="F769" s="4" t="s">
        <v>4057</v>
      </c>
      <c r="G769" s="4" t="s">
        <v>4058</v>
      </c>
      <c r="H769" s="4" t="s">
        <v>26</v>
      </c>
      <c r="I769" s="4" t="s">
        <v>26</v>
      </c>
      <c r="J769" s="4" t="s">
        <v>27</v>
      </c>
      <c r="K769" s="4" t="s">
        <v>28</v>
      </c>
      <c r="L769" s="4" t="s">
        <v>28</v>
      </c>
      <c r="M769" s="4" t="s">
        <v>29</v>
      </c>
      <c r="N769" s="4" t="s">
        <v>28</v>
      </c>
    </row>
    <row r="770" spans="1:14" ht="14.4" thickBot="1" x14ac:dyDescent="0.35">
      <c r="A770" s="4" t="s">
        <v>19</v>
      </c>
      <c r="B770" s="4" t="s">
        <v>775</v>
      </c>
      <c r="C770" s="4" t="s">
        <v>776</v>
      </c>
      <c r="D770" s="4" t="s">
        <v>777</v>
      </c>
      <c r="E770" s="4" t="s">
        <v>23</v>
      </c>
      <c r="F770" s="4" t="s">
        <v>4638</v>
      </c>
      <c r="G770" s="4" t="s">
        <v>4639</v>
      </c>
      <c r="H770" s="4" t="s">
        <v>26</v>
      </c>
      <c r="I770" s="4" t="s">
        <v>26</v>
      </c>
      <c r="J770" s="4" t="s">
        <v>27</v>
      </c>
      <c r="K770" s="4" t="s">
        <v>28</v>
      </c>
      <c r="L770" s="4" t="s">
        <v>28</v>
      </c>
      <c r="M770" s="4" t="s">
        <v>34</v>
      </c>
      <c r="N770" s="4" t="s">
        <v>28</v>
      </c>
    </row>
    <row r="771" spans="1:14" ht="14.4" thickBot="1" x14ac:dyDescent="0.35">
      <c r="A771" s="4" t="s">
        <v>19</v>
      </c>
      <c r="B771" s="4" t="s">
        <v>775</v>
      </c>
      <c r="C771" s="4" t="s">
        <v>776</v>
      </c>
      <c r="D771" s="4" t="s">
        <v>777</v>
      </c>
      <c r="E771" s="4" t="s">
        <v>23</v>
      </c>
      <c r="F771" s="4" t="s">
        <v>5325</v>
      </c>
      <c r="G771" s="4" t="s">
        <v>5326</v>
      </c>
      <c r="H771" s="4" t="s">
        <v>122</v>
      </c>
      <c r="I771" s="4" t="s">
        <v>38</v>
      </c>
      <c r="J771" s="4" t="s">
        <v>28</v>
      </c>
      <c r="K771" s="4" t="s">
        <v>28</v>
      </c>
      <c r="L771" s="4" t="s">
        <v>27</v>
      </c>
      <c r="M771" s="4" t="s">
        <v>34</v>
      </c>
      <c r="N771" s="4" t="s">
        <v>28</v>
      </c>
    </row>
    <row r="772" spans="1:14" ht="14.4" thickBot="1" x14ac:dyDescent="0.35">
      <c r="A772" s="4" t="s">
        <v>19</v>
      </c>
      <c r="B772" s="4" t="s">
        <v>775</v>
      </c>
      <c r="C772" s="4" t="s">
        <v>776</v>
      </c>
      <c r="D772" s="4" t="s">
        <v>777</v>
      </c>
      <c r="E772" s="4" t="s">
        <v>23</v>
      </c>
      <c r="F772" s="4" t="s">
        <v>5327</v>
      </c>
      <c r="G772" s="4" t="s">
        <v>5328</v>
      </c>
      <c r="H772" s="4" t="s">
        <v>26</v>
      </c>
      <c r="I772" s="4" t="s">
        <v>69</v>
      </c>
      <c r="J772" s="4" t="s">
        <v>27</v>
      </c>
      <c r="K772" s="4" t="s">
        <v>28</v>
      </c>
      <c r="L772" s="4" t="s">
        <v>28</v>
      </c>
      <c r="M772" s="4" t="s">
        <v>34</v>
      </c>
      <c r="N772" s="4" t="s">
        <v>28</v>
      </c>
    </row>
    <row r="773" spans="1:14" ht="14.4" thickBot="1" x14ac:dyDescent="0.35">
      <c r="A773" s="4" t="s">
        <v>19</v>
      </c>
      <c r="B773" s="4" t="s">
        <v>775</v>
      </c>
      <c r="C773" s="4" t="s">
        <v>776</v>
      </c>
      <c r="D773" s="4" t="s">
        <v>777</v>
      </c>
      <c r="E773" s="4" t="s">
        <v>23</v>
      </c>
      <c r="F773" s="4" t="s">
        <v>5329</v>
      </c>
      <c r="G773" s="4" t="s">
        <v>5330</v>
      </c>
      <c r="H773" s="4" t="s">
        <v>69</v>
      </c>
      <c r="I773" s="4" t="s">
        <v>94</v>
      </c>
      <c r="J773" s="4" t="s">
        <v>28</v>
      </c>
      <c r="K773" s="4" t="s">
        <v>27</v>
      </c>
      <c r="L773" s="4" t="s">
        <v>28</v>
      </c>
      <c r="M773" s="4" t="s">
        <v>34</v>
      </c>
      <c r="N773" s="4" t="s">
        <v>28</v>
      </c>
    </row>
    <row r="774" spans="1:14" ht="14.4" thickBot="1" x14ac:dyDescent="0.35">
      <c r="A774" s="4" t="s">
        <v>19</v>
      </c>
      <c r="B774" s="4" t="s">
        <v>775</v>
      </c>
      <c r="C774" s="4" t="s">
        <v>776</v>
      </c>
      <c r="D774" s="4" t="s">
        <v>777</v>
      </c>
      <c r="E774" s="4" t="s">
        <v>23</v>
      </c>
      <c r="F774" s="4" t="s">
        <v>5460</v>
      </c>
      <c r="G774" s="4" t="s">
        <v>5461</v>
      </c>
      <c r="H774" s="4" t="s">
        <v>26</v>
      </c>
      <c r="I774" s="4" t="s">
        <v>26</v>
      </c>
      <c r="J774" s="4" t="s">
        <v>27</v>
      </c>
      <c r="K774" s="4" t="s">
        <v>28</v>
      </c>
      <c r="L774" s="4" t="s">
        <v>28</v>
      </c>
      <c r="M774" s="4" t="s">
        <v>130</v>
      </c>
      <c r="N774" s="4" t="s">
        <v>28</v>
      </c>
    </row>
    <row r="775" spans="1:14" ht="14.4" thickBot="1" x14ac:dyDescent="0.35">
      <c r="A775" s="4" t="s">
        <v>19</v>
      </c>
      <c r="B775" s="4" t="s">
        <v>775</v>
      </c>
      <c r="C775" s="4" t="s">
        <v>776</v>
      </c>
      <c r="D775" s="4" t="s">
        <v>777</v>
      </c>
      <c r="E775" s="4" t="s">
        <v>23</v>
      </c>
      <c r="F775" s="4" t="s">
        <v>6036</v>
      </c>
      <c r="G775" s="4" t="s">
        <v>6037</v>
      </c>
      <c r="H775" s="4" t="s">
        <v>135</v>
      </c>
      <c r="I775" s="4" t="s">
        <v>69</v>
      </c>
      <c r="J775" s="4" t="s">
        <v>27</v>
      </c>
      <c r="K775" s="4" t="s">
        <v>28</v>
      </c>
      <c r="L775" s="4" t="s">
        <v>28</v>
      </c>
      <c r="M775" s="4" t="s">
        <v>34</v>
      </c>
      <c r="N775" s="4" t="s">
        <v>28</v>
      </c>
    </row>
    <row r="776" spans="1:14" ht="14.4" thickBot="1" x14ac:dyDescent="0.35">
      <c r="A776" s="4" t="s">
        <v>19</v>
      </c>
      <c r="B776" s="4" t="s">
        <v>775</v>
      </c>
      <c r="C776" s="4" t="s">
        <v>776</v>
      </c>
      <c r="D776" s="4" t="s">
        <v>777</v>
      </c>
      <c r="E776" s="4" t="s">
        <v>23</v>
      </c>
      <c r="F776" s="4" t="s">
        <v>6038</v>
      </c>
      <c r="G776" s="4" t="s">
        <v>6039</v>
      </c>
      <c r="H776" s="4" t="s">
        <v>26</v>
      </c>
      <c r="I776" s="4" t="s">
        <v>69</v>
      </c>
      <c r="J776" s="4" t="s">
        <v>27</v>
      </c>
      <c r="K776" s="4" t="s">
        <v>28</v>
      </c>
      <c r="L776" s="4" t="s">
        <v>28</v>
      </c>
      <c r="M776" s="4" t="s">
        <v>34</v>
      </c>
      <c r="N776" s="4" t="s">
        <v>28</v>
      </c>
    </row>
    <row r="777" spans="1:14" ht="14.4" thickBot="1" x14ac:dyDescent="0.35">
      <c r="A777" s="4" t="s">
        <v>19</v>
      </c>
      <c r="B777" s="4" t="s">
        <v>775</v>
      </c>
      <c r="C777" s="4" t="s">
        <v>776</v>
      </c>
      <c r="D777" s="4" t="s">
        <v>777</v>
      </c>
      <c r="E777" s="4" t="s">
        <v>23</v>
      </c>
      <c r="F777" s="4" t="s">
        <v>6040</v>
      </c>
      <c r="G777" s="4" t="s">
        <v>6041</v>
      </c>
      <c r="H777" s="4" t="s">
        <v>37</v>
      </c>
      <c r="I777" s="4" t="s">
        <v>38</v>
      </c>
      <c r="J777" s="4" t="s">
        <v>28</v>
      </c>
      <c r="K777" s="4" t="s">
        <v>28</v>
      </c>
      <c r="L777" s="4" t="s">
        <v>27</v>
      </c>
      <c r="M777" s="4" t="s">
        <v>34</v>
      </c>
      <c r="N777" s="4" t="s">
        <v>28</v>
      </c>
    </row>
    <row r="778" spans="1:14" ht="14.4" thickBot="1" x14ac:dyDescent="0.35">
      <c r="A778" s="4" t="s">
        <v>19</v>
      </c>
      <c r="B778" s="4" t="s">
        <v>775</v>
      </c>
      <c r="C778" s="4" t="s">
        <v>776</v>
      </c>
      <c r="D778" s="4" t="s">
        <v>777</v>
      </c>
      <c r="E778" s="4" t="s">
        <v>23</v>
      </c>
      <c r="F778" s="4" t="s">
        <v>6156</v>
      </c>
      <c r="G778" s="4" t="s">
        <v>6157</v>
      </c>
      <c r="H778" s="4" t="s">
        <v>26</v>
      </c>
      <c r="I778" s="4" t="s">
        <v>26</v>
      </c>
      <c r="J778" s="4" t="s">
        <v>27</v>
      </c>
      <c r="K778" s="4" t="s">
        <v>28</v>
      </c>
      <c r="L778" s="4" t="s">
        <v>28</v>
      </c>
      <c r="M778" s="4" t="s">
        <v>29</v>
      </c>
      <c r="N778" s="4" t="s">
        <v>28</v>
      </c>
    </row>
    <row r="779" spans="1:14" ht="14.4" thickBot="1" x14ac:dyDescent="0.35">
      <c r="A779" s="4" t="s">
        <v>19</v>
      </c>
      <c r="B779" s="4" t="s">
        <v>666</v>
      </c>
      <c r="C779" s="4" t="s">
        <v>667</v>
      </c>
      <c r="D779" s="4" t="s">
        <v>668</v>
      </c>
      <c r="E779" s="4" t="s">
        <v>254</v>
      </c>
      <c r="F779" s="4" t="s">
        <v>669</v>
      </c>
      <c r="G779" s="4" t="s">
        <v>670</v>
      </c>
      <c r="H779" s="4" t="s">
        <v>26</v>
      </c>
      <c r="I779" s="4" t="s">
        <v>116</v>
      </c>
      <c r="J779" s="4" t="s">
        <v>27</v>
      </c>
      <c r="K779" s="4" t="s">
        <v>28</v>
      </c>
      <c r="L779" s="4" t="s">
        <v>28</v>
      </c>
      <c r="M779" s="4" t="s">
        <v>34</v>
      </c>
      <c r="N779" s="4" t="s">
        <v>28</v>
      </c>
    </row>
    <row r="780" spans="1:14" ht="14.4" thickBot="1" x14ac:dyDescent="0.35">
      <c r="A780" s="4" t="s">
        <v>19</v>
      </c>
      <c r="B780" s="4" t="s">
        <v>666</v>
      </c>
      <c r="C780" s="4" t="s">
        <v>667</v>
      </c>
      <c r="D780" s="4" t="s">
        <v>668</v>
      </c>
      <c r="E780" s="4" t="s">
        <v>254</v>
      </c>
      <c r="F780" s="4" t="s">
        <v>671</v>
      </c>
      <c r="G780" s="4" t="s">
        <v>672</v>
      </c>
      <c r="H780" s="4" t="s">
        <v>37</v>
      </c>
      <c r="I780" s="4" t="s">
        <v>38</v>
      </c>
      <c r="J780" s="4" t="s">
        <v>28</v>
      </c>
      <c r="K780" s="4" t="s">
        <v>28</v>
      </c>
      <c r="L780" s="4" t="s">
        <v>27</v>
      </c>
      <c r="M780" s="4" t="s">
        <v>34</v>
      </c>
      <c r="N780" s="4" t="s">
        <v>27</v>
      </c>
    </row>
    <row r="781" spans="1:14" ht="14.4" thickBot="1" x14ac:dyDescent="0.35">
      <c r="A781" s="4" t="s">
        <v>19</v>
      </c>
      <c r="B781" s="4" t="s">
        <v>666</v>
      </c>
      <c r="C781" s="4" t="s">
        <v>667</v>
      </c>
      <c r="D781" s="4" t="s">
        <v>668</v>
      </c>
      <c r="E781" s="4" t="s">
        <v>254</v>
      </c>
      <c r="F781" s="4" t="s">
        <v>673</v>
      </c>
      <c r="G781" s="4" t="s">
        <v>674</v>
      </c>
      <c r="H781" s="4" t="s">
        <v>69</v>
      </c>
      <c r="I781" s="4" t="s">
        <v>94</v>
      </c>
      <c r="J781" s="4" t="s">
        <v>28</v>
      </c>
      <c r="K781" s="4" t="s">
        <v>27</v>
      </c>
      <c r="L781" s="4" t="s">
        <v>28</v>
      </c>
      <c r="M781" s="4" t="s">
        <v>34</v>
      </c>
      <c r="N781" s="4" t="s">
        <v>27</v>
      </c>
    </row>
    <row r="782" spans="1:14" ht="14.4" thickBot="1" x14ac:dyDescent="0.35">
      <c r="A782" s="4" t="s">
        <v>19</v>
      </c>
      <c r="B782" s="4" t="s">
        <v>666</v>
      </c>
      <c r="C782" s="4" t="s">
        <v>667</v>
      </c>
      <c r="D782" s="4" t="s">
        <v>668</v>
      </c>
      <c r="E782" s="4" t="s">
        <v>254</v>
      </c>
      <c r="F782" s="4" t="s">
        <v>675</v>
      </c>
      <c r="G782" s="4" t="s">
        <v>676</v>
      </c>
      <c r="H782" s="4" t="s">
        <v>69</v>
      </c>
      <c r="I782" s="4" t="s">
        <v>94</v>
      </c>
      <c r="J782" s="4" t="s">
        <v>28</v>
      </c>
      <c r="K782" s="4" t="s">
        <v>27</v>
      </c>
      <c r="L782" s="4" t="s">
        <v>28</v>
      </c>
      <c r="M782" s="4" t="s">
        <v>34</v>
      </c>
      <c r="N782" s="4" t="s">
        <v>27</v>
      </c>
    </row>
    <row r="783" spans="1:14" ht="14.4" thickBot="1" x14ac:dyDescent="0.35">
      <c r="A783" s="4" t="s">
        <v>19</v>
      </c>
      <c r="B783" s="4" t="s">
        <v>666</v>
      </c>
      <c r="C783" s="4" t="s">
        <v>667</v>
      </c>
      <c r="D783" s="4" t="s">
        <v>668</v>
      </c>
      <c r="E783" s="4" t="s">
        <v>254</v>
      </c>
      <c r="F783" s="4" t="s">
        <v>677</v>
      </c>
      <c r="G783" s="4" t="s">
        <v>678</v>
      </c>
      <c r="H783" s="4" t="s">
        <v>37</v>
      </c>
      <c r="I783" s="4" t="s">
        <v>38</v>
      </c>
      <c r="J783" s="4" t="s">
        <v>28</v>
      </c>
      <c r="K783" s="4" t="s">
        <v>28</v>
      </c>
      <c r="L783" s="4" t="s">
        <v>27</v>
      </c>
      <c r="M783" s="4" t="s">
        <v>34</v>
      </c>
      <c r="N783" s="4" t="s">
        <v>28</v>
      </c>
    </row>
    <row r="784" spans="1:14" ht="14.4" thickBot="1" x14ac:dyDescent="0.35">
      <c r="A784" s="4" t="s">
        <v>19</v>
      </c>
      <c r="B784" s="4" t="s">
        <v>666</v>
      </c>
      <c r="C784" s="4" t="s">
        <v>667</v>
      </c>
      <c r="D784" s="4" t="s">
        <v>668</v>
      </c>
      <c r="E784" s="4" t="s">
        <v>254</v>
      </c>
      <c r="F784" s="4" t="s">
        <v>679</v>
      </c>
      <c r="G784" s="4" t="s">
        <v>680</v>
      </c>
      <c r="H784" s="4" t="s">
        <v>26</v>
      </c>
      <c r="I784" s="4" t="s">
        <v>116</v>
      </c>
      <c r="J784" s="4" t="s">
        <v>27</v>
      </c>
      <c r="K784" s="4" t="s">
        <v>28</v>
      </c>
      <c r="L784" s="4" t="s">
        <v>28</v>
      </c>
      <c r="M784" s="4" t="s">
        <v>34</v>
      </c>
      <c r="N784" s="4" t="s">
        <v>28</v>
      </c>
    </row>
    <row r="785" spans="1:14" ht="14.4" thickBot="1" x14ac:dyDescent="0.35">
      <c r="A785" s="4" t="s">
        <v>19</v>
      </c>
      <c r="B785" s="4" t="s">
        <v>666</v>
      </c>
      <c r="C785" s="4" t="s">
        <v>667</v>
      </c>
      <c r="D785" s="4" t="s">
        <v>668</v>
      </c>
      <c r="E785" s="4" t="s">
        <v>254</v>
      </c>
      <c r="F785" s="4" t="s">
        <v>681</v>
      </c>
      <c r="G785" s="4" t="s">
        <v>682</v>
      </c>
      <c r="H785" s="4" t="s">
        <v>37</v>
      </c>
      <c r="I785" s="4" t="s">
        <v>38</v>
      </c>
      <c r="J785" s="4" t="s">
        <v>28</v>
      </c>
      <c r="K785" s="4" t="s">
        <v>28</v>
      </c>
      <c r="L785" s="4" t="s">
        <v>27</v>
      </c>
      <c r="M785" s="4" t="s">
        <v>34</v>
      </c>
      <c r="N785" s="4" t="s">
        <v>28</v>
      </c>
    </row>
    <row r="786" spans="1:14" ht="14.4" thickBot="1" x14ac:dyDescent="0.35">
      <c r="A786" s="4" t="s">
        <v>19</v>
      </c>
      <c r="B786" s="4" t="s">
        <v>666</v>
      </c>
      <c r="C786" s="4" t="s">
        <v>667</v>
      </c>
      <c r="D786" s="4" t="s">
        <v>668</v>
      </c>
      <c r="E786" s="4" t="s">
        <v>254</v>
      </c>
      <c r="F786" s="4" t="s">
        <v>683</v>
      </c>
      <c r="G786" s="4" t="s">
        <v>684</v>
      </c>
      <c r="H786" s="4" t="s">
        <v>37</v>
      </c>
      <c r="I786" s="4" t="s">
        <v>38</v>
      </c>
      <c r="J786" s="4" t="s">
        <v>28</v>
      </c>
      <c r="K786" s="4" t="s">
        <v>28</v>
      </c>
      <c r="L786" s="4" t="s">
        <v>27</v>
      </c>
      <c r="M786" s="4" t="s">
        <v>34</v>
      </c>
      <c r="N786" s="4" t="s">
        <v>28</v>
      </c>
    </row>
    <row r="787" spans="1:14" ht="14.4" thickBot="1" x14ac:dyDescent="0.35">
      <c r="A787" s="4" t="s">
        <v>19</v>
      </c>
      <c r="B787" s="4" t="s">
        <v>666</v>
      </c>
      <c r="C787" s="4" t="s">
        <v>667</v>
      </c>
      <c r="D787" s="4" t="s">
        <v>668</v>
      </c>
      <c r="E787" s="4" t="s">
        <v>254</v>
      </c>
      <c r="F787" s="4" t="s">
        <v>685</v>
      </c>
      <c r="G787" s="4" t="s">
        <v>686</v>
      </c>
      <c r="H787" s="4" t="s">
        <v>69</v>
      </c>
      <c r="I787" s="4" t="s">
        <v>94</v>
      </c>
      <c r="J787" s="4" t="s">
        <v>28</v>
      </c>
      <c r="K787" s="4" t="s">
        <v>27</v>
      </c>
      <c r="L787" s="4" t="s">
        <v>28</v>
      </c>
      <c r="M787" s="4" t="s">
        <v>34</v>
      </c>
      <c r="N787" s="4" t="s">
        <v>27</v>
      </c>
    </row>
    <row r="788" spans="1:14" ht="14.4" thickBot="1" x14ac:dyDescent="0.35">
      <c r="A788" s="4" t="s">
        <v>19</v>
      </c>
      <c r="B788" s="4" t="s">
        <v>666</v>
      </c>
      <c r="C788" s="4" t="s">
        <v>667</v>
      </c>
      <c r="D788" s="4" t="s">
        <v>668</v>
      </c>
      <c r="E788" s="4" t="s">
        <v>254</v>
      </c>
      <c r="F788" s="4" t="s">
        <v>687</v>
      </c>
      <c r="G788" s="4" t="s">
        <v>688</v>
      </c>
      <c r="H788" s="4" t="s">
        <v>26</v>
      </c>
      <c r="I788" s="4" t="s">
        <v>33</v>
      </c>
      <c r="J788" s="4" t="s">
        <v>27</v>
      </c>
      <c r="K788" s="4" t="s">
        <v>28</v>
      </c>
      <c r="L788" s="4" t="s">
        <v>28</v>
      </c>
      <c r="M788" s="4" t="s">
        <v>34</v>
      </c>
      <c r="N788" s="4" t="s">
        <v>28</v>
      </c>
    </row>
    <row r="789" spans="1:14" ht="14.4" thickBot="1" x14ac:dyDescent="0.35">
      <c r="A789" s="4" t="s">
        <v>19</v>
      </c>
      <c r="B789" s="4" t="s">
        <v>666</v>
      </c>
      <c r="C789" s="4" t="s">
        <v>667</v>
      </c>
      <c r="D789" s="4" t="s">
        <v>668</v>
      </c>
      <c r="E789" s="4" t="s">
        <v>254</v>
      </c>
      <c r="F789" s="4" t="s">
        <v>689</v>
      </c>
      <c r="G789" s="4" t="s">
        <v>690</v>
      </c>
      <c r="H789" s="4" t="s">
        <v>26</v>
      </c>
      <c r="I789" s="4" t="s">
        <v>33</v>
      </c>
      <c r="J789" s="4" t="s">
        <v>27</v>
      </c>
      <c r="K789" s="4" t="s">
        <v>28</v>
      </c>
      <c r="L789" s="4" t="s">
        <v>28</v>
      </c>
      <c r="M789" s="4" t="s">
        <v>34</v>
      </c>
      <c r="N789" s="4" t="s">
        <v>28</v>
      </c>
    </row>
    <row r="790" spans="1:14" ht="14.4" thickBot="1" x14ac:dyDescent="0.35">
      <c r="A790" s="4" t="s">
        <v>19</v>
      </c>
      <c r="B790" s="4" t="s">
        <v>666</v>
      </c>
      <c r="C790" s="4" t="s">
        <v>667</v>
      </c>
      <c r="D790" s="4" t="s">
        <v>668</v>
      </c>
      <c r="E790" s="4" t="s">
        <v>254</v>
      </c>
      <c r="F790" s="4" t="s">
        <v>691</v>
      </c>
      <c r="G790" s="4" t="s">
        <v>692</v>
      </c>
      <c r="H790" s="4" t="s">
        <v>116</v>
      </c>
      <c r="I790" s="4" t="s">
        <v>94</v>
      </c>
      <c r="J790" s="4" t="s">
        <v>27</v>
      </c>
      <c r="K790" s="4" t="s">
        <v>28</v>
      </c>
      <c r="L790" s="4" t="s">
        <v>28</v>
      </c>
      <c r="M790" s="4" t="s">
        <v>34</v>
      </c>
      <c r="N790" s="4" t="s">
        <v>28</v>
      </c>
    </row>
    <row r="791" spans="1:14" ht="14.4" thickBot="1" x14ac:dyDescent="0.35">
      <c r="A791" s="4" t="s">
        <v>19</v>
      </c>
      <c r="B791" s="4" t="s">
        <v>666</v>
      </c>
      <c r="C791" s="4" t="s">
        <v>667</v>
      </c>
      <c r="D791" s="4" t="s">
        <v>668</v>
      </c>
      <c r="E791" s="4" t="s">
        <v>254</v>
      </c>
      <c r="F791" s="4" t="s">
        <v>693</v>
      </c>
      <c r="G791" s="4" t="s">
        <v>694</v>
      </c>
      <c r="H791" s="4" t="s">
        <v>26</v>
      </c>
      <c r="I791" s="4" t="s">
        <v>33</v>
      </c>
      <c r="J791" s="4" t="s">
        <v>27</v>
      </c>
      <c r="K791" s="4" t="s">
        <v>28</v>
      </c>
      <c r="L791" s="4" t="s">
        <v>28</v>
      </c>
      <c r="M791" s="4" t="s">
        <v>34</v>
      </c>
      <c r="N791" s="4" t="s">
        <v>28</v>
      </c>
    </row>
    <row r="792" spans="1:14" ht="14.4" thickBot="1" x14ac:dyDescent="0.35">
      <c r="A792" s="4" t="s">
        <v>19</v>
      </c>
      <c r="B792" s="4" t="s">
        <v>666</v>
      </c>
      <c r="C792" s="4" t="s">
        <v>667</v>
      </c>
      <c r="D792" s="4" t="s">
        <v>668</v>
      </c>
      <c r="E792" s="4" t="s">
        <v>254</v>
      </c>
      <c r="F792" s="4" t="s">
        <v>695</v>
      </c>
      <c r="G792" s="4" t="s">
        <v>696</v>
      </c>
      <c r="H792" s="4" t="s">
        <v>26</v>
      </c>
      <c r="I792" s="4" t="s">
        <v>33</v>
      </c>
      <c r="J792" s="4" t="s">
        <v>27</v>
      </c>
      <c r="K792" s="4" t="s">
        <v>28</v>
      </c>
      <c r="L792" s="4" t="s">
        <v>28</v>
      </c>
      <c r="M792" s="4" t="s">
        <v>34</v>
      </c>
      <c r="N792" s="4" t="s">
        <v>28</v>
      </c>
    </row>
    <row r="793" spans="1:14" ht="14.4" thickBot="1" x14ac:dyDescent="0.35">
      <c r="A793" s="4" t="s">
        <v>19</v>
      </c>
      <c r="B793" s="4" t="s">
        <v>666</v>
      </c>
      <c r="C793" s="4" t="s">
        <v>667</v>
      </c>
      <c r="D793" s="4" t="s">
        <v>668</v>
      </c>
      <c r="E793" s="4" t="s">
        <v>254</v>
      </c>
      <c r="F793" s="4" t="s">
        <v>697</v>
      </c>
      <c r="G793" s="4" t="s">
        <v>698</v>
      </c>
      <c r="H793" s="4" t="s">
        <v>135</v>
      </c>
      <c r="I793" s="4" t="s">
        <v>38</v>
      </c>
      <c r="J793" s="4" t="s">
        <v>28</v>
      </c>
      <c r="K793" s="4" t="s">
        <v>28</v>
      </c>
      <c r="L793" s="4" t="s">
        <v>27</v>
      </c>
      <c r="M793" s="4" t="s">
        <v>34</v>
      </c>
      <c r="N793" s="4" t="s">
        <v>28</v>
      </c>
    </row>
    <row r="794" spans="1:14" ht="14.4" thickBot="1" x14ac:dyDescent="0.35">
      <c r="A794" s="4" t="s">
        <v>19</v>
      </c>
      <c r="B794" s="4" t="s">
        <v>666</v>
      </c>
      <c r="C794" s="4" t="s">
        <v>667</v>
      </c>
      <c r="D794" s="4" t="s">
        <v>668</v>
      </c>
      <c r="E794" s="4" t="s">
        <v>254</v>
      </c>
      <c r="F794" s="4" t="s">
        <v>699</v>
      </c>
      <c r="G794" s="4" t="s">
        <v>700</v>
      </c>
      <c r="H794" s="4" t="s">
        <v>26</v>
      </c>
      <c r="I794" s="4" t="s">
        <v>33</v>
      </c>
      <c r="J794" s="4" t="s">
        <v>27</v>
      </c>
      <c r="K794" s="4" t="s">
        <v>28</v>
      </c>
      <c r="L794" s="4" t="s">
        <v>28</v>
      </c>
      <c r="M794" s="4" t="s">
        <v>34</v>
      </c>
      <c r="N794" s="4" t="s">
        <v>28</v>
      </c>
    </row>
    <row r="795" spans="1:14" ht="14.4" thickBot="1" x14ac:dyDescent="0.35">
      <c r="A795" s="4" t="s">
        <v>19</v>
      </c>
      <c r="B795" s="4" t="s">
        <v>666</v>
      </c>
      <c r="C795" s="4" t="s">
        <v>667</v>
      </c>
      <c r="D795" s="4" t="s">
        <v>668</v>
      </c>
      <c r="E795" s="4" t="s">
        <v>254</v>
      </c>
      <c r="F795" s="4" t="s">
        <v>701</v>
      </c>
      <c r="G795" s="4" t="s">
        <v>702</v>
      </c>
      <c r="H795" s="4" t="s">
        <v>158</v>
      </c>
      <c r="I795" s="4" t="s">
        <v>33</v>
      </c>
      <c r="J795" s="4" t="s">
        <v>27</v>
      </c>
      <c r="K795" s="4" t="s">
        <v>28</v>
      </c>
      <c r="L795" s="4" t="s">
        <v>28</v>
      </c>
      <c r="M795" s="4" t="s">
        <v>34</v>
      </c>
      <c r="N795" s="4" t="s">
        <v>28</v>
      </c>
    </row>
    <row r="796" spans="1:14" ht="14.4" thickBot="1" x14ac:dyDescent="0.35">
      <c r="A796" s="4" t="s">
        <v>19</v>
      </c>
      <c r="B796" s="4" t="s">
        <v>666</v>
      </c>
      <c r="C796" s="4" t="s">
        <v>667</v>
      </c>
      <c r="D796" s="4" t="s">
        <v>668</v>
      </c>
      <c r="E796" s="4" t="s">
        <v>254</v>
      </c>
      <c r="F796" s="4" t="s">
        <v>703</v>
      </c>
      <c r="G796" s="4" t="s">
        <v>704</v>
      </c>
      <c r="H796" s="4" t="s">
        <v>69</v>
      </c>
      <c r="I796" s="4" t="s">
        <v>94</v>
      </c>
      <c r="J796" s="4" t="s">
        <v>28</v>
      </c>
      <c r="K796" s="4" t="s">
        <v>27</v>
      </c>
      <c r="L796" s="4" t="s">
        <v>28</v>
      </c>
      <c r="M796" s="4" t="s">
        <v>34</v>
      </c>
      <c r="N796" s="4" t="s">
        <v>28</v>
      </c>
    </row>
    <row r="797" spans="1:14" ht="14.4" thickBot="1" x14ac:dyDescent="0.35">
      <c r="A797" s="4" t="s">
        <v>19</v>
      </c>
      <c r="B797" s="4" t="s">
        <v>666</v>
      </c>
      <c r="C797" s="4" t="s">
        <v>667</v>
      </c>
      <c r="D797" s="4" t="s">
        <v>668</v>
      </c>
      <c r="E797" s="4" t="s">
        <v>254</v>
      </c>
      <c r="F797" s="4" t="s">
        <v>705</v>
      </c>
      <c r="G797" s="4" t="s">
        <v>706</v>
      </c>
      <c r="H797" s="4" t="s">
        <v>26</v>
      </c>
      <c r="I797" s="4" t="s">
        <v>33</v>
      </c>
      <c r="J797" s="4" t="s">
        <v>27</v>
      </c>
      <c r="K797" s="4" t="s">
        <v>28</v>
      </c>
      <c r="L797" s="4" t="s">
        <v>28</v>
      </c>
      <c r="M797" s="4" t="s">
        <v>34</v>
      </c>
      <c r="N797" s="4" t="s">
        <v>28</v>
      </c>
    </row>
    <row r="798" spans="1:14" ht="14.4" thickBot="1" x14ac:dyDescent="0.35">
      <c r="A798" s="4" t="s">
        <v>19</v>
      </c>
      <c r="B798" s="4" t="s">
        <v>666</v>
      </c>
      <c r="C798" s="4" t="s">
        <v>667</v>
      </c>
      <c r="D798" s="4" t="s">
        <v>668</v>
      </c>
      <c r="E798" s="4" t="s">
        <v>254</v>
      </c>
      <c r="F798" s="4" t="s">
        <v>707</v>
      </c>
      <c r="G798" s="4" t="s">
        <v>708</v>
      </c>
      <c r="H798" s="4" t="s">
        <v>26</v>
      </c>
      <c r="I798" s="4" t="s">
        <v>94</v>
      </c>
      <c r="J798" s="4" t="s">
        <v>27</v>
      </c>
      <c r="K798" s="4" t="s">
        <v>28</v>
      </c>
      <c r="L798" s="4" t="s">
        <v>28</v>
      </c>
      <c r="M798" s="4" t="s">
        <v>34</v>
      </c>
      <c r="N798" s="4" t="s">
        <v>28</v>
      </c>
    </row>
    <row r="799" spans="1:14" ht="14.4" thickBot="1" x14ac:dyDescent="0.35">
      <c r="A799" s="4" t="s">
        <v>19</v>
      </c>
      <c r="B799" s="4" t="s">
        <v>666</v>
      </c>
      <c r="C799" s="4" t="s">
        <v>667</v>
      </c>
      <c r="D799" s="4" t="s">
        <v>668</v>
      </c>
      <c r="E799" s="4" t="s">
        <v>254</v>
      </c>
      <c r="F799" s="4" t="s">
        <v>709</v>
      </c>
      <c r="G799" s="4" t="s">
        <v>710</v>
      </c>
      <c r="H799" s="4" t="s">
        <v>135</v>
      </c>
      <c r="I799" s="4" t="s">
        <v>33</v>
      </c>
      <c r="J799" s="4" t="s">
        <v>27</v>
      </c>
      <c r="K799" s="4" t="s">
        <v>28</v>
      </c>
      <c r="L799" s="4" t="s">
        <v>28</v>
      </c>
      <c r="M799" s="4" t="s">
        <v>34</v>
      </c>
      <c r="N799" s="4" t="s">
        <v>27</v>
      </c>
    </row>
    <row r="800" spans="1:14" ht="14.4" thickBot="1" x14ac:dyDescent="0.35">
      <c r="A800" s="4" t="s">
        <v>19</v>
      </c>
      <c r="B800" s="4" t="s">
        <v>666</v>
      </c>
      <c r="C800" s="4" t="s">
        <v>667</v>
      </c>
      <c r="D800" s="4" t="s">
        <v>668</v>
      </c>
      <c r="E800" s="4" t="s">
        <v>254</v>
      </c>
      <c r="F800" s="4" t="s">
        <v>711</v>
      </c>
      <c r="G800" s="4" t="s">
        <v>712</v>
      </c>
      <c r="H800" s="4" t="s">
        <v>135</v>
      </c>
      <c r="I800" s="4" t="s">
        <v>33</v>
      </c>
      <c r="J800" s="4" t="s">
        <v>27</v>
      </c>
      <c r="K800" s="4" t="s">
        <v>28</v>
      </c>
      <c r="L800" s="4" t="s">
        <v>28</v>
      </c>
      <c r="M800" s="4" t="s">
        <v>34</v>
      </c>
      <c r="N800" s="4" t="s">
        <v>28</v>
      </c>
    </row>
    <row r="801" spans="1:14" ht="14.4" thickBot="1" x14ac:dyDescent="0.35">
      <c r="A801" s="4" t="s">
        <v>19</v>
      </c>
      <c r="B801" s="4" t="s">
        <v>666</v>
      </c>
      <c r="C801" s="4" t="s">
        <v>667</v>
      </c>
      <c r="D801" s="4" t="s">
        <v>668</v>
      </c>
      <c r="E801" s="4" t="s">
        <v>254</v>
      </c>
      <c r="F801" s="4" t="s">
        <v>713</v>
      </c>
      <c r="G801" s="4" t="s">
        <v>714</v>
      </c>
      <c r="H801" s="4" t="s">
        <v>26</v>
      </c>
      <c r="I801" s="4" t="s">
        <v>33</v>
      </c>
      <c r="J801" s="4" t="s">
        <v>27</v>
      </c>
      <c r="K801" s="4" t="s">
        <v>28</v>
      </c>
      <c r="L801" s="4" t="s">
        <v>28</v>
      </c>
      <c r="M801" s="4" t="s">
        <v>34</v>
      </c>
      <c r="N801" s="4" t="s">
        <v>28</v>
      </c>
    </row>
    <row r="802" spans="1:14" ht="14.4" thickBot="1" x14ac:dyDescent="0.35">
      <c r="A802" s="4" t="s">
        <v>19</v>
      </c>
      <c r="B802" s="4" t="s">
        <v>666</v>
      </c>
      <c r="C802" s="4" t="s">
        <v>667</v>
      </c>
      <c r="D802" s="4" t="s">
        <v>668</v>
      </c>
      <c r="E802" s="4" t="s">
        <v>254</v>
      </c>
      <c r="F802" s="4" t="s">
        <v>715</v>
      </c>
      <c r="G802" s="4" t="s">
        <v>716</v>
      </c>
      <c r="H802" s="4" t="s">
        <v>26</v>
      </c>
      <c r="I802" s="4" t="s">
        <v>33</v>
      </c>
      <c r="J802" s="4" t="s">
        <v>27</v>
      </c>
      <c r="K802" s="4" t="s">
        <v>28</v>
      </c>
      <c r="L802" s="4" t="s">
        <v>28</v>
      </c>
      <c r="M802" s="4" t="s">
        <v>34</v>
      </c>
      <c r="N802" s="4" t="s">
        <v>28</v>
      </c>
    </row>
    <row r="803" spans="1:14" ht="14.4" thickBot="1" x14ac:dyDescent="0.35">
      <c r="A803" s="4" t="s">
        <v>19</v>
      </c>
      <c r="B803" s="4" t="s">
        <v>666</v>
      </c>
      <c r="C803" s="4" t="s">
        <v>667</v>
      </c>
      <c r="D803" s="4" t="s">
        <v>668</v>
      </c>
      <c r="E803" s="4" t="s">
        <v>254</v>
      </c>
      <c r="F803" s="4" t="s">
        <v>717</v>
      </c>
      <c r="G803" s="4" t="s">
        <v>718</v>
      </c>
      <c r="H803" s="4" t="s">
        <v>135</v>
      </c>
      <c r="I803" s="4" t="s">
        <v>94</v>
      </c>
      <c r="J803" s="4" t="s">
        <v>27</v>
      </c>
      <c r="K803" s="4" t="s">
        <v>28</v>
      </c>
      <c r="L803" s="4" t="s">
        <v>28</v>
      </c>
      <c r="M803" s="4" t="s">
        <v>34</v>
      </c>
      <c r="N803" s="4" t="s">
        <v>27</v>
      </c>
    </row>
    <row r="804" spans="1:14" ht="14.4" thickBot="1" x14ac:dyDescent="0.35">
      <c r="A804" s="4" t="s">
        <v>19</v>
      </c>
      <c r="B804" s="4" t="s">
        <v>666</v>
      </c>
      <c r="C804" s="4" t="s">
        <v>667</v>
      </c>
      <c r="D804" s="4" t="s">
        <v>668</v>
      </c>
      <c r="E804" s="4" t="s">
        <v>254</v>
      </c>
      <c r="F804" s="4" t="s">
        <v>719</v>
      </c>
      <c r="G804" s="4" t="s">
        <v>720</v>
      </c>
      <c r="H804" s="4" t="s">
        <v>26</v>
      </c>
      <c r="I804" s="4" t="s">
        <v>33</v>
      </c>
      <c r="J804" s="4" t="s">
        <v>27</v>
      </c>
      <c r="K804" s="4" t="s">
        <v>28</v>
      </c>
      <c r="L804" s="4" t="s">
        <v>28</v>
      </c>
      <c r="M804" s="4" t="s">
        <v>34</v>
      </c>
      <c r="N804" s="4" t="s">
        <v>28</v>
      </c>
    </row>
    <row r="805" spans="1:14" ht="14.4" thickBot="1" x14ac:dyDescent="0.35">
      <c r="A805" s="4" t="s">
        <v>19</v>
      </c>
      <c r="B805" s="4" t="s">
        <v>666</v>
      </c>
      <c r="C805" s="4" t="s">
        <v>667</v>
      </c>
      <c r="D805" s="4" t="s">
        <v>668</v>
      </c>
      <c r="E805" s="4" t="s">
        <v>254</v>
      </c>
      <c r="F805" s="4" t="s">
        <v>721</v>
      </c>
      <c r="G805" s="4" t="s">
        <v>722</v>
      </c>
      <c r="H805" s="4" t="s">
        <v>26</v>
      </c>
      <c r="I805" s="4" t="s">
        <v>69</v>
      </c>
      <c r="J805" s="4" t="s">
        <v>27</v>
      </c>
      <c r="K805" s="4" t="s">
        <v>28</v>
      </c>
      <c r="L805" s="4" t="s">
        <v>28</v>
      </c>
      <c r="M805" s="4" t="s">
        <v>34</v>
      </c>
      <c r="N805" s="4" t="s">
        <v>28</v>
      </c>
    </row>
    <row r="806" spans="1:14" ht="14.4" thickBot="1" x14ac:dyDescent="0.35">
      <c r="A806" s="4" t="s">
        <v>19</v>
      </c>
      <c r="B806" s="4" t="s">
        <v>666</v>
      </c>
      <c r="C806" s="4" t="s">
        <v>667</v>
      </c>
      <c r="D806" s="4" t="s">
        <v>668</v>
      </c>
      <c r="E806" s="4" t="s">
        <v>254</v>
      </c>
      <c r="F806" s="4" t="s">
        <v>723</v>
      </c>
      <c r="G806" s="4" t="s">
        <v>724</v>
      </c>
      <c r="H806" s="4" t="s">
        <v>26</v>
      </c>
      <c r="I806" s="4" t="s">
        <v>33</v>
      </c>
      <c r="J806" s="4" t="s">
        <v>27</v>
      </c>
      <c r="K806" s="4" t="s">
        <v>28</v>
      </c>
      <c r="L806" s="4" t="s">
        <v>28</v>
      </c>
      <c r="M806" s="4" t="s">
        <v>34</v>
      </c>
      <c r="N806" s="4" t="s">
        <v>28</v>
      </c>
    </row>
    <row r="807" spans="1:14" ht="14.4" thickBot="1" x14ac:dyDescent="0.35">
      <c r="A807" s="4" t="s">
        <v>19</v>
      </c>
      <c r="B807" s="4" t="s">
        <v>666</v>
      </c>
      <c r="C807" s="4" t="s">
        <v>667</v>
      </c>
      <c r="D807" s="4" t="s">
        <v>668</v>
      </c>
      <c r="E807" s="4" t="s">
        <v>254</v>
      </c>
      <c r="F807" s="4" t="s">
        <v>725</v>
      </c>
      <c r="G807" s="4" t="s">
        <v>726</v>
      </c>
      <c r="H807" s="4" t="s">
        <v>26</v>
      </c>
      <c r="I807" s="4" t="s">
        <v>33</v>
      </c>
      <c r="J807" s="4" t="s">
        <v>27</v>
      </c>
      <c r="K807" s="4" t="s">
        <v>28</v>
      </c>
      <c r="L807" s="4" t="s">
        <v>28</v>
      </c>
      <c r="M807" s="4" t="s">
        <v>34</v>
      </c>
      <c r="N807" s="4" t="s">
        <v>28</v>
      </c>
    </row>
    <row r="808" spans="1:14" ht="14.4" thickBot="1" x14ac:dyDescent="0.35">
      <c r="A808" s="4" t="s">
        <v>19</v>
      </c>
      <c r="B808" s="4" t="s">
        <v>666</v>
      </c>
      <c r="C808" s="4" t="s">
        <v>667</v>
      </c>
      <c r="D808" s="4" t="s">
        <v>668</v>
      </c>
      <c r="E808" s="4" t="s">
        <v>254</v>
      </c>
      <c r="F808" s="4" t="s">
        <v>890</v>
      </c>
      <c r="G808" s="4" t="s">
        <v>891</v>
      </c>
      <c r="H808" s="4" t="s">
        <v>26</v>
      </c>
      <c r="I808" s="4" t="s">
        <v>26</v>
      </c>
      <c r="J808" s="5"/>
      <c r="K808" s="5"/>
      <c r="L808" s="5"/>
      <c r="M808" s="4" t="s">
        <v>130</v>
      </c>
      <c r="N808" s="5"/>
    </row>
    <row r="809" spans="1:14" ht="14.4" thickBot="1" x14ac:dyDescent="0.35">
      <c r="A809" s="4" t="s">
        <v>19</v>
      </c>
      <c r="B809" s="4" t="s">
        <v>666</v>
      </c>
      <c r="C809" s="4" t="s">
        <v>667</v>
      </c>
      <c r="D809" s="4" t="s">
        <v>668</v>
      </c>
      <c r="E809" s="4" t="s">
        <v>254</v>
      </c>
      <c r="F809" s="4" t="s">
        <v>892</v>
      </c>
      <c r="G809" s="4" t="s">
        <v>893</v>
      </c>
      <c r="H809" s="4" t="s">
        <v>190</v>
      </c>
      <c r="I809" s="4" t="s">
        <v>26</v>
      </c>
      <c r="J809" s="4" t="s">
        <v>27</v>
      </c>
      <c r="K809" s="4" t="s">
        <v>28</v>
      </c>
      <c r="L809" s="4" t="s">
        <v>28</v>
      </c>
      <c r="M809" s="4" t="s">
        <v>29</v>
      </c>
      <c r="N809" s="4" t="s">
        <v>28</v>
      </c>
    </row>
    <row r="810" spans="1:14" ht="14.4" thickBot="1" x14ac:dyDescent="0.35">
      <c r="A810" s="4" t="s">
        <v>19</v>
      </c>
      <c r="B810" s="4" t="s">
        <v>666</v>
      </c>
      <c r="C810" s="4" t="s">
        <v>667</v>
      </c>
      <c r="D810" s="4" t="s">
        <v>668</v>
      </c>
      <c r="E810" s="4" t="s">
        <v>254</v>
      </c>
      <c r="F810" s="4" t="s">
        <v>894</v>
      </c>
      <c r="G810" s="4" t="s">
        <v>895</v>
      </c>
      <c r="H810" s="4" t="s">
        <v>190</v>
      </c>
      <c r="I810" s="4" t="s">
        <v>69</v>
      </c>
      <c r="J810" s="4" t="s">
        <v>27</v>
      </c>
      <c r="K810" s="4" t="s">
        <v>28</v>
      </c>
      <c r="L810" s="4" t="s">
        <v>28</v>
      </c>
      <c r="M810" s="4" t="s">
        <v>29</v>
      </c>
      <c r="N810" s="4" t="s">
        <v>28</v>
      </c>
    </row>
    <row r="811" spans="1:14" ht="14.4" thickBot="1" x14ac:dyDescent="0.35">
      <c r="A811" s="4" t="s">
        <v>19</v>
      </c>
      <c r="B811" s="4" t="s">
        <v>666</v>
      </c>
      <c r="C811" s="4" t="s">
        <v>667</v>
      </c>
      <c r="D811" s="4" t="s">
        <v>668</v>
      </c>
      <c r="E811" s="4" t="s">
        <v>254</v>
      </c>
      <c r="F811" s="4" t="s">
        <v>896</v>
      </c>
      <c r="G811" s="4" t="s">
        <v>897</v>
      </c>
      <c r="H811" s="4" t="s">
        <v>26</v>
      </c>
      <c r="I811" s="4" t="s">
        <v>26</v>
      </c>
      <c r="J811" s="5"/>
      <c r="K811" s="5"/>
      <c r="L811" s="5"/>
      <c r="M811" s="4" t="s">
        <v>130</v>
      </c>
      <c r="N811" s="5"/>
    </row>
    <row r="812" spans="1:14" ht="14.4" thickBot="1" x14ac:dyDescent="0.35">
      <c r="A812" s="4" t="s">
        <v>19</v>
      </c>
      <c r="B812" s="4" t="s">
        <v>666</v>
      </c>
      <c r="C812" s="4" t="s">
        <v>667</v>
      </c>
      <c r="D812" s="4" t="s">
        <v>668</v>
      </c>
      <c r="E812" s="4" t="s">
        <v>254</v>
      </c>
      <c r="F812" s="4" t="s">
        <v>898</v>
      </c>
      <c r="G812" s="4" t="s">
        <v>899</v>
      </c>
      <c r="H812" s="4" t="s">
        <v>135</v>
      </c>
      <c r="I812" s="4" t="s">
        <v>94</v>
      </c>
      <c r="J812" s="5"/>
      <c r="K812" s="5"/>
      <c r="L812" s="5"/>
      <c r="M812" s="4" t="s">
        <v>29</v>
      </c>
      <c r="N812" s="5"/>
    </row>
    <row r="813" spans="1:14" ht="14.4" thickBot="1" x14ac:dyDescent="0.35">
      <c r="A813" s="4" t="s">
        <v>19</v>
      </c>
      <c r="B813" s="4" t="s">
        <v>666</v>
      </c>
      <c r="C813" s="4" t="s">
        <v>667</v>
      </c>
      <c r="D813" s="4" t="s">
        <v>668</v>
      </c>
      <c r="E813" s="4" t="s">
        <v>254</v>
      </c>
      <c r="F813" s="4" t="s">
        <v>900</v>
      </c>
      <c r="G813" s="4" t="s">
        <v>901</v>
      </c>
      <c r="H813" s="4" t="s">
        <v>26</v>
      </c>
      <c r="I813" s="4" t="s">
        <v>26</v>
      </c>
      <c r="J813" s="4" t="s">
        <v>27</v>
      </c>
      <c r="K813" s="4" t="s">
        <v>28</v>
      </c>
      <c r="L813" s="4" t="s">
        <v>28</v>
      </c>
      <c r="M813" s="4" t="s">
        <v>29</v>
      </c>
      <c r="N813" s="4" t="s">
        <v>28</v>
      </c>
    </row>
    <row r="814" spans="1:14" ht="14.4" thickBot="1" x14ac:dyDescent="0.35">
      <c r="A814" s="4" t="s">
        <v>19</v>
      </c>
      <c r="B814" s="4" t="s">
        <v>666</v>
      </c>
      <c r="C814" s="4" t="s">
        <v>667</v>
      </c>
      <c r="D814" s="4" t="s">
        <v>668</v>
      </c>
      <c r="E814" s="4" t="s">
        <v>254</v>
      </c>
      <c r="F814" s="4" t="s">
        <v>902</v>
      </c>
      <c r="G814" s="4" t="s">
        <v>903</v>
      </c>
      <c r="H814" s="4" t="s">
        <v>26</v>
      </c>
      <c r="I814" s="4" t="s">
        <v>26</v>
      </c>
      <c r="J814" s="4" t="s">
        <v>27</v>
      </c>
      <c r="K814" s="4" t="s">
        <v>28</v>
      </c>
      <c r="L814" s="4" t="s">
        <v>28</v>
      </c>
      <c r="M814" s="4" t="s">
        <v>29</v>
      </c>
      <c r="N814" s="4" t="s">
        <v>28</v>
      </c>
    </row>
    <row r="815" spans="1:14" ht="14.4" thickBot="1" x14ac:dyDescent="0.35">
      <c r="A815" s="4" t="s">
        <v>19</v>
      </c>
      <c r="B815" s="4" t="s">
        <v>666</v>
      </c>
      <c r="C815" s="4" t="s">
        <v>667</v>
      </c>
      <c r="D815" s="4" t="s">
        <v>668</v>
      </c>
      <c r="E815" s="4" t="s">
        <v>254</v>
      </c>
      <c r="F815" s="4" t="s">
        <v>904</v>
      </c>
      <c r="G815" s="4" t="s">
        <v>905</v>
      </c>
      <c r="H815" s="4" t="s">
        <v>135</v>
      </c>
      <c r="I815" s="4" t="s">
        <v>94</v>
      </c>
      <c r="J815" s="4" t="s">
        <v>27</v>
      </c>
      <c r="K815" s="4" t="s">
        <v>28</v>
      </c>
      <c r="L815" s="4" t="s">
        <v>28</v>
      </c>
      <c r="M815" s="4" t="s">
        <v>29</v>
      </c>
      <c r="N815" s="4" t="s">
        <v>28</v>
      </c>
    </row>
    <row r="816" spans="1:14" ht="14.4" thickBot="1" x14ac:dyDescent="0.35">
      <c r="A816" s="4" t="s">
        <v>19</v>
      </c>
      <c r="B816" s="4" t="s">
        <v>666</v>
      </c>
      <c r="C816" s="4" t="s">
        <v>667</v>
      </c>
      <c r="D816" s="4" t="s">
        <v>668</v>
      </c>
      <c r="E816" s="4" t="s">
        <v>254</v>
      </c>
      <c r="F816" s="4" t="s">
        <v>906</v>
      </c>
      <c r="G816" s="4" t="s">
        <v>907</v>
      </c>
      <c r="H816" s="4" t="s">
        <v>26</v>
      </c>
      <c r="I816" s="4" t="s">
        <v>26</v>
      </c>
      <c r="J816" s="4" t="s">
        <v>27</v>
      </c>
      <c r="K816" s="4" t="s">
        <v>28</v>
      </c>
      <c r="L816" s="4" t="s">
        <v>28</v>
      </c>
      <c r="M816" s="4" t="s">
        <v>29</v>
      </c>
      <c r="N816" s="4" t="s">
        <v>28</v>
      </c>
    </row>
    <row r="817" spans="1:14" ht="14.4" thickBot="1" x14ac:dyDescent="0.35">
      <c r="A817" s="4" t="s">
        <v>19</v>
      </c>
      <c r="B817" s="4" t="s">
        <v>666</v>
      </c>
      <c r="C817" s="4" t="s">
        <v>667</v>
      </c>
      <c r="D817" s="4" t="s">
        <v>668</v>
      </c>
      <c r="E817" s="4" t="s">
        <v>254</v>
      </c>
      <c r="F817" s="4" t="s">
        <v>908</v>
      </c>
      <c r="G817" s="4" t="s">
        <v>909</v>
      </c>
      <c r="H817" s="4" t="s">
        <v>26</v>
      </c>
      <c r="I817" s="4" t="s">
        <v>26</v>
      </c>
      <c r="J817" s="4" t="s">
        <v>27</v>
      </c>
      <c r="K817" s="4" t="s">
        <v>28</v>
      </c>
      <c r="L817" s="4" t="s">
        <v>28</v>
      </c>
      <c r="M817" s="4" t="s">
        <v>29</v>
      </c>
      <c r="N817" s="4" t="s">
        <v>28</v>
      </c>
    </row>
    <row r="818" spans="1:14" ht="14.4" thickBot="1" x14ac:dyDescent="0.35">
      <c r="A818" s="4" t="s">
        <v>19</v>
      </c>
      <c r="B818" s="4" t="s">
        <v>666</v>
      </c>
      <c r="C818" s="4" t="s">
        <v>667</v>
      </c>
      <c r="D818" s="4" t="s">
        <v>668</v>
      </c>
      <c r="E818" s="4" t="s">
        <v>254</v>
      </c>
      <c r="F818" s="4" t="s">
        <v>910</v>
      </c>
      <c r="G818" s="4" t="s">
        <v>911</v>
      </c>
      <c r="H818" s="4" t="s">
        <v>26</v>
      </c>
      <c r="I818" s="4" t="s">
        <v>26</v>
      </c>
      <c r="J818" s="4" t="s">
        <v>27</v>
      </c>
      <c r="K818" s="4" t="s">
        <v>28</v>
      </c>
      <c r="L818" s="4" t="s">
        <v>28</v>
      </c>
      <c r="M818" s="4" t="s">
        <v>130</v>
      </c>
      <c r="N818" s="4" t="s">
        <v>28</v>
      </c>
    </row>
    <row r="819" spans="1:14" ht="14.4" thickBot="1" x14ac:dyDescent="0.35">
      <c r="A819" s="4" t="s">
        <v>19</v>
      </c>
      <c r="B819" s="4" t="s">
        <v>666</v>
      </c>
      <c r="C819" s="4" t="s">
        <v>667</v>
      </c>
      <c r="D819" s="4" t="s">
        <v>668</v>
      </c>
      <c r="E819" s="4" t="s">
        <v>254</v>
      </c>
      <c r="F819" s="4" t="s">
        <v>912</v>
      </c>
      <c r="G819" s="4" t="s">
        <v>913</v>
      </c>
      <c r="H819" s="4" t="s">
        <v>26</v>
      </c>
      <c r="I819" s="4" t="s">
        <v>135</v>
      </c>
      <c r="J819" s="5"/>
      <c r="K819" s="5"/>
      <c r="L819" s="5"/>
      <c r="M819" s="4" t="s">
        <v>29</v>
      </c>
      <c r="N819" s="5"/>
    </row>
    <row r="820" spans="1:14" ht="14.4" thickBot="1" x14ac:dyDescent="0.35">
      <c r="A820" s="4" t="s">
        <v>19</v>
      </c>
      <c r="B820" s="4" t="s">
        <v>666</v>
      </c>
      <c r="C820" s="4" t="s">
        <v>667</v>
      </c>
      <c r="D820" s="4" t="s">
        <v>668</v>
      </c>
      <c r="E820" s="4" t="s">
        <v>254</v>
      </c>
      <c r="F820" s="4" t="s">
        <v>914</v>
      </c>
      <c r="G820" s="4" t="s">
        <v>915</v>
      </c>
      <c r="H820" s="4" t="s">
        <v>135</v>
      </c>
      <c r="I820" s="4" t="s">
        <v>38</v>
      </c>
      <c r="J820" s="5"/>
      <c r="K820" s="5"/>
      <c r="L820" s="5"/>
      <c r="M820" s="4" t="s">
        <v>29</v>
      </c>
      <c r="N820" s="5"/>
    </row>
    <row r="821" spans="1:14" ht="14.4" thickBot="1" x14ac:dyDescent="0.35">
      <c r="A821" s="4" t="s">
        <v>19</v>
      </c>
      <c r="B821" s="4" t="s">
        <v>666</v>
      </c>
      <c r="C821" s="4" t="s">
        <v>667</v>
      </c>
      <c r="D821" s="4" t="s">
        <v>668</v>
      </c>
      <c r="E821" s="4" t="s">
        <v>254</v>
      </c>
      <c r="F821" s="4" t="s">
        <v>916</v>
      </c>
      <c r="G821" s="4" t="s">
        <v>917</v>
      </c>
      <c r="H821" s="4" t="s">
        <v>26</v>
      </c>
      <c r="I821" s="4" t="s">
        <v>26</v>
      </c>
      <c r="J821" s="4" t="s">
        <v>27</v>
      </c>
      <c r="K821" s="4" t="s">
        <v>28</v>
      </c>
      <c r="L821" s="4" t="s">
        <v>28</v>
      </c>
      <c r="M821" s="4" t="s">
        <v>130</v>
      </c>
      <c r="N821" s="5"/>
    </row>
    <row r="822" spans="1:14" ht="14.4" thickBot="1" x14ac:dyDescent="0.35">
      <c r="A822" s="4" t="s">
        <v>19</v>
      </c>
      <c r="B822" s="4" t="s">
        <v>666</v>
      </c>
      <c r="C822" s="4" t="s">
        <v>667</v>
      </c>
      <c r="D822" s="4" t="s">
        <v>668</v>
      </c>
      <c r="E822" s="4" t="s">
        <v>254</v>
      </c>
      <c r="F822" s="4" t="s">
        <v>918</v>
      </c>
      <c r="G822" s="4" t="s">
        <v>919</v>
      </c>
      <c r="H822" s="4" t="s">
        <v>26</v>
      </c>
      <c r="I822" s="4" t="s">
        <v>26</v>
      </c>
      <c r="J822" s="5"/>
      <c r="K822" s="5"/>
      <c r="L822" s="5"/>
      <c r="M822" s="4" t="s">
        <v>130</v>
      </c>
      <c r="N822" s="5"/>
    </row>
    <row r="823" spans="1:14" ht="14.4" thickBot="1" x14ac:dyDescent="0.35">
      <c r="A823" s="4" t="s">
        <v>19</v>
      </c>
      <c r="B823" s="4" t="s">
        <v>666</v>
      </c>
      <c r="C823" s="4" t="s">
        <v>667</v>
      </c>
      <c r="D823" s="4" t="s">
        <v>668</v>
      </c>
      <c r="E823" s="4" t="s">
        <v>254</v>
      </c>
      <c r="F823" s="4" t="s">
        <v>920</v>
      </c>
      <c r="G823" s="4" t="s">
        <v>921</v>
      </c>
      <c r="H823" s="4" t="s">
        <v>26</v>
      </c>
      <c r="I823" s="4" t="s">
        <v>26</v>
      </c>
      <c r="J823" s="5"/>
      <c r="K823" s="5"/>
      <c r="L823" s="5"/>
      <c r="M823" s="4" t="s">
        <v>130</v>
      </c>
      <c r="N823" s="5"/>
    </row>
    <row r="824" spans="1:14" ht="14.4" thickBot="1" x14ac:dyDescent="0.35">
      <c r="A824" s="4" t="s">
        <v>19</v>
      </c>
      <c r="B824" s="4" t="s">
        <v>666</v>
      </c>
      <c r="C824" s="4" t="s">
        <v>667</v>
      </c>
      <c r="D824" s="4" t="s">
        <v>668</v>
      </c>
      <c r="E824" s="4" t="s">
        <v>254</v>
      </c>
      <c r="F824" s="4" t="s">
        <v>922</v>
      </c>
      <c r="G824" s="4" t="s">
        <v>923</v>
      </c>
      <c r="H824" s="4" t="s">
        <v>26</v>
      </c>
      <c r="I824" s="4" t="s">
        <v>26</v>
      </c>
      <c r="J824" s="5"/>
      <c r="K824" s="5"/>
      <c r="L824" s="5"/>
      <c r="M824" s="4" t="s">
        <v>130</v>
      </c>
      <c r="N824" s="5"/>
    </row>
    <row r="825" spans="1:14" ht="14.4" thickBot="1" x14ac:dyDescent="0.35">
      <c r="A825" s="4" t="s">
        <v>19</v>
      </c>
      <c r="B825" s="4" t="s">
        <v>666</v>
      </c>
      <c r="C825" s="4" t="s">
        <v>667</v>
      </c>
      <c r="D825" s="4" t="s">
        <v>668</v>
      </c>
      <c r="E825" s="4" t="s">
        <v>254</v>
      </c>
      <c r="F825" s="4" t="s">
        <v>924</v>
      </c>
      <c r="G825" s="4" t="s">
        <v>925</v>
      </c>
      <c r="H825" s="4" t="s">
        <v>26</v>
      </c>
      <c r="I825" s="4" t="s">
        <v>26</v>
      </c>
      <c r="J825" s="4" t="s">
        <v>27</v>
      </c>
      <c r="K825" s="4" t="s">
        <v>28</v>
      </c>
      <c r="L825" s="4" t="s">
        <v>28</v>
      </c>
      <c r="M825" s="4" t="s">
        <v>29</v>
      </c>
      <c r="N825" s="4" t="s">
        <v>28</v>
      </c>
    </row>
    <row r="826" spans="1:14" ht="14.4" thickBot="1" x14ac:dyDescent="0.35">
      <c r="A826" s="4" t="s">
        <v>19</v>
      </c>
      <c r="B826" s="4" t="s">
        <v>666</v>
      </c>
      <c r="C826" s="4" t="s">
        <v>667</v>
      </c>
      <c r="D826" s="4" t="s">
        <v>668</v>
      </c>
      <c r="E826" s="4" t="s">
        <v>254</v>
      </c>
      <c r="F826" s="4" t="s">
        <v>926</v>
      </c>
      <c r="G826" s="4" t="s">
        <v>927</v>
      </c>
      <c r="H826" s="4" t="s">
        <v>26</v>
      </c>
      <c r="I826" s="4" t="s">
        <v>26</v>
      </c>
      <c r="J826" s="4" t="s">
        <v>27</v>
      </c>
      <c r="K826" s="4" t="s">
        <v>28</v>
      </c>
      <c r="L826" s="4" t="s">
        <v>28</v>
      </c>
      <c r="M826" s="4" t="s">
        <v>29</v>
      </c>
      <c r="N826" s="4" t="s">
        <v>28</v>
      </c>
    </row>
    <row r="827" spans="1:14" ht="14.4" thickBot="1" x14ac:dyDescent="0.35">
      <c r="A827" s="4" t="s">
        <v>19</v>
      </c>
      <c r="B827" s="4" t="s">
        <v>666</v>
      </c>
      <c r="C827" s="4" t="s">
        <v>667</v>
      </c>
      <c r="D827" s="4" t="s">
        <v>668</v>
      </c>
      <c r="E827" s="4" t="s">
        <v>254</v>
      </c>
      <c r="F827" s="4" t="s">
        <v>928</v>
      </c>
      <c r="G827" s="4" t="s">
        <v>929</v>
      </c>
      <c r="H827" s="4" t="s">
        <v>26</v>
      </c>
      <c r="I827" s="4" t="s">
        <v>94</v>
      </c>
      <c r="J827" s="4" t="s">
        <v>27</v>
      </c>
      <c r="K827" s="4" t="s">
        <v>28</v>
      </c>
      <c r="L827" s="4" t="s">
        <v>28</v>
      </c>
      <c r="M827" s="4" t="s">
        <v>29</v>
      </c>
      <c r="N827" s="4" t="s">
        <v>28</v>
      </c>
    </row>
    <row r="828" spans="1:14" ht="14.4" thickBot="1" x14ac:dyDescent="0.35">
      <c r="A828" s="4" t="s">
        <v>19</v>
      </c>
      <c r="B828" s="4" t="s">
        <v>666</v>
      </c>
      <c r="C828" s="4" t="s">
        <v>667</v>
      </c>
      <c r="D828" s="4" t="s">
        <v>668</v>
      </c>
      <c r="E828" s="4" t="s">
        <v>254</v>
      </c>
      <c r="F828" s="4" t="s">
        <v>930</v>
      </c>
      <c r="G828" s="4" t="s">
        <v>931</v>
      </c>
      <c r="H828" s="4" t="s">
        <v>69</v>
      </c>
      <c r="I828" s="4" t="s">
        <v>38</v>
      </c>
      <c r="J828" s="5"/>
      <c r="K828" s="5"/>
      <c r="L828" s="5"/>
      <c r="M828" s="4" t="s">
        <v>29</v>
      </c>
      <c r="N828" s="5"/>
    </row>
    <row r="829" spans="1:14" ht="14.4" thickBot="1" x14ac:dyDescent="0.35">
      <c r="A829" s="4" t="s">
        <v>19</v>
      </c>
      <c r="B829" s="4" t="s">
        <v>666</v>
      </c>
      <c r="C829" s="4" t="s">
        <v>667</v>
      </c>
      <c r="D829" s="4" t="s">
        <v>668</v>
      </c>
      <c r="E829" s="4" t="s">
        <v>254</v>
      </c>
      <c r="F829" s="4" t="s">
        <v>1586</v>
      </c>
      <c r="G829" s="4" t="s">
        <v>1587</v>
      </c>
      <c r="H829" s="4" t="s">
        <v>26</v>
      </c>
      <c r="I829" s="4" t="s">
        <v>33</v>
      </c>
      <c r="J829" s="4" t="s">
        <v>27</v>
      </c>
      <c r="K829" s="4" t="s">
        <v>28</v>
      </c>
      <c r="L829" s="4" t="s">
        <v>28</v>
      </c>
      <c r="M829" s="4" t="s">
        <v>34</v>
      </c>
      <c r="N829" s="4" t="s">
        <v>28</v>
      </c>
    </row>
    <row r="830" spans="1:14" ht="14.4" thickBot="1" x14ac:dyDescent="0.35">
      <c r="A830" s="4" t="s">
        <v>19</v>
      </c>
      <c r="B830" s="4" t="s">
        <v>666</v>
      </c>
      <c r="C830" s="4" t="s">
        <v>667</v>
      </c>
      <c r="D830" s="4" t="s">
        <v>668</v>
      </c>
      <c r="E830" s="4" t="s">
        <v>254</v>
      </c>
      <c r="F830" s="4" t="s">
        <v>1588</v>
      </c>
      <c r="G830" s="4" t="s">
        <v>1589</v>
      </c>
      <c r="H830" s="4" t="s">
        <v>69</v>
      </c>
      <c r="I830" s="4" t="s">
        <v>122</v>
      </c>
      <c r="J830" s="4" t="s">
        <v>28</v>
      </c>
      <c r="K830" s="4" t="s">
        <v>27</v>
      </c>
      <c r="L830" s="4" t="s">
        <v>28</v>
      </c>
      <c r="M830" s="4" t="s">
        <v>34</v>
      </c>
      <c r="N830" s="4" t="s">
        <v>28</v>
      </c>
    </row>
    <row r="831" spans="1:14" ht="14.4" thickBot="1" x14ac:dyDescent="0.35">
      <c r="A831" s="4" t="s">
        <v>19</v>
      </c>
      <c r="B831" s="4" t="s">
        <v>666</v>
      </c>
      <c r="C831" s="4" t="s">
        <v>667</v>
      </c>
      <c r="D831" s="4" t="s">
        <v>668</v>
      </c>
      <c r="E831" s="4" t="s">
        <v>254</v>
      </c>
      <c r="F831" s="4" t="s">
        <v>1590</v>
      </c>
      <c r="G831" s="4" t="s">
        <v>1591</v>
      </c>
      <c r="H831" s="4" t="s">
        <v>26</v>
      </c>
      <c r="I831" s="4" t="s">
        <v>26</v>
      </c>
      <c r="J831" s="4" t="s">
        <v>27</v>
      </c>
      <c r="K831" s="4" t="s">
        <v>28</v>
      </c>
      <c r="L831" s="4" t="s">
        <v>28</v>
      </c>
      <c r="M831" s="4" t="s">
        <v>34</v>
      </c>
      <c r="N831" s="4" t="s">
        <v>28</v>
      </c>
    </row>
    <row r="832" spans="1:14" ht="14.4" thickBot="1" x14ac:dyDescent="0.35">
      <c r="A832" s="4" t="s">
        <v>19</v>
      </c>
      <c r="B832" s="4" t="s">
        <v>666</v>
      </c>
      <c r="C832" s="4" t="s">
        <v>667</v>
      </c>
      <c r="D832" s="4" t="s">
        <v>668</v>
      </c>
      <c r="E832" s="4" t="s">
        <v>254</v>
      </c>
      <c r="F832" s="4" t="s">
        <v>1592</v>
      </c>
      <c r="G832" s="4" t="s">
        <v>1593</v>
      </c>
      <c r="H832" s="4" t="s">
        <v>37</v>
      </c>
      <c r="I832" s="4" t="s">
        <v>38</v>
      </c>
      <c r="J832" s="4" t="s">
        <v>28</v>
      </c>
      <c r="K832" s="4" t="s">
        <v>28</v>
      </c>
      <c r="L832" s="4" t="s">
        <v>27</v>
      </c>
      <c r="M832" s="4" t="s">
        <v>34</v>
      </c>
      <c r="N832" s="4" t="s">
        <v>27</v>
      </c>
    </row>
    <row r="833" spans="1:14" ht="14.4" thickBot="1" x14ac:dyDescent="0.35">
      <c r="A833" s="4" t="s">
        <v>19</v>
      </c>
      <c r="B833" s="4" t="s">
        <v>666</v>
      </c>
      <c r="C833" s="4" t="s">
        <v>667</v>
      </c>
      <c r="D833" s="4" t="s">
        <v>668</v>
      </c>
      <c r="E833" s="4" t="s">
        <v>254</v>
      </c>
      <c r="F833" s="4" t="s">
        <v>1594</v>
      </c>
      <c r="G833" s="4" t="s">
        <v>1595</v>
      </c>
      <c r="H833" s="4" t="s">
        <v>26</v>
      </c>
      <c r="I833" s="4" t="s">
        <v>33</v>
      </c>
      <c r="J833" s="4" t="s">
        <v>27</v>
      </c>
      <c r="K833" s="4" t="s">
        <v>28</v>
      </c>
      <c r="L833" s="4" t="s">
        <v>28</v>
      </c>
      <c r="M833" s="4" t="s">
        <v>34</v>
      </c>
      <c r="N833" s="4" t="s">
        <v>27</v>
      </c>
    </row>
    <row r="834" spans="1:14" ht="14.4" thickBot="1" x14ac:dyDescent="0.35">
      <c r="A834" s="4" t="s">
        <v>19</v>
      </c>
      <c r="B834" s="4" t="s">
        <v>666</v>
      </c>
      <c r="C834" s="4" t="s">
        <v>667</v>
      </c>
      <c r="D834" s="4" t="s">
        <v>668</v>
      </c>
      <c r="E834" s="4" t="s">
        <v>254</v>
      </c>
      <c r="F834" s="4" t="s">
        <v>1596</v>
      </c>
      <c r="G834" s="4" t="s">
        <v>1597</v>
      </c>
      <c r="H834" s="4" t="s">
        <v>37</v>
      </c>
      <c r="I834" s="4" t="s">
        <v>38</v>
      </c>
      <c r="J834" s="4" t="s">
        <v>28</v>
      </c>
      <c r="K834" s="4" t="s">
        <v>28</v>
      </c>
      <c r="L834" s="4" t="s">
        <v>27</v>
      </c>
      <c r="M834" s="4" t="s">
        <v>34</v>
      </c>
      <c r="N834" s="4" t="s">
        <v>27</v>
      </c>
    </row>
    <row r="835" spans="1:14" ht="14.4" thickBot="1" x14ac:dyDescent="0.35">
      <c r="A835" s="4" t="s">
        <v>19</v>
      </c>
      <c r="B835" s="4" t="s">
        <v>666</v>
      </c>
      <c r="C835" s="4" t="s">
        <v>667</v>
      </c>
      <c r="D835" s="4" t="s">
        <v>668</v>
      </c>
      <c r="E835" s="4" t="s">
        <v>254</v>
      </c>
      <c r="F835" s="4" t="s">
        <v>1598</v>
      </c>
      <c r="G835" s="4" t="s">
        <v>1599</v>
      </c>
      <c r="H835" s="4" t="s">
        <v>26</v>
      </c>
      <c r="I835" s="4" t="s">
        <v>61</v>
      </c>
      <c r="J835" s="4" t="s">
        <v>27</v>
      </c>
      <c r="K835" s="4" t="s">
        <v>28</v>
      </c>
      <c r="L835" s="4" t="s">
        <v>28</v>
      </c>
      <c r="M835" s="4" t="s">
        <v>34</v>
      </c>
      <c r="N835" s="4" t="s">
        <v>27</v>
      </c>
    </row>
    <row r="836" spans="1:14" ht="14.4" thickBot="1" x14ac:dyDescent="0.35">
      <c r="A836" s="4" t="s">
        <v>19</v>
      </c>
      <c r="B836" s="4" t="s">
        <v>666</v>
      </c>
      <c r="C836" s="4" t="s">
        <v>667</v>
      </c>
      <c r="D836" s="4" t="s">
        <v>668</v>
      </c>
      <c r="E836" s="4" t="s">
        <v>254</v>
      </c>
      <c r="F836" s="4" t="s">
        <v>1600</v>
      </c>
      <c r="G836" s="4" t="s">
        <v>1601</v>
      </c>
      <c r="H836" s="4" t="s">
        <v>26</v>
      </c>
      <c r="I836" s="4" t="s">
        <v>33</v>
      </c>
      <c r="J836" s="4" t="s">
        <v>27</v>
      </c>
      <c r="K836" s="4" t="s">
        <v>28</v>
      </c>
      <c r="L836" s="4" t="s">
        <v>28</v>
      </c>
      <c r="M836" s="4" t="s">
        <v>34</v>
      </c>
      <c r="N836" s="4" t="s">
        <v>28</v>
      </c>
    </row>
    <row r="837" spans="1:14" ht="14.4" thickBot="1" x14ac:dyDescent="0.35">
      <c r="A837" s="4" t="s">
        <v>19</v>
      </c>
      <c r="B837" s="4" t="s">
        <v>666</v>
      </c>
      <c r="C837" s="4" t="s">
        <v>667</v>
      </c>
      <c r="D837" s="4" t="s">
        <v>668</v>
      </c>
      <c r="E837" s="4" t="s">
        <v>254</v>
      </c>
      <c r="F837" s="4" t="s">
        <v>1602</v>
      </c>
      <c r="G837" s="4" t="s">
        <v>1603</v>
      </c>
      <c r="H837" s="4" t="s">
        <v>69</v>
      </c>
      <c r="I837" s="4" t="s">
        <v>94</v>
      </c>
      <c r="J837" s="4" t="s">
        <v>28</v>
      </c>
      <c r="K837" s="4" t="s">
        <v>27</v>
      </c>
      <c r="L837" s="4" t="s">
        <v>28</v>
      </c>
      <c r="M837" s="4" t="s">
        <v>34</v>
      </c>
      <c r="N837" s="4" t="s">
        <v>27</v>
      </c>
    </row>
    <row r="838" spans="1:14" ht="14.4" thickBot="1" x14ac:dyDescent="0.35">
      <c r="A838" s="4" t="s">
        <v>19</v>
      </c>
      <c r="B838" s="4" t="s">
        <v>666</v>
      </c>
      <c r="C838" s="4" t="s">
        <v>667</v>
      </c>
      <c r="D838" s="4" t="s">
        <v>668</v>
      </c>
      <c r="E838" s="4" t="s">
        <v>254</v>
      </c>
      <c r="F838" s="4" t="s">
        <v>1604</v>
      </c>
      <c r="G838" s="4" t="s">
        <v>1605</v>
      </c>
      <c r="H838" s="4" t="s">
        <v>135</v>
      </c>
      <c r="I838" s="4" t="s">
        <v>94</v>
      </c>
      <c r="J838" s="4" t="s">
        <v>27</v>
      </c>
      <c r="K838" s="4" t="s">
        <v>28</v>
      </c>
      <c r="L838" s="4" t="s">
        <v>28</v>
      </c>
      <c r="M838" s="4" t="s">
        <v>34</v>
      </c>
      <c r="N838" s="4" t="s">
        <v>28</v>
      </c>
    </row>
    <row r="839" spans="1:14" ht="14.4" thickBot="1" x14ac:dyDescent="0.35">
      <c r="A839" s="4" t="s">
        <v>19</v>
      </c>
      <c r="B839" s="4" t="s">
        <v>666</v>
      </c>
      <c r="C839" s="4" t="s">
        <v>667</v>
      </c>
      <c r="D839" s="4" t="s">
        <v>668</v>
      </c>
      <c r="E839" s="4" t="s">
        <v>254</v>
      </c>
      <c r="F839" s="4" t="s">
        <v>1606</v>
      </c>
      <c r="G839" s="4" t="s">
        <v>1607</v>
      </c>
      <c r="H839" s="4" t="s">
        <v>37</v>
      </c>
      <c r="I839" s="4" t="s">
        <v>38</v>
      </c>
      <c r="J839" s="4" t="s">
        <v>28</v>
      </c>
      <c r="K839" s="4" t="s">
        <v>28</v>
      </c>
      <c r="L839" s="4" t="s">
        <v>27</v>
      </c>
      <c r="M839" s="4" t="s">
        <v>34</v>
      </c>
      <c r="N839" s="4" t="s">
        <v>27</v>
      </c>
    </row>
    <row r="840" spans="1:14" ht="14.4" thickBot="1" x14ac:dyDescent="0.35">
      <c r="A840" s="4" t="s">
        <v>19</v>
      </c>
      <c r="B840" s="4" t="s">
        <v>666</v>
      </c>
      <c r="C840" s="4" t="s">
        <v>667</v>
      </c>
      <c r="D840" s="4" t="s">
        <v>668</v>
      </c>
      <c r="E840" s="4" t="s">
        <v>254</v>
      </c>
      <c r="F840" s="4" t="s">
        <v>1608</v>
      </c>
      <c r="G840" s="4" t="s">
        <v>1609</v>
      </c>
      <c r="H840" s="4" t="s">
        <v>26</v>
      </c>
      <c r="I840" s="4" t="s">
        <v>33</v>
      </c>
      <c r="J840" s="4" t="s">
        <v>27</v>
      </c>
      <c r="K840" s="4" t="s">
        <v>28</v>
      </c>
      <c r="L840" s="4" t="s">
        <v>28</v>
      </c>
      <c r="M840" s="4" t="s">
        <v>34</v>
      </c>
      <c r="N840" s="4" t="s">
        <v>28</v>
      </c>
    </row>
    <row r="841" spans="1:14" ht="14.4" thickBot="1" x14ac:dyDescent="0.35">
      <c r="A841" s="4" t="s">
        <v>19</v>
      </c>
      <c r="B841" s="4" t="s">
        <v>666</v>
      </c>
      <c r="C841" s="4" t="s">
        <v>667</v>
      </c>
      <c r="D841" s="4" t="s">
        <v>668</v>
      </c>
      <c r="E841" s="4" t="s">
        <v>254</v>
      </c>
      <c r="F841" s="4" t="s">
        <v>1610</v>
      </c>
      <c r="G841" s="4" t="s">
        <v>1611</v>
      </c>
      <c r="H841" s="4" t="s">
        <v>135</v>
      </c>
      <c r="I841" s="4" t="s">
        <v>94</v>
      </c>
      <c r="J841" s="4" t="s">
        <v>27</v>
      </c>
      <c r="K841" s="4" t="s">
        <v>28</v>
      </c>
      <c r="L841" s="4" t="s">
        <v>28</v>
      </c>
      <c r="M841" s="4" t="s">
        <v>34</v>
      </c>
      <c r="N841" s="4" t="s">
        <v>27</v>
      </c>
    </row>
    <row r="842" spans="1:14" ht="14.4" thickBot="1" x14ac:dyDescent="0.35">
      <c r="A842" s="4" t="s">
        <v>19</v>
      </c>
      <c r="B842" s="4" t="s">
        <v>666</v>
      </c>
      <c r="C842" s="4" t="s">
        <v>667</v>
      </c>
      <c r="D842" s="4" t="s">
        <v>668</v>
      </c>
      <c r="E842" s="4" t="s">
        <v>254</v>
      </c>
      <c r="F842" s="4" t="s">
        <v>1612</v>
      </c>
      <c r="G842" s="4" t="s">
        <v>1613</v>
      </c>
      <c r="H842" s="4" t="s">
        <v>26</v>
      </c>
      <c r="I842" s="4" t="s">
        <v>33</v>
      </c>
      <c r="J842" s="4" t="s">
        <v>27</v>
      </c>
      <c r="K842" s="4" t="s">
        <v>28</v>
      </c>
      <c r="L842" s="4" t="s">
        <v>28</v>
      </c>
      <c r="M842" s="4" t="s">
        <v>34</v>
      </c>
      <c r="N842" s="4" t="s">
        <v>28</v>
      </c>
    </row>
    <row r="843" spans="1:14" ht="14.4" thickBot="1" x14ac:dyDescent="0.35">
      <c r="A843" s="4" t="s">
        <v>19</v>
      </c>
      <c r="B843" s="4" t="s">
        <v>666</v>
      </c>
      <c r="C843" s="4" t="s">
        <v>667</v>
      </c>
      <c r="D843" s="4" t="s">
        <v>668</v>
      </c>
      <c r="E843" s="4" t="s">
        <v>254</v>
      </c>
      <c r="F843" s="4" t="s">
        <v>1614</v>
      </c>
      <c r="G843" s="4" t="s">
        <v>1615</v>
      </c>
      <c r="H843" s="4" t="s">
        <v>26</v>
      </c>
      <c r="I843" s="4" t="s">
        <v>33</v>
      </c>
      <c r="J843" s="4" t="s">
        <v>27</v>
      </c>
      <c r="K843" s="4" t="s">
        <v>28</v>
      </c>
      <c r="L843" s="4" t="s">
        <v>28</v>
      </c>
      <c r="M843" s="4" t="s">
        <v>34</v>
      </c>
      <c r="N843" s="4" t="s">
        <v>28</v>
      </c>
    </row>
    <row r="844" spans="1:14" ht="14.4" thickBot="1" x14ac:dyDescent="0.35">
      <c r="A844" s="4" t="s">
        <v>19</v>
      </c>
      <c r="B844" s="4" t="s">
        <v>666</v>
      </c>
      <c r="C844" s="4" t="s">
        <v>667</v>
      </c>
      <c r="D844" s="4" t="s">
        <v>668</v>
      </c>
      <c r="E844" s="4" t="s">
        <v>254</v>
      </c>
      <c r="F844" s="4" t="s">
        <v>461</v>
      </c>
      <c r="G844" s="4" t="s">
        <v>1616</v>
      </c>
      <c r="H844" s="4" t="s">
        <v>37</v>
      </c>
      <c r="I844" s="4" t="s">
        <v>38</v>
      </c>
      <c r="J844" s="4" t="s">
        <v>28</v>
      </c>
      <c r="K844" s="4" t="s">
        <v>28</v>
      </c>
      <c r="L844" s="4" t="s">
        <v>27</v>
      </c>
      <c r="M844" s="4" t="s">
        <v>34</v>
      </c>
      <c r="N844" s="4" t="s">
        <v>28</v>
      </c>
    </row>
    <row r="845" spans="1:14" ht="14.4" thickBot="1" x14ac:dyDescent="0.35">
      <c r="A845" s="4" t="s">
        <v>19</v>
      </c>
      <c r="B845" s="4" t="s">
        <v>666</v>
      </c>
      <c r="C845" s="4" t="s">
        <v>667</v>
      </c>
      <c r="D845" s="4" t="s">
        <v>668</v>
      </c>
      <c r="E845" s="4" t="s">
        <v>254</v>
      </c>
      <c r="F845" s="4" t="s">
        <v>1617</v>
      </c>
      <c r="G845" s="4" t="s">
        <v>1618</v>
      </c>
      <c r="H845" s="4" t="s">
        <v>26</v>
      </c>
      <c r="I845" s="4" t="s">
        <v>69</v>
      </c>
      <c r="J845" s="4" t="s">
        <v>27</v>
      </c>
      <c r="K845" s="4" t="s">
        <v>28</v>
      </c>
      <c r="L845" s="4" t="s">
        <v>28</v>
      </c>
      <c r="M845" s="4" t="s">
        <v>34</v>
      </c>
      <c r="N845" s="4" t="s">
        <v>28</v>
      </c>
    </row>
    <row r="846" spans="1:14" ht="14.4" thickBot="1" x14ac:dyDescent="0.35">
      <c r="A846" s="4" t="s">
        <v>19</v>
      </c>
      <c r="B846" s="4" t="s">
        <v>666</v>
      </c>
      <c r="C846" s="4" t="s">
        <v>667</v>
      </c>
      <c r="D846" s="4" t="s">
        <v>668</v>
      </c>
      <c r="E846" s="4" t="s">
        <v>254</v>
      </c>
      <c r="F846" s="4" t="s">
        <v>1619</v>
      </c>
      <c r="G846" s="4" t="s">
        <v>1620</v>
      </c>
      <c r="H846" s="4" t="s">
        <v>26</v>
      </c>
      <c r="I846" s="4" t="s">
        <v>33</v>
      </c>
      <c r="J846" s="4" t="s">
        <v>27</v>
      </c>
      <c r="K846" s="4" t="s">
        <v>28</v>
      </c>
      <c r="L846" s="4" t="s">
        <v>28</v>
      </c>
      <c r="M846" s="4" t="s">
        <v>34</v>
      </c>
      <c r="N846" s="4" t="s">
        <v>28</v>
      </c>
    </row>
    <row r="847" spans="1:14" ht="14.4" thickBot="1" x14ac:dyDescent="0.35">
      <c r="A847" s="4" t="s">
        <v>19</v>
      </c>
      <c r="B847" s="4" t="s">
        <v>666</v>
      </c>
      <c r="C847" s="4" t="s">
        <v>667</v>
      </c>
      <c r="D847" s="4" t="s">
        <v>668</v>
      </c>
      <c r="E847" s="4" t="s">
        <v>254</v>
      </c>
      <c r="F847" s="4" t="s">
        <v>1621</v>
      </c>
      <c r="G847" s="4" t="s">
        <v>1622</v>
      </c>
      <c r="H847" s="4" t="s">
        <v>69</v>
      </c>
      <c r="I847" s="4" t="s">
        <v>94</v>
      </c>
      <c r="J847" s="4" t="s">
        <v>28</v>
      </c>
      <c r="K847" s="4" t="s">
        <v>27</v>
      </c>
      <c r="L847" s="4" t="s">
        <v>28</v>
      </c>
      <c r="M847" s="4" t="s">
        <v>34</v>
      </c>
      <c r="N847" s="4" t="s">
        <v>28</v>
      </c>
    </row>
    <row r="848" spans="1:14" ht="14.4" thickBot="1" x14ac:dyDescent="0.35">
      <c r="A848" s="4" t="s">
        <v>19</v>
      </c>
      <c r="B848" s="4" t="s">
        <v>666</v>
      </c>
      <c r="C848" s="4" t="s">
        <v>667</v>
      </c>
      <c r="D848" s="4" t="s">
        <v>668</v>
      </c>
      <c r="E848" s="4" t="s">
        <v>254</v>
      </c>
      <c r="F848" s="4" t="s">
        <v>1623</v>
      </c>
      <c r="G848" s="4" t="s">
        <v>1624</v>
      </c>
      <c r="H848" s="4" t="s">
        <v>26</v>
      </c>
      <c r="I848" s="4" t="s">
        <v>33</v>
      </c>
      <c r="J848" s="4" t="s">
        <v>27</v>
      </c>
      <c r="K848" s="4" t="s">
        <v>28</v>
      </c>
      <c r="L848" s="4" t="s">
        <v>28</v>
      </c>
      <c r="M848" s="4" t="s">
        <v>34</v>
      </c>
      <c r="N848" s="4" t="s">
        <v>28</v>
      </c>
    </row>
    <row r="849" spans="1:14" ht="14.4" thickBot="1" x14ac:dyDescent="0.35">
      <c r="A849" s="4" t="s">
        <v>19</v>
      </c>
      <c r="B849" s="4" t="s">
        <v>666</v>
      </c>
      <c r="C849" s="4" t="s">
        <v>667</v>
      </c>
      <c r="D849" s="4" t="s">
        <v>668</v>
      </c>
      <c r="E849" s="4" t="s">
        <v>254</v>
      </c>
      <c r="F849" s="4" t="s">
        <v>1625</v>
      </c>
      <c r="G849" s="4" t="s">
        <v>1626</v>
      </c>
      <c r="H849" s="4" t="s">
        <v>37</v>
      </c>
      <c r="I849" s="4" t="s">
        <v>38</v>
      </c>
      <c r="J849" s="4" t="s">
        <v>28</v>
      </c>
      <c r="K849" s="4" t="s">
        <v>28</v>
      </c>
      <c r="L849" s="4" t="s">
        <v>27</v>
      </c>
      <c r="M849" s="4" t="s">
        <v>34</v>
      </c>
      <c r="N849" s="4" t="s">
        <v>28</v>
      </c>
    </row>
    <row r="850" spans="1:14" ht="14.4" thickBot="1" x14ac:dyDescent="0.35">
      <c r="A850" s="4" t="s">
        <v>19</v>
      </c>
      <c r="B850" s="4" t="s">
        <v>666</v>
      </c>
      <c r="C850" s="4" t="s">
        <v>667</v>
      </c>
      <c r="D850" s="4" t="s">
        <v>668</v>
      </c>
      <c r="E850" s="4" t="s">
        <v>254</v>
      </c>
      <c r="F850" s="4" t="s">
        <v>1748</v>
      </c>
      <c r="G850" s="4" t="s">
        <v>1749</v>
      </c>
      <c r="H850" s="4" t="s">
        <v>26</v>
      </c>
      <c r="I850" s="4" t="s">
        <v>26</v>
      </c>
      <c r="J850" s="4" t="s">
        <v>27</v>
      </c>
      <c r="K850" s="4" t="s">
        <v>28</v>
      </c>
      <c r="L850" s="4" t="s">
        <v>28</v>
      </c>
      <c r="M850" s="4" t="s">
        <v>29</v>
      </c>
      <c r="N850" s="4" t="s">
        <v>28</v>
      </c>
    </row>
    <row r="851" spans="1:14" ht="14.4" thickBot="1" x14ac:dyDescent="0.35">
      <c r="A851" s="4" t="s">
        <v>19</v>
      </c>
      <c r="B851" s="4" t="s">
        <v>666</v>
      </c>
      <c r="C851" s="4" t="s">
        <v>667</v>
      </c>
      <c r="D851" s="4" t="s">
        <v>668</v>
      </c>
      <c r="E851" s="4" t="s">
        <v>254</v>
      </c>
      <c r="F851" s="4" t="s">
        <v>1750</v>
      </c>
      <c r="G851" s="4" t="s">
        <v>1751</v>
      </c>
      <c r="H851" s="4" t="s">
        <v>135</v>
      </c>
      <c r="I851" s="4" t="s">
        <v>38</v>
      </c>
      <c r="J851" s="4" t="s">
        <v>28</v>
      </c>
      <c r="K851" s="4" t="s">
        <v>28</v>
      </c>
      <c r="L851" s="4" t="s">
        <v>27</v>
      </c>
      <c r="M851" s="4" t="s">
        <v>29</v>
      </c>
      <c r="N851" s="4" t="s">
        <v>28</v>
      </c>
    </row>
    <row r="852" spans="1:14" ht="14.4" thickBot="1" x14ac:dyDescent="0.35">
      <c r="A852" s="4" t="s">
        <v>19</v>
      </c>
      <c r="B852" s="4" t="s">
        <v>666</v>
      </c>
      <c r="C852" s="4" t="s">
        <v>667</v>
      </c>
      <c r="D852" s="4" t="s">
        <v>668</v>
      </c>
      <c r="E852" s="4" t="s">
        <v>254</v>
      </c>
      <c r="F852" s="4" t="s">
        <v>1752</v>
      </c>
      <c r="G852" s="4" t="s">
        <v>1753</v>
      </c>
      <c r="H852" s="4" t="s">
        <v>26</v>
      </c>
      <c r="I852" s="4" t="s">
        <v>26</v>
      </c>
      <c r="J852" s="4" t="s">
        <v>27</v>
      </c>
      <c r="K852" s="4" t="s">
        <v>28</v>
      </c>
      <c r="L852" s="4" t="s">
        <v>28</v>
      </c>
      <c r="M852" s="4" t="s">
        <v>29</v>
      </c>
      <c r="N852" s="4" t="s">
        <v>28</v>
      </c>
    </row>
    <row r="853" spans="1:14" ht="14.4" thickBot="1" x14ac:dyDescent="0.35">
      <c r="A853" s="4" t="s">
        <v>19</v>
      </c>
      <c r="B853" s="4" t="s">
        <v>666</v>
      </c>
      <c r="C853" s="4" t="s">
        <v>667</v>
      </c>
      <c r="D853" s="4" t="s">
        <v>668</v>
      </c>
      <c r="E853" s="4" t="s">
        <v>254</v>
      </c>
      <c r="F853" s="4" t="s">
        <v>1754</v>
      </c>
      <c r="G853" s="4" t="s">
        <v>1755</v>
      </c>
      <c r="H853" s="4" t="s">
        <v>26</v>
      </c>
      <c r="I853" s="4" t="s">
        <v>94</v>
      </c>
      <c r="J853" s="4" t="s">
        <v>27</v>
      </c>
      <c r="K853" s="4" t="s">
        <v>28</v>
      </c>
      <c r="L853" s="4" t="s">
        <v>28</v>
      </c>
      <c r="M853" s="4" t="s">
        <v>29</v>
      </c>
      <c r="N853" s="4" t="s">
        <v>28</v>
      </c>
    </row>
    <row r="854" spans="1:14" ht="14.4" thickBot="1" x14ac:dyDescent="0.35">
      <c r="A854" s="4" t="s">
        <v>19</v>
      </c>
      <c r="B854" s="4" t="s">
        <v>666</v>
      </c>
      <c r="C854" s="4" t="s">
        <v>667</v>
      </c>
      <c r="D854" s="4" t="s">
        <v>668</v>
      </c>
      <c r="E854" s="4" t="s">
        <v>254</v>
      </c>
      <c r="F854" s="4" t="s">
        <v>1756</v>
      </c>
      <c r="G854" s="4" t="s">
        <v>1757</v>
      </c>
      <c r="H854" s="4" t="s">
        <v>26</v>
      </c>
      <c r="I854" s="4" t="s">
        <v>26</v>
      </c>
      <c r="J854" s="4" t="s">
        <v>27</v>
      </c>
      <c r="K854" s="4" t="s">
        <v>28</v>
      </c>
      <c r="L854" s="4" t="s">
        <v>28</v>
      </c>
      <c r="M854" s="4" t="s">
        <v>29</v>
      </c>
      <c r="N854" s="4" t="s">
        <v>28</v>
      </c>
    </row>
    <row r="855" spans="1:14" ht="14.4" thickBot="1" x14ac:dyDescent="0.35">
      <c r="A855" s="4" t="s">
        <v>19</v>
      </c>
      <c r="B855" s="4" t="s">
        <v>666</v>
      </c>
      <c r="C855" s="4" t="s">
        <v>667</v>
      </c>
      <c r="D855" s="4" t="s">
        <v>668</v>
      </c>
      <c r="E855" s="4" t="s">
        <v>254</v>
      </c>
      <c r="F855" s="4" t="s">
        <v>1758</v>
      </c>
      <c r="G855" s="4" t="s">
        <v>1759</v>
      </c>
      <c r="H855" s="4" t="s">
        <v>26</v>
      </c>
      <c r="I855" s="4" t="s">
        <v>116</v>
      </c>
      <c r="J855" s="4" t="s">
        <v>27</v>
      </c>
      <c r="K855" s="4" t="s">
        <v>28</v>
      </c>
      <c r="L855" s="4" t="s">
        <v>28</v>
      </c>
      <c r="M855" s="4" t="s">
        <v>29</v>
      </c>
      <c r="N855" s="4" t="s">
        <v>28</v>
      </c>
    </row>
    <row r="856" spans="1:14" ht="14.4" thickBot="1" x14ac:dyDescent="0.35">
      <c r="A856" s="4" t="s">
        <v>19</v>
      </c>
      <c r="B856" s="4" t="s">
        <v>666</v>
      </c>
      <c r="C856" s="4" t="s">
        <v>667</v>
      </c>
      <c r="D856" s="4" t="s">
        <v>668</v>
      </c>
      <c r="E856" s="4" t="s">
        <v>254</v>
      </c>
      <c r="F856" s="4" t="s">
        <v>1760</v>
      </c>
      <c r="G856" s="4" t="s">
        <v>1761</v>
      </c>
      <c r="H856" s="4" t="s">
        <v>26</v>
      </c>
      <c r="I856" s="4" t="s">
        <v>116</v>
      </c>
      <c r="J856" s="4" t="s">
        <v>27</v>
      </c>
      <c r="K856" s="4" t="s">
        <v>28</v>
      </c>
      <c r="L856" s="4" t="s">
        <v>28</v>
      </c>
      <c r="M856" s="4" t="s">
        <v>29</v>
      </c>
      <c r="N856" s="4" t="s">
        <v>28</v>
      </c>
    </row>
    <row r="857" spans="1:14" ht="14.4" thickBot="1" x14ac:dyDescent="0.35">
      <c r="A857" s="4" t="s">
        <v>19</v>
      </c>
      <c r="B857" s="4" t="s">
        <v>666</v>
      </c>
      <c r="C857" s="4" t="s">
        <v>667</v>
      </c>
      <c r="D857" s="4" t="s">
        <v>668</v>
      </c>
      <c r="E857" s="4" t="s">
        <v>254</v>
      </c>
      <c r="F857" s="4" t="s">
        <v>1762</v>
      </c>
      <c r="G857" s="4" t="s">
        <v>1763</v>
      </c>
      <c r="H857" s="4" t="s">
        <v>26</v>
      </c>
      <c r="I857" s="4" t="s">
        <v>26</v>
      </c>
      <c r="J857" s="4" t="s">
        <v>27</v>
      </c>
      <c r="K857" s="4" t="s">
        <v>28</v>
      </c>
      <c r="L857" s="4" t="s">
        <v>28</v>
      </c>
      <c r="M857" s="4" t="s">
        <v>130</v>
      </c>
      <c r="N857" s="4" t="s">
        <v>28</v>
      </c>
    </row>
    <row r="858" spans="1:14" ht="14.4" thickBot="1" x14ac:dyDescent="0.35">
      <c r="A858" s="4" t="s">
        <v>19</v>
      </c>
      <c r="B858" s="4" t="s">
        <v>666</v>
      </c>
      <c r="C858" s="4" t="s">
        <v>667</v>
      </c>
      <c r="D858" s="4" t="s">
        <v>668</v>
      </c>
      <c r="E858" s="4" t="s">
        <v>254</v>
      </c>
      <c r="F858" s="4" t="s">
        <v>1764</v>
      </c>
      <c r="G858" s="4" t="s">
        <v>1765</v>
      </c>
      <c r="H858" s="4" t="s">
        <v>26</v>
      </c>
      <c r="I858" s="4" t="s">
        <v>26</v>
      </c>
      <c r="J858" s="4" t="s">
        <v>27</v>
      </c>
      <c r="K858" s="4" t="s">
        <v>28</v>
      </c>
      <c r="L858" s="4" t="s">
        <v>28</v>
      </c>
      <c r="M858" s="4" t="s">
        <v>130</v>
      </c>
      <c r="N858" s="4" t="s">
        <v>28</v>
      </c>
    </row>
    <row r="859" spans="1:14" ht="14.4" thickBot="1" x14ac:dyDescent="0.35">
      <c r="A859" s="4" t="s">
        <v>19</v>
      </c>
      <c r="B859" s="4" t="s">
        <v>666</v>
      </c>
      <c r="C859" s="4" t="s">
        <v>667</v>
      </c>
      <c r="D859" s="4" t="s">
        <v>668</v>
      </c>
      <c r="E859" s="4" t="s">
        <v>254</v>
      </c>
      <c r="F859" s="4" t="s">
        <v>1766</v>
      </c>
      <c r="G859" s="4" t="s">
        <v>1767</v>
      </c>
      <c r="H859" s="4" t="s">
        <v>26</v>
      </c>
      <c r="I859" s="4" t="s">
        <v>26</v>
      </c>
      <c r="J859" s="5"/>
      <c r="K859" s="5"/>
      <c r="L859" s="5"/>
      <c r="M859" s="4" t="s">
        <v>130</v>
      </c>
      <c r="N859" s="5"/>
    </row>
    <row r="860" spans="1:14" ht="14.4" thickBot="1" x14ac:dyDescent="0.35">
      <c r="A860" s="4" t="s">
        <v>19</v>
      </c>
      <c r="B860" s="4" t="s">
        <v>666</v>
      </c>
      <c r="C860" s="4" t="s">
        <v>667</v>
      </c>
      <c r="D860" s="4" t="s">
        <v>668</v>
      </c>
      <c r="E860" s="4" t="s">
        <v>254</v>
      </c>
      <c r="F860" s="4" t="s">
        <v>1768</v>
      </c>
      <c r="G860" s="4" t="s">
        <v>1769</v>
      </c>
      <c r="H860" s="4" t="s">
        <v>26</v>
      </c>
      <c r="I860" s="4" t="s">
        <v>26</v>
      </c>
      <c r="J860" s="5"/>
      <c r="K860" s="5"/>
      <c r="L860" s="5"/>
      <c r="M860" s="4" t="s">
        <v>130</v>
      </c>
      <c r="N860" s="5"/>
    </row>
    <row r="861" spans="1:14" ht="14.4" thickBot="1" x14ac:dyDescent="0.35">
      <c r="A861" s="4" t="s">
        <v>19</v>
      </c>
      <c r="B861" s="4" t="s">
        <v>666</v>
      </c>
      <c r="C861" s="4" t="s">
        <v>667</v>
      </c>
      <c r="D861" s="4" t="s">
        <v>668</v>
      </c>
      <c r="E861" s="4" t="s">
        <v>254</v>
      </c>
      <c r="F861" s="4" t="s">
        <v>1770</v>
      </c>
      <c r="G861" s="4" t="s">
        <v>1771</v>
      </c>
      <c r="H861" s="4" t="s">
        <v>26</v>
      </c>
      <c r="I861" s="4" t="s">
        <v>26</v>
      </c>
      <c r="J861" s="5"/>
      <c r="K861" s="5"/>
      <c r="L861" s="5"/>
      <c r="M861" s="4" t="s">
        <v>130</v>
      </c>
      <c r="N861" s="5"/>
    </row>
    <row r="862" spans="1:14" ht="14.4" thickBot="1" x14ac:dyDescent="0.35">
      <c r="A862" s="4" t="s">
        <v>19</v>
      </c>
      <c r="B862" s="4" t="s">
        <v>666</v>
      </c>
      <c r="C862" s="4" t="s">
        <v>667</v>
      </c>
      <c r="D862" s="4" t="s">
        <v>668</v>
      </c>
      <c r="E862" s="4" t="s">
        <v>254</v>
      </c>
      <c r="F862" s="4" t="s">
        <v>1772</v>
      </c>
      <c r="G862" s="4" t="s">
        <v>1773</v>
      </c>
      <c r="H862" s="4" t="s">
        <v>26</v>
      </c>
      <c r="I862" s="4" t="s">
        <v>26</v>
      </c>
      <c r="J862" s="5"/>
      <c r="K862" s="5"/>
      <c r="L862" s="5"/>
      <c r="M862" s="4" t="s">
        <v>130</v>
      </c>
      <c r="N862" s="5"/>
    </row>
    <row r="863" spans="1:14" ht="14.4" thickBot="1" x14ac:dyDescent="0.35">
      <c r="A863" s="4" t="s">
        <v>19</v>
      </c>
      <c r="B863" s="4" t="s">
        <v>666</v>
      </c>
      <c r="C863" s="4" t="s">
        <v>667</v>
      </c>
      <c r="D863" s="4" t="s">
        <v>668</v>
      </c>
      <c r="E863" s="4" t="s">
        <v>254</v>
      </c>
      <c r="F863" s="4" t="s">
        <v>1774</v>
      </c>
      <c r="G863" s="4" t="s">
        <v>1775</v>
      </c>
      <c r="H863" s="4" t="s">
        <v>26</v>
      </c>
      <c r="I863" s="4" t="s">
        <v>26</v>
      </c>
      <c r="J863" s="5"/>
      <c r="K863" s="5"/>
      <c r="L863" s="5"/>
      <c r="M863" s="4" t="s">
        <v>130</v>
      </c>
      <c r="N863" s="5"/>
    </row>
    <row r="864" spans="1:14" ht="14.4" thickBot="1" x14ac:dyDescent="0.35">
      <c r="A864" s="4" t="s">
        <v>19</v>
      </c>
      <c r="B864" s="4" t="s">
        <v>666</v>
      </c>
      <c r="C864" s="4" t="s">
        <v>667</v>
      </c>
      <c r="D864" s="4" t="s">
        <v>668</v>
      </c>
      <c r="E864" s="4" t="s">
        <v>254</v>
      </c>
      <c r="F864" s="4" t="s">
        <v>1776</v>
      </c>
      <c r="G864" s="4" t="s">
        <v>1777</v>
      </c>
      <c r="H864" s="4" t="s">
        <v>26</v>
      </c>
      <c r="I864" s="4" t="s">
        <v>26</v>
      </c>
      <c r="J864" s="5"/>
      <c r="K864" s="5"/>
      <c r="L864" s="5"/>
      <c r="M864" s="4" t="s">
        <v>130</v>
      </c>
      <c r="N864" s="5"/>
    </row>
    <row r="865" spans="1:14" ht="14.4" thickBot="1" x14ac:dyDescent="0.35">
      <c r="A865" s="4" t="s">
        <v>19</v>
      </c>
      <c r="B865" s="4" t="s">
        <v>666</v>
      </c>
      <c r="C865" s="4" t="s">
        <v>667</v>
      </c>
      <c r="D865" s="4" t="s">
        <v>668</v>
      </c>
      <c r="E865" s="4" t="s">
        <v>254</v>
      </c>
      <c r="F865" s="4" t="s">
        <v>1778</v>
      </c>
      <c r="G865" s="4" t="s">
        <v>1779</v>
      </c>
      <c r="H865" s="4" t="s">
        <v>26</v>
      </c>
      <c r="I865" s="4" t="s">
        <v>26</v>
      </c>
      <c r="J865" s="5"/>
      <c r="K865" s="5"/>
      <c r="L865" s="5"/>
      <c r="M865" s="4" t="s">
        <v>130</v>
      </c>
      <c r="N865" s="5"/>
    </row>
    <row r="866" spans="1:14" ht="14.4" thickBot="1" x14ac:dyDescent="0.35">
      <c r="A866" s="4" t="s">
        <v>19</v>
      </c>
      <c r="B866" s="4" t="s">
        <v>666</v>
      </c>
      <c r="C866" s="4" t="s">
        <v>667</v>
      </c>
      <c r="D866" s="4" t="s">
        <v>668</v>
      </c>
      <c r="E866" s="4" t="s">
        <v>254</v>
      </c>
      <c r="F866" s="4" t="s">
        <v>1780</v>
      </c>
      <c r="G866" s="4" t="s">
        <v>1781</v>
      </c>
      <c r="H866" s="4" t="s">
        <v>26</v>
      </c>
      <c r="I866" s="4" t="s">
        <v>26</v>
      </c>
      <c r="J866" s="4" t="s">
        <v>27</v>
      </c>
      <c r="K866" s="4" t="s">
        <v>28</v>
      </c>
      <c r="L866" s="4" t="s">
        <v>28</v>
      </c>
      <c r="M866" s="4" t="s">
        <v>29</v>
      </c>
      <c r="N866" s="4" t="s">
        <v>28</v>
      </c>
    </row>
    <row r="867" spans="1:14" ht="14.4" thickBot="1" x14ac:dyDescent="0.35">
      <c r="A867" s="4" t="s">
        <v>19</v>
      </c>
      <c r="B867" s="4" t="s">
        <v>666</v>
      </c>
      <c r="C867" s="4" t="s">
        <v>667</v>
      </c>
      <c r="D867" s="4" t="s">
        <v>668</v>
      </c>
      <c r="E867" s="4" t="s">
        <v>254</v>
      </c>
      <c r="F867" s="4" t="s">
        <v>1782</v>
      </c>
      <c r="G867" s="4" t="s">
        <v>1783</v>
      </c>
      <c r="H867" s="4" t="s">
        <v>26</v>
      </c>
      <c r="I867" s="4" t="s">
        <v>26</v>
      </c>
      <c r="J867" s="4" t="s">
        <v>27</v>
      </c>
      <c r="K867" s="4" t="s">
        <v>28</v>
      </c>
      <c r="L867" s="4" t="s">
        <v>28</v>
      </c>
      <c r="M867" s="4" t="s">
        <v>130</v>
      </c>
      <c r="N867" s="4" t="s">
        <v>28</v>
      </c>
    </row>
    <row r="868" spans="1:14" ht="14.4" thickBot="1" x14ac:dyDescent="0.35">
      <c r="A868" s="4" t="s">
        <v>19</v>
      </c>
      <c r="B868" s="4" t="s">
        <v>666</v>
      </c>
      <c r="C868" s="4" t="s">
        <v>667</v>
      </c>
      <c r="D868" s="4" t="s">
        <v>668</v>
      </c>
      <c r="E868" s="4" t="s">
        <v>254</v>
      </c>
      <c r="F868" s="4" t="s">
        <v>1784</v>
      </c>
      <c r="G868" s="4" t="s">
        <v>1785</v>
      </c>
      <c r="H868" s="4" t="s">
        <v>37</v>
      </c>
      <c r="I868" s="4" t="s">
        <v>38</v>
      </c>
      <c r="J868" s="5"/>
      <c r="K868" s="5"/>
      <c r="L868" s="5"/>
      <c r="M868" s="4" t="s">
        <v>29</v>
      </c>
      <c r="N868" s="5"/>
    </row>
    <row r="869" spans="1:14" ht="14.4" thickBot="1" x14ac:dyDescent="0.35">
      <c r="A869" s="4" t="s">
        <v>19</v>
      </c>
      <c r="B869" s="4" t="s">
        <v>666</v>
      </c>
      <c r="C869" s="4" t="s">
        <v>667</v>
      </c>
      <c r="D869" s="4" t="s">
        <v>668</v>
      </c>
      <c r="E869" s="4" t="s">
        <v>254</v>
      </c>
      <c r="F869" s="4" t="s">
        <v>1786</v>
      </c>
      <c r="G869" s="4" t="s">
        <v>1787</v>
      </c>
      <c r="H869" s="4" t="s">
        <v>33</v>
      </c>
      <c r="I869" s="4" t="s">
        <v>38</v>
      </c>
      <c r="J869" s="4" t="s">
        <v>28</v>
      </c>
      <c r="K869" s="4" t="s">
        <v>28</v>
      </c>
      <c r="L869" s="4" t="s">
        <v>27</v>
      </c>
      <c r="M869" s="4" t="s">
        <v>181</v>
      </c>
      <c r="N869" s="4" t="s">
        <v>28</v>
      </c>
    </row>
    <row r="870" spans="1:14" ht="14.4" thickBot="1" x14ac:dyDescent="0.35">
      <c r="A870" s="4" t="s">
        <v>19</v>
      </c>
      <c r="B870" s="4" t="s">
        <v>666</v>
      </c>
      <c r="C870" s="4" t="s">
        <v>667</v>
      </c>
      <c r="D870" s="4" t="s">
        <v>668</v>
      </c>
      <c r="E870" s="4" t="s">
        <v>254</v>
      </c>
      <c r="F870" s="4" t="s">
        <v>1788</v>
      </c>
      <c r="G870" s="4" t="s">
        <v>1789</v>
      </c>
      <c r="H870" s="4" t="s">
        <v>26</v>
      </c>
      <c r="I870" s="4" t="s">
        <v>94</v>
      </c>
      <c r="J870" s="5"/>
      <c r="K870" s="5"/>
      <c r="L870" s="5"/>
      <c r="M870" s="4" t="s">
        <v>29</v>
      </c>
      <c r="N870" s="5"/>
    </row>
    <row r="871" spans="1:14" ht="14.4" thickBot="1" x14ac:dyDescent="0.35">
      <c r="A871" s="4" t="s">
        <v>19</v>
      </c>
      <c r="B871" s="4" t="s">
        <v>666</v>
      </c>
      <c r="C871" s="4" t="s">
        <v>667</v>
      </c>
      <c r="D871" s="4" t="s">
        <v>668</v>
      </c>
      <c r="E871" s="4" t="s">
        <v>254</v>
      </c>
      <c r="F871" s="4" t="s">
        <v>1790</v>
      </c>
      <c r="G871" s="4" t="s">
        <v>1791</v>
      </c>
      <c r="H871" s="4" t="s">
        <v>26</v>
      </c>
      <c r="I871" s="4" t="s">
        <v>135</v>
      </c>
      <c r="J871" s="4" t="s">
        <v>27</v>
      </c>
      <c r="K871" s="4" t="s">
        <v>28</v>
      </c>
      <c r="L871" s="4" t="s">
        <v>28</v>
      </c>
      <c r="M871" s="4" t="s">
        <v>29</v>
      </c>
      <c r="N871" s="4" t="s">
        <v>28</v>
      </c>
    </row>
    <row r="872" spans="1:14" ht="14.4" thickBot="1" x14ac:dyDescent="0.35">
      <c r="A872" s="4" t="s">
        <v>19</v>
      </c>
      <c r="B872" s="4" t="s">
        <v>666</v>
      </c>
      <c r="C872" s="4" t="s">
        <v>667</v>
      </c>
      <c r="D872" s="4" t="s">
        <v>668</v>
      </c>
      <c r="E872" s="4" t="s">
        <v>254</v>
      </c>
      <c r="F872" s="4" t="s">
        <v>1792</v>
      </c>
      <c r="G872" s="4" t="s">
        <v>1793</v>
      </c>
      <c r="H872" s="4" t="s">
        <v>158</v>
      </c>
      <c r="I872" s="4" t="s">
        <v>38</v>
      </c>
      <c r="J872" s="5"/>
      <c r="K872" s="5"/>
      <c r="L872" s="5"/>
      <c r="M872" s="4" t="s">
        <v>29</v>
      </c>
      <c r="N872" s="5"/>
    </row>
    <row r="873" spans="1:14" ht="14.4" thickBot="1" x14ac:dyDescent="0.35">
      <c r="A873" s="4" t="s">
        <v>19</v>
      </c>
      <c r="B873" s="4" t="s">
        <v>666</v>
      </c>
      <c r="C873" s="4" t="s">
        <v>667</v>
      </c>
      <c r="D873" s="4" t="s">
        <v>668</v>
      </c>
      <c r="E873" s="4" t="s">
        <v>254</v>
      </c>
      <c r="F873" s="4" t="s">
        <v>1794</v>
      </c>
      <c r="G873" s="4" t="s">
        <v>1795</v>
      </c>
      <c r="H873" s="4" t="s">
        <v>135</v>
      </c>
      <c r="I873" s="4" t="s">
        <v>38</v>
      </c>
      <c r="J873" s="5"/>
      <c r="K873" s="5"/>
      <c r="L873" s="5"/>
      <c r="M873" s="4" t="s">
        <v>29</v>
      </c>
      <c r="N873" s="5"/>
    </row>
    <row r="874" spans="1:14" ht="14.4" thickBot="1" x14ac:dyDescent="0.35">
      <c r="A874" s="4" t="s">
        <v>19</v>
      </c>
      <c r="B874" s="4" t="s">
        <v>666</v>
      </c>
      <c r="C874" s="4" t="s">
        <v>667</v>
      </c>
      <c r="D874" s="4" t="s">
        <v>668</v>
      </c>
      <c r="E874" s="4" t="s">
        <v>254</v>
      </c>
      <c r="F874" s="4" t="s">
        <v>149</v>
      </c>
      <c r="G874" s="4" t="s">
        <v>2298</v>
      </c>
      <c r="H874" s="4" t="s">
        <v>69</v>
      </c>
      <c r="I874" s="4" t="s">
        <v>94</v>
      </c>
      <c r="J874" s="4" t="s">
        <v>28</v>
      </c>
      <c r="K874" s="4" t="s">
        <v>27</v>
      </c>
      <c r="L874" s="4" t="s">
        <v>28</v>
      </c>
      <c r="M874" s="4" t="s">
        <v>34</v>
      </c>
      <c r="N874" s="4" t="s">
        <v>27</v>
      </c>
    </row>
    <row r="875" spans="1:14" ht="14.4" thickBot="1" x14ac:dyDescent="0.35">
      <c r="A875" s="4" t="s">
        <v>19</v>
      </c>
      <c r="B875" s="4" t="s">
        <v>666</v>
      </c>
      <c r="C875" s="4" t="s">
        <v>667</v>
      </c>
      <c r="D875" s="4" t="s">
        <v>668</v>
      </c>
      <c r="E875" s="4" t="s">
        <v>254</v>
      </c>
      <c r="F875" s="4" t="s">
        <v>2299</v>
      </c>
      <c r="G875" s="4" t="s">
        <v>2300</v>
      </c>
      <c r="H875" s="4" t="s">
        <v>26</v>
      </c>
      <c r="I875" s="4" t="s">
        <v>33</v>
      </c>
      <c r="J875" s="4" t="s">
        <v>27</v>
      </c>
      <c r="K875" s="4" t="s">
        <v>28</v>
      </c>
      <c r="L875" s="4" t="s">
        <v>28</v>
      </c>
      <c r="M875" s="4" t="s">
        <v>34</v>
      </c>
      <c r="N875" s="4" t="s">
        <v>28</v>
      </c>
    </row>
    <row r="876" spans="1:14" ht="14.4" thickBot="1" x14ac:dyDescent="0.35">
      <c r="A876" s="4" t="s">
        <v>19</v>
      </c>
      <c r="B876" s="4" t="s">
        <v>666</v>
      </c>
      <c r="C876" s="4" t="s">
        <v>667</v>
      </c>
      <c r="D876" s="4" t="s">
        <v>668</v>
      </c>
      <c r="E876" s="4" t="s">
        <v>254</v>
      </c>
      <c r="F876" s="4" t="s">
        <v>2301</v>
      </c>
      <c r="G876" s="4" t="s">
        <v>2302</v>
      </c>
      <c r="H876" s="4" t="s">
        <v>37</v>
      </c>
      <c r="I876" s="4" t="s">
        <v>38</v>
      </c>
      <c r="J876" s="4" t="s">
        <v>28</v>
      </c>
      <c r="K876" s="4" t="s">
        <v>28</v>
      </c>
      <c r="L876" s="4" t="s">
        <v>27</v>
      </c>
      <c r="M876" s="4" t="s">
        <v>34</v>
      </c>
      <c r="N876" s="4" t="s">
        <v>27</v>
      </c>
    </row>
    <row r="877" spans="1:14" ht="14.4" thickBot="1" x14ac:dyDescent="0.35">
      <c r="A877" s="4" t="s">
        <v>19</v>
      </c>
      <c r="B877" s="4" t="s">
        <v>666</v>
      </c>
      <c r="C877" s="4" t="s">
        <v>667</v>
      </c>
      <c r="D877" s="4" t="s">
        <v>668</v>
      </c>
      <c r="E877" s="4" t="s">
        <v>254</v>
      </c>
      <c r="F877" s="4" t="s">
        <v>614</v>
      </c>
      <c r="G877" s="4" t="s">
        <v>2303</v>
      </c>
      <c r="H877" s="4" t="s">
        <v>69</v>
      </c>
      <c r="I877" s="4" t="s">
        <v>94</v>
      </c>
      <c r="J877" s="4" t="s">
        <v>28</v>
      </c>
      <c r="K877" s="4" t="s">
        <v>27</v>
      </c>
      <c r="L877" s="4" t="s">
        <v>28</v>
      </c>
      <c r="M877" s="4" t="s">
        <v>34</v>
      </c>
      <c r="N877" s="4" t="s">
        <v>27</v>
      </c>
    </row>
    <row r="878" spans="1:14" ht="14.4" thickBot="1" x14ac:dyDescent="0.35">
      <c r="A878" s="4" t="s">
        <v>19</v>
      </c>
      <c r="B878" s="4" t="s">
        <v>666</v>
      </c>
      <c r="C878" s="4" t="s">
        <v>667</v>
      </c>
      <c r="D878" s="4" t="s">
        <v>668</v>
      </c>
      <c r="E878" s="4" t="s">
        <v>254</v>
      </c>
      <c r="F878" s="4" t="s">
        <v>2304</v>
      </c>
      <c r="G878" s="4" t="s">
        <v>2305</v>
      </c>
      <c r="H878" s="4" t="s">
        <v>69</v>
      </c>
      <c r="I878" s="4" t="s">
        <v>94</v>
      </c>
      <c r="J878" s="4" t="s">
        <v>28</v>
      </c>
      <c r="K878" s="4" t="s">
        <v>27</v>
      </c>
      <c r="L878" s="4" t="s">
        <v>28</v>
      </c>
      <c r="M878" s="4" t="s">
        <v>34</v>
      </c>
      <c r="N878" s="4" t="s">
        <v>27</v>
      </c>
    </row>
    <row r="879" spans="1:14" ht="14.4" thickBot="1" x14ac:dyDescent="0.35">
      <c r="A879" s="4" t="s">
        <v>19</v>
      </c>
      <c r="B879" s="4" t="s">
        <v>666</v>
      </c>
      <c r="C879" s="4" t="s">
        <v>667</v>
      </c>
      <c r="D879" s="4" t="s">
        <v>668</v>
      </c>
      <c r="E879" s="4" t="s">
        <v>254</v>
      </c>
      <c r="F879" s="4" t="s">
        <v>2306</v>
      </c>
      <c r="G879" s="4" t="s">
        <v>2307</v>
      </c>
      <c r="H879" s="4" t="s">
        <v>37</v>
      </c>
      <c r="I879" s="4" t="s">
        <v>38</v>
      </c>
      <c r="J879" s="4" t="s">
        <v>28</v>
      </c>
      <c r="K879" s="4" t="s">
        <v>28</v>
      </c>
      <c r="L879" s="4" t="s">
        <v>27</v>
      </c>
      <c r="M879" s="4" t="s">
        <v>34</v>
      </c>
      <c r="N879" s="4" t="s">
        <v>28</v>
      </c>
    </row>
    <row r="880" spans="1:14" ht="14.4" thickBot="1" x14ac:dyDescent="0.35">
      <c r="A880" s="4" t="s">
        <v>19</v>
      </c>
      <c r="B880" s="4" t="s">
        <v>666</v>
      </c>
      <c r="C880" s="4" t="s">
        <v>667</v>
      </c>
      <c r="D880" s="4" t="s">
        <v>668</v>
      </c>
      <c r="E880" s="4" t="s">
        <v>254</v>
      </c>
      <c r="F880" s="4" t="s">
        <v>2308</v>
      </c>
      <c r="G880" s="4" t="s">
        <v>2309</v>
      </c>
      <c r="H880" s="4" t="s">
        <v>135</v>
      </c>
      <c r="I880" s="4" t="s">
        <v>33</v>
      </c>
      <c r="J880" s="4" t="s">
        <v>27</v>
      </c>
      <c r="K880" s="4" t="s">
        <v>28</v>
      </c>
      <c r="L880" s="4" t="s">
        <v>28</v>
      </c>
      <c r="M880" s="4" t="s">
        <v>34</v>
      </c>
      <c r="N880" s="4" t="s">
        <v>28</v>
      </c>
    </row>
    <row r="881" spans="1:14" ht="14.4" thickBot="1" x14ac:dyDescent="0.35">
      <c r="A881" s="4" t="s">
        <v>19</v>
      </c>
      <c r="B881" s="4" t="s">
        <v>666</v>
      </c>
      <c r="C881" s="4" t="s">
        <v>667</v>
      </c>
      <c r="D881" s="4" t="s">
        <v>668</v>
      </c>
      <c r="E881" s="4" t="s">
        <v>254</v>
      </c>
      <c r="F881" s="4" t="s">
        <v>2310</v>
      </c>
      <c r="G881" s="4" t="s">
        <v>2311</v>
      </c>
      <c r="H881" s="4" t="s">
        <v>26</v>
      </c>
      <c r="I881" s="4" t="s">
        <v>116</v>
      </c>
      <c r="J881" s="4" t="s">
        <v>27</v>
      </c>
      <c r="K881" s="4" t="s">
        <v>28</v>
      </c>
      <c r="L881" s="4" t="s">
        <v>28</v>
      </c>
      <c r="M881" s="4" t="s">
        <v>34</v>
      </c>
      <c r="N881" s="4" t="s">
        <v>28</v>
      </c>
    </row>
    <row r="882" spans="1:14" ht="14.4" thickBot="1" x14ac:dyDescent="0.35">
      <c r="A882" s="4" t="s">
        <v>19</v>
      </c>
      <c r="B882" s="4" t="s">
        <v>666</v>
      </c>
      <c r="C882" s="4" t="s">
        <v>667</v>
      </c>
      <c r="D882" s="4" t="s">
        <v>668</v>
      </c>
      <c r="E882" s="4" t="s">
        <v>254</v>
      </c>
      <c r="F882" s="4" t="s">
        <v>2312</v>
      </c>
      <c r="G882" s="4" t="s">
        <v>2313</v>
      </c>
      <c r="H882" s="4" t="s">
        <v>37</v>
      </c>
      <c r="I882" s="4" t="s">
        <v>38</v>
      </c>
      <c r="J882" s="4" t="s">
        <v>28</v>
      </c>
      <c r="K882" s="4" t="s">
        <v>28</v>
      </c>
      <c r="L882" s="4" t="s">
        <v>27</v>
      </c>
      <c r="M882" s="4" t="s">
        <v>34</v>
      </c>
      <c r="N882" s="4" t="s">
        <v>28</v>
      </c>
    </row>
    <row r="883" spans="1:14" ht="14.4" thickBot="1" x14ac:dyDescent="0.35">
      <c r="A883" s="4" t="s">
        <v>19</v>
      </c>
      <c r="B883" s="4" t="s">
        <v>666</v>
      </c>
      <c r="C883" s="4" t="s">
        <v>667</v>
      </c>
      <c r="D883" s="4" t="s">
        <v>668</v>
      </c>
      <c r="E883" s="4" t="s">
        <v>254</v>
      </c>
      <c r="F883" s="4" t="s">
        <v>2314</v>
      </c>
      <c r="G883" s="4" t="s">
        <v>2315</v>
      </c>
      <c r="H883" s="4" t="s">
        <v>37</v>
      </c>
      <c r="I883" s="4" t="s">
        <v>38</v>
      </c>
      <c r="J883" s="4" t="s">
        <v>28</v>
      </c>
      <c r="K883" s="4" t="s">
        <v>28</v>
      </c>
      <c r="L883" s="4" t="s">
        <v>27</v>
      </c>
      <c r="M883" s="4" t="s">
        <v>34</v>
      </c>
      <c r="N883" s="4" t="s">
        <v>28</v>
      </c>
    </row>
    <row r="884" spans="1:14" ht="14.4" thickBot="1" x14ac:dyDescent="0.35">
      <c r="A884" s="4" t="s">
        <v>19</v>
      </c>
      <c r="B884" s="4" t="s">
        <v>666</v>
      </c>
      <c r="C884" s="4" t="s">
        <v>667</v>
      </c>
      <c r="D884" s="4" t="s">
        <v>668</v>
      </c>
      <c r="E884" s="4" t="s">
        <v>254</v>
      </c>
      <c r="F884" s="4" t="s">
        <v>2316</v>
      </c>
      <c r="G884" s="4" t="s">
        <v>2317</v>
      </c>
      <c r="H884" s="4" t="s">
        <v>26</v>
      </c>
      <c r="I884" s="4" t="s">
        <v>33</v>
      </c>
      <c r="J884" s="4" t="s">
        <v>27</v>
      </c>
      <c r="K884" s="4" t="s">
        <v>28</v>
      </c>
      <c r="L884" s="4" t="s">
        <v>28</v>
      </c>
      <c r="M884" s="4" t="s">
        <v>34</v>
      </c>
      <c r="N884" s="4" t="s">
        <v>28</v>
      </c>
    </row>
    <row r="885" spans="1:14" ht="14.4" thickBot="1" x14ac:dyDescent="0.35">
      <c r="A885" s="4" t="s">
        <v>19</v>
      </c>
      <c r="B885" s="4" t="s">
        <v>666</v>
      </c>
      <c r="C885" s="4" t="s">
        <v>667</v>
      </c>
      <c r="D885" s="4" t="s">
        <v>668</v>
      </c>
      <c r="E885" s="4" t="s">
        <v>254</v>
      </c>
      <c r="F885" s="4" t="s">
        <v>2318</v>
      </c>
      <c r="G885" s="4" t="s">
        <v>659</v>
      </c>
      <c r="H885" s="4" t="s">
        <v>26</v>
      </c>
      <c r="I885" s="4" t="s">
        <v>33</v>
      </c>
      <c r="J885" s="4" t="s">
        <v>27</v>
      </c>
      <c r="K885" s="4" t="s">
        <v>28</v>
      </c>
      <c r="L885" s="4" t="s">
        <v>28</v>
      </c>
      <c r="M885" s="4" t="s">
        <v>34</v>
      </c>
      <c r="N885" s="4" t="s">
        <v>28</v>
      </c>
    </row>
    <row r="886" spans="1:14" ht="14.4" thickBot="1" x14ac:dyDescent="0.35">
      <c r="A886" s="4" t="s">
        <v>19</v>
      </c>
      <c r="B886" s="4" t="s">
        <v>666</v>
      </c>
      <c r="C886" s="4" t="s">
        <v>667</v>
      </c>
      <c r="D886" s="4" t="s">
        <v>668</v>
      </c>
      <c r="E886" s="4" t="s">
        <v>254</v>
      </c>
      <c r="F886" s="4" t="s">
        <v>2319</v>
      </c>
      <c r="G886" s="4" t="s">
        <v>2320</v>
      </c>
      <c r="H886" s="4" t="s">
        <v>26</v>
      </c>
      <c r="I886" s="4" t="s">
        <v>33</v>
      </c>
      <c r="J886" s="4" t="s">
        <v>27</v>
      </c>
      <c r="K886" s="4" t="s">
        <v>28</v>
      </c>
      <c r="L886" s="4" t="s">
        <v>28</v>
      </c>
      <c r="M886" s="4" t="s">
        <v>34</v>
      </c>
      <c r="N886" s="4" t="s">
        <v>28</v>
      </c>
    </row>
    <row r="887" spans="1:14" ht="14.4" thickBot="1" x14ac:dyDescent="0.35">
      <c r="A887" s="4" t="s">
        <v>19</v>
      </c>
      <c r="B887" s="4" t="s">
        <v>666</v>
      </c>
      <c r="C887" s="4" t="s">
        <v>667</v>
      </c>
      <c r="D887" s="4" t="s">
        <v>668</v>
      </c>
      <c r="E887" s="4" t="s">
        <v>254</v>
      </c>
      <c r="F887" s="4" t="s">
        <v>2321</v>
      </c>
      <c r="G887" s="4" t="s">
        <v>2322</v>
      </c>
      <c r="H887" s="4" t="s">
        <v>69</v>
      </c>
      <c r="I887" s="4" t="s">
        <v>94</v>
      </c>
      <c r="J887" s="4" t="s">
        <v>28</v>
      </c>
      <c r="K887" s="4" t="s">
        <v>27</v>
      </c>
      <c r="L887" s="4" t="s">
        <v>28</v>
      </c>
      <c r="M887" s="4" t="s">
        <v>34</v>
      </c>
      <c r="N887" s="4" t="s">
        <v>28</v>
      </c>
    </row>
    <row r="888" spans="1:14" ht="14.4" thickBot="1" x14ac:dyDescent="0.35">
      <c r="A888" s="4" t="s">
        <v>19</v>
      </c>
      <c r="B888" s="4" t="s">
        <v>666</v>
      </c>
      <c r="C888" s="4" t="s">
        <v>667</v>
      </c>
      <c r="D888" s="4" t="s">
        <v>668</v>
      </c>
      <c r="E888" s="4" t="s">
        <v>254</v>
      </c>
      <c r="F888" s="4" t="s">
        <v>2323</v>
      </c>
      <c r="G888" s="4" t="s">
        <v>2324</v>
      </c>
      <c r="H888" s="4" t="s">
        <v>26</v>
      </c>
      <c r="I888" s="4" t="s">
        <v>33</v>
      </c>
      <c r="J888" s="4" t="s">
        <v>27</v>
      </c>
      <c r="K888" s="4" t="s">
        <v>28</v>
      </c>
      <c r="L888" s="4" t="s">
        <v>28</v>
      </c>
      <c r="M888" s="4" t="s">
        <v>34</v>
      </c>
      <c r="N888" s="4" t="s">
        <v>28</v>
      </c>
    </row>
    <row r="889" spans="1:14" ht="14.4" thickBot="1" x14ac:dyDescent="0.35">
      <c r="A889" s="4" t="s">
        <v>19</v>
      </c>
      <c r="B889" s="4" t="s">
        <v>666</v>
      </c>
      <c r="C889" s="4" t="s">
        <v>667</v>
      </c>
      <c r="D889" s="4" t="s">
        <v>668</v>
      </c>
      <c r="E889" s="4" t="s">
        <v>254</v>
      </c>
      <c r="F889" s="4" t="s">
        <v>2325</v>
      </c>
      <c r="G889" s="4" t="s">
        <v>2326</v>
      </c>
      <c r="H889" s="4" t="s">
        <v>135</v>
      </c>
      <c r="I889" s="4" t="s">
        <v>33</v>
      </c>
      <c r="J889" s="4" t="s">
        <v>27</v>
      </c>
      <c r="K889" s="4" t="s">
        <v>28</v>
      </c>
      <c r="L889" s="4" t="s">
        <v>28</v>
      </c>
      <c r="M889" s="4" t="s">
        <v>34</v>
      </c>
      <c r="N889" s="4" t="s">
        <v>28</v>
      </c>
    </row>
    <row r="890" spans="1:14" ht="14.4" thickBot="1" x14ac:dyDescent="0.35">
      <c r="A890" s="4" t="s">
        <v>19</v>
      </c>
      <c r="B890" s="4" t="s">
        <v>666</v>
      </c>
      <c r="C890" s="4" t="s">
        <v>667</v>
      </c>
      <c r="D890" s="4" t="s">
        <v>668</v>
      </c>
      <c r="E890" s="4" t="s">
        <v>254</v>
      </c>
      <c r="F890" s="4" t="s">
        <v>2327</v>
      </c>
      <c r="G890" s="4" t="s">
        <v>2328</v>
      </c>
      <c r="H890" s="4" t="s">
        <v>26</v>
      </c>
      <c r="I890" s="4" t="s">
        <v>33</v>
      </c>
      <c r="J890" s="4" t="s">
        <v>27</v>
      </c>
      <c r="K890" s="4" t="s">
        <v>28</v>
      </c>
      <c r="L890" s="4" t="s">
        <v>28</v>
      </c>
      <c r="M890" s="4" t="s">
        <v>34</v>
      </c>
      <c r="N890" s="4" t="s">
        <v>27</v>
      </c>
    </row>
    <row r="891" spans="1:14" ht="14.4" thickBot="1" x14ac:dyDescent="0.35">
      <c r="A891" s="4" t="s">
        <v>19</v>
      </c>
      <c r="B891" s="4" t="s">
        <v>666</v>
      </c>
      <c r="C891" s="4" t="s">
        <v>667</v>
      </c>
      <c r="D891" s="4" t="s">
        <v>668</v>
      </c>
      <c r="E891" s="4" t="s">
        <v>254</v>
      </c>
      <c r="F891" s="4" t="s">
        <v>2435</v>
      </c>
      <c r="G891" s="4" t="s">
        <v>2436</v>
      </c>
      <c r="H891" s="4" t="s">
        <v>26</v>
      </c>
      <c r="I891" s="4" t="s">
        <v>26</v>
      </c>
      <c r="J891" s="4" t="s">
        <v>27</v>
      </c>
      <c r="K891" s="4" t="s">
        <v>28</v>
      </c>
      <c r="L891" s="4" t="s">
        <v>28</v>
      </c>
      <c r="M891" s="4" t="s">
        <v>29</v>
      </c>
      <c r="N891" s="4" t="s">
        <v>28</v>
      </c>
    </row>
    <row r="892" spans="1:14" ht="14.4" thickBot="1" x14ac:dyDescent="0.35">
      <c r="A892" s="4" t="s">
        <v>19</v>
      </c>
      <c r="B892" s="4" t="s">
        <v>666</v>
      </c>
      <c r="C892" s="4" t="s">
        <v>667</v>
      </c>
      <c r="D892" s="4" t="s">
        <v>668</v>
      </c>
      <c r="E892" s="4" t="s">
        <v>254</v>
      </c>
      <c r="F892" s="4" t="s">
        <v>2437</v>
      </c>
      <c r="G892" s="4" t="s">
        <v>2438</v>
      </c>
      <c r="H892" s="4" t="s">
        <v>26</v>
      </c>
      <c r="I892" s="4" t="s">
        <v>38</v>
      </c>
      <c r="J892" s="4" t="s">
        <v>28</v>
      </c>
      <c r="K892" s="4" t="s">
        <v>28</v>
      </c>
      <c r="L892" s="4" t="s">
        <v>27</v>
      </c>
      <c r="M892" s="4" t="s">
        <v>29</v>
      </c>
      <c r="N892" s="4" t="s">
        <v>28</v>
      </c>
    </row>
    <row r="893" spans="1:14" ht="14.4" thickBot="1" x14ac:dyDescent="0.35">
      <c r="A893" s="4" t="s">
        <v>19</v>
      </c>
      <c r="B893" s="4" t="s">
        <v>666</v>
      </c>
      <c r="C893" s="4" t="s">
        <v>667</v>
      </c>
      <c r="D893" s="4" t="s">
        <v>668</v>
      </c>
      <c r="E893" s="4" t="s">
        <v>254</v>
      </c>
      <c r="F893" s="4" t="s">
        <v>2439</v>
      </c>
      <c r="G893" s="4" t="s">
        <v>2440</v>
      </c>
      <c r="H893" s="4" t="s">
        <v>26</v>
      </c>
      <c r="I893" s="4" t="s">
        <v>94</v>
      </c>
      <c r="J893" s="5"/>
      <c r="K893" s="5"/>
      <c r="L893" s="5"/>
      <c r="M893" s="4" t="s">
        <v>29</v>
      </c>
      <c r="N893" s="5"/>
    </row>
    <row r="894" spans="1:14" ht="14.4" thickBot="1" x14ac:dyDescent="0.35">
      <c r="A894" s="4" t="s">
        <v>19</v>
      </c>
      <c r="B894" s="4" t="s">
        <v>666</v>
      </c>
      <c r="C894" s="4" t="s">
        <v>667</v>
      </c>
      <c r="D894" s="4" t="s">
        <v>668</v>
      </c>
      <c r="E894" s="4" t="s">
        <v>254</v>
      </c>
      <c r="F894" s="4" t="s">
        <v>2441</v>
      </c>
      <c r="G894" s="4" t="s">
        <v>2442</v>
      </c>
      <c r="H894" s="4" t="s">
        <v>26</v>
      </c>
      <c r="I894" s="4" t="s">
        <v>26</v>
      </c>
      <c r="J894" s="5"/>
      <c r="K894" s="5"/>
      <c r="L894" s="5"/>
      <c r="M894" s="4" t="s">
        <v>130</v>
      </c>
      <c r="N894" s="5"/>
    </row>
    <row r="895" spans="1:14" ht="14.4" thickBot="1" x14ac:dyDescent="0.35">
      <c r="A895" s="4" t="s">
        <v>19</v>
      </c>
      <c r="B895" s="4" t="s">
        <v>666</v>
      </c>
      <c r="C895" s="4" t="s">
        <v>667</v>
      </c>
      <c r="D895" s="4" t="s">
        <v>668</v>
      </c>
      <c r="E895" s="4" t="s">
        <v>254</v>
      </c>
      <c r="F895" s="4" t="s">
        <v>2443</v>
      </c>
      <c r="G895" s="4" t="s">
        <v>2444</v>
      </c>
      <c r="H895" s="4" t="s">
        <v>26</v>
      </c>
      <c r="I895" s="4" t="s">
        <v>26</v>
      </c>
      <c r="J895" s="5"/>
      <c r="K895" s="5"/>
      <c r="L895" s="5"/>
      <c r="M895" s="4" t="s">
        <v>130</v>
      </c>
      <c r="N895" s="5"/>
    </row>
    <row r="896" spans="1:14" ht="14.4" thickBot="1" x14ac:dyDescent="0.35">
      <c r="A896" s="4" t="s">
        <v>19</v>
      </c>
      <c r="B896" s="4" t="s">
        <v>666</v>
      </c>
      <c r="C896" s="4" t="s">
        <v>667</v>
      </c>
      <c r="D896" s="4" t="s">
        <v>668</v>
      </c>
      <c r="E896" s="4" t="s">
        <v>254</v>
      </c>
      <c r="F896" s="4" t="s">
        <v>2445</v>
      </c>
      <c r="G896" s="4" t="s">
        <v>2446</v>
      </c>
      <c r="H896" s="4" t="s">
        <v>26</v>
      </c>
      <c r="I896" s="4" t="s">
        <v>26</v>
      </c>
      <c r="J896" s="5"/>
      <c r="K896" s="5"/>
      <c r="L896" s="5"/>
      <c r="M896" s="4" t="s">
        <v>130</v>
      </c>
      <c r="N896" s="5"/>
    </row>
    <row r="897" spans="1:14" ht="14.4" thickBot="1" x14ac:dyDescent="0.35">
      <c r="A897" s="4" t="s">
        <v>19</v>
      </c>
      <c r="B897" s="4" t="s">
        <v>666</v>
      </c>
      <c r="C897" s="4" t="s">
        <v>667</v>
      </c>
      <c r="D897" s="4" t="s">
        <v>668</v>
      </c>
      <c r="E897" s="4" t="s">
        <v>254</v>
      </c>
      <c r="F897" s="4" t="s">
        <v>2447</v>
      </c>
      <c r="G897" s="4" t="s">
        <v>2448</v>
      </c>
      <c r="H897" s="4" t="s">
        <v>26</v>
      </c>
      <c r="I897" s="4" t="s">
        <v>26</v>
      </c>
      <c r="J897" s="4" t="s">
        <v>27</v>
      </c>
      <c r="K897" s="4" t="s">
        <v>28</v>
      </c>
      <c r="L897" s="4" t="s">
        <v>28</v>
      </c>
      <c r="M897" s="4" t="s">
        <v>130</v>
      </c>
      <c r="N897" s="5"/>
    </row>
    <row r="898" spans="1:14" ht="14.4" thickBot="1" x14ac:dyDescent="0.35">
      <c r="A898" s="4" t="s">
        <v>19</v>
      </c>
      <c r="B898" s="4" t="s">
        <v>666</v>
      </c>
      <c r="C898" s="4" t="s">
        <v>667</v>
      </c>
      <c r="D898" s="4" t="s">
        <v>668</v>
      </c>
      <c r="E898" s="4" t="s">
        <v>254</v>
      </c>
      <c r="F898" s="4" t="s">
        <v>2449</v>
      </c>
      <c r="G898" s="4" t="s">
        <v>2450</v>
      </c>
      <c r="H898" s="4" t="s">
        <v>26</v>
      </c>
      <c r="I898" s="4" t="s">
        <v>94</v>
      </c>
      <c r="J898" s="4" t="s">
        <v>27</v>
      </c>
      <c r="K898" s="4" t="s">
        <v>28</v>
      </c>
      <c r="L898" s="4" t="s">
        <v>28</v>
      </c>
      <c r="M898" s="4" t="s">
        <v>29</v>
      </c>
      <c r="N898" s="4" t="s">
        <v>28</v>
      </c>
    </row>
    <row r="899" spans="1:14" ht="14.4" thickBot="1" x14ac:dyDescent="0.35">
      <c r="A899" s="4" t="s">
        <v>19</v>
      </c>
      <c r="B899" s="4" t="s">
        <v>666</v>
      </c>
      <c r="C899" s="4" t="s">
        <v>667</v>
      </c>
      <c r="D899" s="4" t="s">
        <v>668</v>
      </c>
      <c r="E899" s="4" t="s">
        <v>254</v>
      </c>
      <c r="F899" s="4" t="s">
        <v>2451</v>
      </c>
      <c r="G899" s="4" t="s">
        <v>2452</v>
      </c>
      <c r="H899" s="4" t="s">
        <v>26</v>
      </c>
      <c r="I899" s="4" t="s">
        <v>26</v>
      </c>
      <c r="J899" s="4" t="s">
        <v>27</v>
      </c>
      <c r="K899" s="4" t="s">
        <v>28</v>
      </c>
      <c r="L899" s="4" t="s">
        <v>28</v>
      </c>
      <c r="M899" s="4" t="s">
        <v>130</v>
      </c>
      <c r="N899" s="5"/>
    </row>
    <row r="900" spans="1:14" ht="14.4" thickBot="1" x14ac:dyDescent="0.35">
      <c r="A900" s="4" t="s">
        <v>19</v>
      </c>
      <c r="B900" s="4" t="s">
        <v>666</v>
      </c>
      <c r="C900" s="4" t="s">
        <v>667</v>
      </c>
      <c r="D900" s="4" t="s">
        <v>668</v>
      </c>
      <c r="E900" s="4" t="s">
        <v>254</v>
      </c>
      <c r="F900" s="4" t="s">
        <v>2453</v>
      </c>
      <c r="G900" s="4" t="s">
        <v>2454</v>
      </c>
      <c r="H900" s="4" t="s">
        <v>26</v>
      </c>
      <c r="I900" s="4" t="s">
        <v>26</v>
      </c>
      <c r="J900" s="5"/>
      <c r="K900" s="5"/>
      <c r="L900" s="5"/>
      <c r="M900" s="4" t="s">
        <v>130</v>
      </c>
      <c r="N900" s="5"/>
    </row>
    <row r="901" spans="1:14" ht="14.4" thickBot="1" x14ac:dyDescent="0.35">
      <c r="A901" s="4" t="s">
        <v>19</v>
      </c>
      <c r="B901" s="4" t="s">
        <v>666</v>
      </c>
      <c r="C901" s="4" t="s">
        <v>667</v>
      </c>
      <c r="D901" s="4" t="s">
        <v>668</v>
      </c>
      <c r="E901" s="4" t="s">
        <v>254</v>
      </c>
      <c r="F901" s="4" t="s">
        <v>2455</v>
      </c>
      <c r="G901" s="4" t="s">
        <v>2456</v>
      </c>
      <c r="H901" s="4" t="s">
        <v>26</v>
      </c>
      <c r="I901" s="4" t="s">
        <v>94</v>
      </c>
      <c r="J901" s="5"/>
      <c r="K901" s="5"/>
      <c r="L901" s="5"/>
      <c r="M901" s="4" t="s">
        <v>29</v>
      </c>
      <c r="N901" s="5"/>
    </row>
    <row r="902" spans="1:14" ht="14.4" thickBot="1" x14ac:dyDescent="0.35">
      <c r="A902" s="4" t="s">
        <v>19</v>
      </c>
      <c r="B902" s="4" t="s">
        <v>666</v>
      </c>
      <c r="C902" s="4" t="s">
        <v>667</v>
      </c>
      <c r="D902" s="4" t="s">
        <v>668</v>
      </c>
      <c r="E902" s="4" t="s">
        <v>254</v>
      </c>
      <c r="F902" s="4" t="s">
        <v>2457</v>
      </c>
      <c r="G902" s="4" t="s">
        <v>2458</v>
      </c>
      <c r="H902" s="4" t="s">
        <v>26</v>
      </c>
      <c r="I902" s="4" t="s">
        <v>26</v>
      </c>
      <c r="J902" s="5"/>
      <c r="K902" s="5"/>
      <c r="L902" s="5"/>
      <c r="M902" s="4" t="s">
        <v>29</v>
      </c>
      <c r="N902" s="5"/>
    </row>
    <row r="903" spans="1:14" ht="14.4" thickBot="1" x14ac:dyDescent="0.35">
      <c r="A903" s="4" t="s">
        <v>19</v>
      </c>
      <c r="B903" s="4" t="s">
        <v>666</v>
      </c>
      <c r="C903" s="4" t="s">
        <v>667</v>
      </c>
      <c r="D903" s="4" t="s">
        <v>668</v>
      </c>
      <c r="E903" s="4" t="s">
        <v>254</v>
      </c>
      <c r="F903" s="4" t="s">
        <v>2459</v>
      </c>
      <c r="G903" s="4" t="s">
        <v>2460</v>
      </c>
      <c r="H903" s="4" t="s">
        <v>26</v>
      </c>
      <c r="I903" s="4" t="s">
        <v>94</v>
      </c>
      <c r="J903" s="5"/>
      <c r="K903" s="5"/>
      <c r="L903" s="5"/>
      <c r="M903" s="4" t="s">
        <v>29</v>
      </c>
      <c r="N903" s="5"/>
    </row>
    <row r="904" spans="1:14" ht="14.4" thickBot="1" x14ac:dyDescent="0.35">
      <c r="A904" s="4" t="s">
        <v>19</v>
      </c>
      <c r="B904" s="4" t="s">
        <v>666</v>
      </c>
      <c r="C904" s="4" t="s">
        <v>667</v>
      </c>
      <c r="D904" s="4" t="s">
        <v>668</v>
      </c>
      <c r="E904" s="4" t="s">
        <v>254</v>
      </c>
      <c r="F904" s="4" t="s">
        <v>2461</v>
      </c>
      <c r="G904" s="4" t="s">
        <v>635</v>
      </c>
      <c r="H904" s="4" t="s">
        <v>26</v>
      </c>
      <c r="I904" s="4" t="s">
        <v>135</v>
      </c>
      <c r="J904" s="5"/>
      <c r="K904" s="5"/>
      <c r="L904" s="5"/>
      <c r="M904" s="4" t="s">
        <v>29</v>
      </c>
      <c r="N904" s="5"/>
    </row>
    <row r="905" spans="1:14" ht="14.4" thickBot="1" x14ac:dyDescent="0.35">
      <c r="A905" s="4" t="s">
        <v>19</v>
      </c>
      <c r="B905" s="4" t="s">
        <v>666</v>
      </c>
      <c r="C905" s="4" t="s">
        <v>667</v>
      </c>
      <c r="D905" s="4" t="s">
        <v>668</v>
      </c>
      <c r="E905" s="4" t="s">
        <v>254</v>
      </c>
      <c r="F905" s="4" t="s">
        <v>2462</v>
      </c>
      <c r="G905" s="4" t="s">
        <v>2463</v>
      </c>
      <c r="H905" s="4" t="s">
        <v>26</v>
      </c>
      <c r="I905" s="4" t="s">
        <v>38</v>
      </c>
      <c r="J905" s="5"/>
      <c r="K905" s="5"/>
      <c r="L905" s="5"/>
      <c r="M905" s="4" t="s">
        <v>29</v>
      </c>
      <c r="N905" s="5"/>
    </row>
    <row r="906" spans="1:14" ht="14.4" thickBot="1" x14ac:dyDescent="0.35">
      <c r="A906" s="4" t="s">
        <v>19</v>
      </c>
      <c r="B906" s="4" t="s">
        <v>666</v>
      </c>
      <c r="C906" s="4" t="s">
        <v>667</v>
      </c>
      <c r="D906" s="4" t="s">
        <v>668</v>
      </c>
      <c r="E906" s="4" t="s">
        <v>254</v>
      </c>
      <c r="F906" s="4" t="s">
        <v>3051</v>
      </c>
      <c r="G906" s="4" t="s">
        <v>3052</v>
      </c>
      <c r="H906" s="4" t="s">
        <v>37</v>
      </c>
      <c r="I906" s="4" t="s">
        <v>38</v>
      </c>
      <c r="J906" s="4" t="s">
        <v>28</v>
      </c>
      <c r="K906" s="4" t="s">
        <v>28</v>
      </c>
      <c r="L906" s="4" t="s">
        <v>27</v>
      </c>
      <c r="M906" s="4" t="s">
        <v>34</v>
      </c>
      <c r="N906" s="4" t="s">
        <v>27</v>
      </c>
    </row>
    <row r="907" spans="1:14" ht="14.4" thickBot="1" x14ac:dyDescent="0.35">
      <c r="A907" s="4" t="s">
        <v>19</v>
      </c>
      <c r="B907" s="4" t="s">
        <v>666</v>
      </c>
      <c r="C907" s="4" t="s">
        <v>667</v>
      </c>
      <c r="D907" s="4" t="s">
        <v>668</v>
      </c>
      <c r="E907" s="4" t="s">
        <v>254</v>
      </c>
      <c r="F907" s="4" t="s">
        <v>3053</v>
      </c>
      <c r="G907" s="4" t="s">
        <v>3054</v>
      </c>
      <c r="H907" s="4" t="s">
        <v>37</v>
      </c>
      <c r="I907" s="4" t="s">
        <v>38</v>
      </c>
      <c r="J907" s="4" t="s">
        <v>28</v>
      </c>
      <c r="K907" s="4" t="s">
        <v>28</v>
      </c>
      <c r="L907" s="4" t="s">
        <v>27</v>
      </c>
      <c r="M907" s="4" t="s">
        <v>34</v>
      </c>
      <c r="N907" s="4" t="s">
        <v>27</v>
      </c>
    </row>
    <row r="908" spans="1:14" ht="14.4" thickBot="1" x14ac:dyDescent="0.35">
      <c r="A908" s="4" t="s">
        <v>19</v>
      </c>
      <c r="B908" s="4" t="s">
        <v>666</v>
      </c>
      <c r="C908" s="4" t="s">
        <v>667</v>
      </c>
      <c r="D908" s="4" t="s">
        <v>668</v>
      </c>
      <c r="E908" s="4" t="s">
        <v>254</v>
      </c>
      <c r="F908" s="4" t="s">
        <v>3055</v>
      </c>
      <c r="G908" s="4" t="s">
        <v>3056</v>
      </c>
      <c r="H908" s="4" t="s">
        <v>69</v>
      </c>
      <c r="I908" s="4" t="s">
        <v>94</v>
      </c>
      <c r="J908" s="4" t="s">
        <v>28</v>
      </c>
      <c r="K908" s="4" t="s">
        <v>27</v>
      </c>
      <c r="L908" s="4" t="s">
        <v>28</v>
      </c>
      <c r="M908" s="4" t="s">
        <v>34</v>
      </c>
      <c r="N908" s="4" t="s">
        <v>27</v>
      </c>
    </row>
    <row r="909" spans="1:14" ht="14.4" thickBot="1" x14ac:dyDescent="0.35">
      <c r="A909" s="4" t="s">
        <v>19</v>
      </c>
      <c r="B909" s="4" t="s">
        <v>666</v>
      </c>
      <c r="C909" s="4" t="s">
        <v>667</v>
      </c>
      <c r="D909" s="4" t="s">
        <v>668</v>
      </c>
      <c r="E909" s="4" t="s">
        <v>254</v>
      </c>
      <c r="F909" s="4" t="s">
        <v>3057</v>
      </c>
      <c r="G909" s="4" t="s">
        <v>3058</v>
      </c>
      <c r="H909" s="4" t="s">
        <v>69</v>
      </c>
      <c r="I909" s="4" t="s">
        <v>94</v>
      </c>
      <c r="J909" s="4" t="s">
        <v>28</v>
      </c>
      <c r="K909" s="4" t="s">
        <v>27</v>
      </c>
      <c r="L909" s="4" t="s">
        <v>28</v>
      </c>
      <c r="M909" s="4" t="s">
        <v>34</v>
      </c>
      <c r="N909" s="4" t="s">
        <v>28</v>
      </c>
    </row>
    <row r="910" spans="1:14" ht="14.4" thickBot="1" x14ac:dyDescent="0.35">
      <c r="A910" s="4" t="s">
        <v>19</v>
      </c>
      <c r="B910" s="4" t="s">
        <v>666</v>
      </c>
      <c r="C910" s="4" t="s">
        <v>667</v>
      </c>
      <c r="D910" s="4" t="s">
        <v>668</v>
      </c>
      <c r="E910" s="4" t="s">
        <v>254</v>
      </c>
      <c r="F910" s="4" t="s">
        <v>3059</v>
      </c>
      <c r="G910" s="4" t="s">
        <v>3060</v>
      </c>
      <c r="H910" s="4" t="s">
        <v>37</v>
      </c>
      <c r="I910" s="4" t="s">
        <v>38</v>
      </c>
      <c r="J910" s="4" t="s">
        <v>28</v>
      </c>
      <c r="K910" s="4" t="s">
        <v>28</v>
      </c>
      <c r="L910" s="4" t="s">
        <v>27</v>
      </c>
      <c r="M910" s="4" t="s">
        <v>34</v>
      </c>
      <c r="N910" s="4" t="s">
        <v>28</v>
      </c>
    </row>
    <row r="911" spans="1:14" ht="14.4" thickBot="1" x14ac:dyDescent="0.35">
      <c r="A911" s="4" t="s">
        <v>19</v>
      </c>
      <c r="B911" s="4" t="s">
        <v>666</v>
      </c>
      <c r="C911" s="4" t="s">
        <v>667</v>
      </c>
      <c r="D911" s="4" t="s">
        <v>668</v>
      </c>
      <c r="E911" s="4" t="s">
        <v>254</v>
      </c>
      <c r="F911" s="4" t="s">
        <v>3061</v>
      </c>
      <c r="G911" s="4" t="s">
        <v>3062</v>
      </c>
      <c r="H911" s="4" t="s">
        <v>26</v>
      </c>
      <c r="I911" s="4" t="s">
        <v>33</v>
      </c>
      <c r="J911" s="4" t="s">
        <v>27</v>
      </c>
      <c r="K911" s="4" t="s">
        <v>28</v>
      </c>
      <c r="L911" s="4" t="s">
        <v>28</v>
      </c>
      <c r="M911" s="4" t="s">
        <v>34</v>
      </c>
      <c r="N911" s="4" t="s">
        <v>27</v>
      </c>
    </row>
    <row r="912" spans="1:14" ht="14.4" thickBot="1" x14ac:dyDescent="0.35">
      <c r="A912" s="4" t="s">
        <v>19</v>
      </c>
      <c r="B912" s="4" t="s">
        <v>666</v>
      </c>
      <c r="C912" s="4" t="s">
        <v>667</v>
      </c>
      <c r="D912" s="4" t="s">
        <v>668</v>
      </c>
      <c r="E912" s="4" t="s">
        <v>254</v>
      </c>
      <c r="F912" s="4" t="s">
        <v>3063</v>
      </c>
      <c r="G912" s="4" t="s">
        <v>3064</v>
      </c>
      <c r="H912" s="4" t="s">
        <v>69</v>
      </c>
      <c r="I912" s="4" t="s">
        <v>94</v>
      </c>
      <c r="J912" s="4" t="s">
        <v>28</v>
      </c>
      <c r="K912" s="4" t="s">
        <v>27</v>
      </c>
      <c r="L912" s="4" t="s">
        <v>28</v>
      </c>
      <c r="M912" s="4" t="s">
        <v>34</v>
      </c>
      <c r="N912" s="4" t="s">
        <v>27</v>
      </c>
    </row>
    <row r="913" spans="1:14" ht="14.4" thickBot="1" x14ac:dyDescent="0.35">
      <c r="A913" s="4" t="s">
        <v>19</v>
      </c>
      <c r="B913" s="4" t="s">
        <v>666</v>
      </c>
      <c r="C913" s="4" t="s">
        <v>667</v>
      </c>
      <c r="D913" s="4" t="s">
        <v>668</v>
      </c>
      <c r="E913" s="4" t="s">
        <v>254</v>
      </c>
      <c r="F913" s="4" t="s">
        <v>3065</v>
      </c>
      <c r="G913" s="4" t="s">
        <v>3066</v>
      </c>
      <c r="H913" s="4" t="s">
        <v>26</v>
      </c>
      <c r="I913" s="4" t="s">
        <v>33</v>
      </c>
      <c r="J913" s="4" t="s">
        <v>27</v>
      </c>
      <c r="K913" s="4" t="s">
        <v>28</v>
      </c>
      <c r="L913" s="4" t="s">
        <v>28</v>
      </c>
      <c r="M913" s="4" t="s">
        <v>34</v>
      </c>
      <c r="N913" s="4" t="s">
        <v>28</v>
      </c>
    </row>
    <row r="914" spans="1:14" ht="14.4" thickBot="1" x14ac:dyDescent="0.35">
      <c r="A914" s="4" t="s">
        <v>19</v>
      </c>
      <c r="B914" s="4" t="s">
        <v>666</v>
      </c>
      <c r="C914" s="4" t="s">
        <v>667</v>
      </c>
      <c r="D914" s="4" t="s">
        <v>668</v>
      </c>
      <c r="E914" s="4" t="s">
        <v>254</v>
      </c>
      <c r="F914" s="4" t="s">
        <v>3067</v>
      </c>
      <c r="G914" s="4" t="s">
        <v>3068</v>
      </c>
      <c r="H914" s="4" t="s">
        <v>135</v>
      </c>
      <c r="I914" s="4" t="s">
        <v>33</v>
      </c>
      <c r="J914" s="4" t="s">
        <v>27</v>
      </c>
      <c r="K914" s="4" t="s">
        <v>28</v>
      </c>
      <c r="L914" s="4" t="s">
        <v>28</v>
      </c>
      <c r="M914" s="4" t="s">
        <v>34</v>
      </c>
      <c r="N914" s="4" t="s">
        <v>28</v>
      </c>
    </row>
    <row r="915" spans="1:14" ht="14.4" thickBot="1" x14ac:dyDescent="0.35">
      <c r="A915" s="4" t="s">
        <v>19</v>
      </c>
      <c r="B915" s="4" t="s">
        <v>666</v>
      </c>
      <c r="C915" s="4" t="s">
        <v>667</v>
      </c>
      <c r="D915" s="4" t="s">
        <v>668</v>
      </c>
      <c r="E915" s="4" t="s">
        <v>254</v>
      </c>
      <c r="F915" s="4" t="s">
        <v>3069</v>
      </c>
      <c r="G915" s="4" t="s">
        <v>3070</v>
      </c>
      <c r="H915" s="4" t="s">
        <v>158</v>
      </c>
      <c r="I915" s="4" t="s">
        <v>33</v>
      </c>
      <c r="J915" s="4" t="s">
        <v>27</v>
      </c>
      <c r="K915" s="4" t="s">
        <v>28</v>
      </c>
      <c r="L915" s="4" t="s">
        <v>28</v>
      </c>
      <c r="M915" s="4" t="s">
        <v>34</v>
      </c>
      <c r="N915" s="4" t="s">
        <v>28</v>
      </c>
    </row>
    <row r="916" spans="1:14" ht="14.4" thickBot="1" x14ac:dyDescent="0.35">
      <c r="A916" s="4" t="s">
        <v>19</v>
      </c>
      <c r="B916" s="4" t="s">
        <v>666</v>
      </c>
      <c r="C916" s="4" t="s">
        <v>667</v>
      </c>
      <c r="D916" s="4" t="s">
        <v>668</v>
      </c>
      <c r="E916" s="4" t="s">
        <v>254</v>
      </c>
      <c r="F916" s="4" t="s">
        <v>3071</v>
      </c>
      <c r="G916" s="4" t="s">
        <v>3072</v>
      </c>
      <c r="H916" s="4" t="s">
        <v>26</v>
      </c>
      <c r="I916" s="4" t="s">
        <v>33</v>
      </c>
      <c r="J916" s="4" t="s">
        <v>27</v>
      </c>
      <c r="K916" s="4" t="s">
        <v>28</v>
      </c>
      <c r="L916" s="4" t="s">
        <v>28</v>
      </c>
      <c r="M916" s="4" t="s">
        <v>34</v>
      </c>
      <c r="N916" s="4" t="s">
        <v>28</v>
      </c>
    </row>
    <row r="917" spans="1:14" ht="14.4" thickBot="1" x14ac:dyDescent="0.35">
      <c r="A917" s="4" t="s">
        <v>19</v>
      </c>
      <c r="B917" s="4" t="s">
        <v>666</v>
      </c>
      <c r="C917" s="4" t="s">
        <v>667</v>
      </c>
      <c r="D917" s="4" t="s">
        <v>668</v>
      </c>
      <c r="E917" s="4" t="s">
        <v>254</v>
      </c>
      <c r="F917" s="4" t="s">
        <v>3073</v>
      </c>
      <c r="G917" s="4" t="s">
        <v>3074</v>
      </c>
      <c r="H917" s="4" t="s">
        <v>26</v>
      </c>
      <c r="I917" s="4" t="s">
        <v>33</v>
      </c>
      <c r="J917" s="4" t="s">
        <v>27</v>
      </c>
      <c r="K917" s="4" t="s">
        <v>28</v>
      </c>
      <c r="L917" s="4" t="s">
        <v>28</v>
      </c>
      <c r="M917" s="4" t="s">
        <v>34</v>
      </c>
      <c r="N917" s="4" t="s">
        <v>28</v>
      </c>
    </row>
    <row r="918" spans="1:14" ht="14.4" thickBot="1" x14ac:dyDescent="0.35">
      <c r="A918" s="4" t="s">
        <v>19</v>
      </c>
      <c r="B918" s="4" t="s">
        <v>666</v>
      </c>
      <c r="C918" s="4" t="s">
        <v>667</v>
      </c>
      <c r="D918" s="4" t="s">
        <v>668</v>
      </c>
      <c r="E918" s="4" t="s">
        <v>254</v>
      </c>
      <c r="F918" s="4" t="s">
        <v>3075</v>
      </c>
      <c r="G918" s="4" t="s">
        <v>3076</v>
      </c>
      <c r="H918" s="4" t="s">
        <v>26</v>
      </c>
      <c r="I918" s="4" t="s">
        <v>94</v>
      </c>
      <c r="J918" s="4" t="s">
        <v>27</v>
      </c>
      <c r="K918" s="4" t="s">
        <v>28</v>
      </c>
      <c r="L918" s="4" t="s">
        <v>28</v>
      </c>
      <c r="M918" s="4" t="s">
        <v>34</v>
      </c>
      <c r="N918" s="4" t="s">
        <v>28</v>
      </c>
    </row>
    <row r="919" spans="1:14" ht="14.4" thickBot="1" x14ac:dyDescent="0.35">
      <c r="A919" s="4" t="s">
        <v>19</v>
      </c>
      <c r="B919" s="4" t="s">
        <v>666</v>
      </c>
      <c r="C919" s="4" t="s">
        <v>667</v>
      </c>
      <c r="D919" s="4" t="s">
        <v>668</v>
      </c>
      <c r="E919" s="4" t="s">
        <v>254</v>
      </c>
      <c r="F919" s="4" t="s">
        <v>3077</v>
      </c>
      <c r="G919" s="4" t="s">
        <v>3078</v>
      </c>
      <c r="H919" s="4" t="s">
        <v>69</v>
      </c>
      <c r="I919" s="4" t="s">
        <v>38</v>
      </c>
      <c r="J919" s="4" t="s">
        <v>28</v>
      </c>
      <c r="K919" s="4" t="s">
        <v>28</v>
      </c>
      <c r="L919" s="4" t="s">
        <v>27</v>
      </c>
      <c r="M919" s="4" t="s">
        <v>34</v>
      </c>
      <c r="N919" s="4" t="s">
        <v>28</v>
      </c>
    </row>
    <row r="920" spans="1:14" ht="14.4" thickBot="1" x14ac:dyDescent="0.35">
      <c r="A920" s="4" t="s">
        <v>19</v>
      </c>
      <c r="B920" s="4" t="s">
        <v>666</v>
      </c>
      <c r="C920" s="4" t="s">
        <v>667</v>
      </c>
      <c r="D920" s="4" t="s">
        <v>668</v>
      </c>
      <c r="E920" s="4" t="s">
        <v>254</v>
      </c>
      <c r="F920" s="4" t="s">
        <v>3079</v>
      </c>
      <c r="G920" s="4" t="s">
        <v>3080</v>
      </c>
      <c r="H920" s="4" t="s">
        <v>26</v>
      </c>
      <c r="I920" s="4" t="s">
        <v>94</v>
      </c>
      <c r="J920" s="4" t="s">
        <v>27</v>
      </c>
      <c r="K920" s="4" t="s">
        <v>28</v>
      </c>
      <c r="L920" s="4" t="s">
        <v>28</v>
      </c>
      <c r="M920" s="4" t="s">
        <v>34</v>
      </c>
      <c r="N920" s="4" t="s">
        <v>28</v>
      </c>
    </row>
    <row r="921" spans="1:14" ht="14.4" thickBot="1" x14ac:dyDescent="0.35">
      <c r="A921" s="4" t="s">
        <v>19</v>
      </c>
      <c r="B921" s="4" t="s">
        <v>666</v>
      </c>
      <c r="C921" s="4" t="s">
        <v>667</v>
      </c>
      <c r="D921" s="4" t="s">
        <v>668</v>
      </c>
      <c r="E921" s="4" t="s">
        <v>254</v>
      </c>
      <c r="F921" s="4" t="s">
        <v>3081</v>
      </c>
      <c r="G921" s="4" t="s">
        <v>1675</v>
      </c>
      <c r="H921" s="4" t="s">
        <v>26</v>
      </c>
      <c r="I921" s="4" t="s">
        <v>69</v>
      </c>
      <c r="J921" s="4" t="s">
        <v>27</v>
      </c>
      <c r="K921" s="4" t="s">
        <v>28</v>
      </c>
      <c r="L921" s="4" t="s">
        <v>28</v>
      </c>
      <c r="M921" s="4" t="s">
        <v>34</v>
      </c>
      <c r="N921" s="4" t="s">
        <v>28</v>
      </c>
    </row>
    <row r="922" spans="1:14" ht="14.4" thickBot="1" x14ac:dyDescent="0.35">
      <c r="A922" s="4" t="s">
        <v>19</v>
      </c>
      <c r="B922" s="4" t="s">
        <v>666</v>
      </c>
      <c r="C922" s="4" t="s">
        <v>667</v>
      </c>
      <c r="D922" s="4" t="s">
        <v>668</v>
      </c>
      <c r="E922" s="4" t="s">
        <v>254</v>
      </c>
      <c r="F922" s="4" t="s">
        <v>3082</v>
      </c>
      <c r="G922" s="4" t="s">
        <v>3083</v>
      </c>
      <c r="H922" s="4" t="s">
        <v>37</v>
      </c>
      <c r="I922" s="4" t="s">
        <v>38</v>
      </c>
      <c r="J922" s="4" t="s">
        <v>28</v>
      </c>
      <c r="K922" s="4" t="s">
        <v>28</v>
      </c>
      <c r="L922" s="4" t="s">
        <v>27</v>
      </c>
      <c r="M922" s="4" t="s">
        <v>34</v>
      </c>
      <c r="N922" s="4" t="s">
        <v>27</v>
      </c>
    </row>
    <row r="923" spans="1:14" ht="14.4" thickBot="1" x14ac:dyDescent="0.35">
      <c r="A923" s="4" t="s">
        <v>19</v>
      </c>
      <c r="B923" s="4" t="s">
        <v>666</v>
      </c>
      <c r="C923" s="4" t="s">
        <v>667</v>
      </c>
      <c r="D923" s="4" t="s">
        <v>668</v>
      </c>
      <c r="E923" s="4" t="s">
        <v>254</v>
      </c>
      <c r="F923" s="4" t="s">
        <v>3084</v>
      </c>
      <c r="G923" s="4" t="s">
        <v>3085</v>
      </c>
      <c r="H923" s="4" t="s">
        <v>26</v>
      </c>
      <c r="I923" s="4" t="s">
        <v>33</v>
      </c>
      <c r="J923" s="4" t="s">
        <v>27</v>
      </c>
      <c r="K923" s="4" t="s">
        <v>28</v>
      </c>
      <c r="L923" s="4" t="s">
        <v>28</v>
      </c>
      <c r="M923" s="4" t="s">
        <v>34</v>
      </c>
      <c r="N923" s="4" t="s">
        <v>28</v>
      </c>
    </row>
    <row r="924" spans="1:14" ht="14.4" thickBot="1" x14ac:dyDescent="0.35">
      <c r="A924" s="4" t="s">
        <v>19</v>
      </c>
      <c r="B924" s="4" t="s">
        <v>666</v>
      </c>
      <c r="C924" s="4" t="s">
        <v>667</v>
      </c>
      <c r="D924" s="4" t="s">
        <v>668</v>
      </c>
      <c r="E924" s="4" t="s">
        <v>254</v>
      </c>
      <c r="F924" s="4" t="s">
        <v>3086</v>
      </c>
      <c r="G924" s="4" t="s">
        <v>3087</v>
      </c>
      <c r="H924" s="4" t="s">
        <v>26</v>
      </c>
      <c r="I924" s="4" t="s">
        <v>33</v>
      </c>
      <c r="J924" s="4" t="s">
        <v>27</v>
      </c>
      <c r="K924" s="4" t="s">
        <v>28</v>
      </c>
      <c r="L924" s="4" t="s">
        <v>28</v>
      </c>
      <c r="M924" s="4" t="s">
        <v>34</v>
      </c>
      <c r="N924" s="4" t="s">
        <v>28</v>
      </c>
    </row>
    <row r="925" spans="1:14" ht="14.4" thickBot="1" x14ac:dyDescent="0.35">
      <c r="A925" s="4" t="s">
        <v>19</v>
      </c>
      <c r="B925" s="4" t="s">
        <v>666</v>
      </c>
      <c r="C925" s="4" t="s">
        <v>667</v>
      </c>
      <c r="D925" s="4" t="s">
        <v>668</v>
      </c>
      <c r="E925" s="4" t="s">
        <v>254</v>
      </c>
      <c r="F925" s="4" t="s">
        <v>3088</v>
      </c>
      <c r="G925" s="4" t="s">
        <v>3089</v>
      </c>
      <c r="H925" s="4" t="s">
        <v>26</v>
      </c>
      <c r="I925" s="4" t="s">
        <v>33</v>
      </c>
      <c r="J925" s="4" t="s">
        <v>27</v>
      </c>
      <c r="K925" s="4" t="s">
        <v>28</v>
      </c>
      <c r="L925" s="4" t="s">
        <v>28</v>
      </c>
      <c r="M925" s="4" t="s">
        <v>34</v>
      </c>
      <c r="N925" s="4" t="s">
        <v>28</v>
      </c>
    </row>
    <row r="926" spans="1:14" ht="14.4" thickBot="1" x14ac:dyDescent="0.35">
      <c r="A926" s="4" t="s">
        <v>19</v>
      </c>
      <c r="B926" s="4" t="s">
        <v>666</v>
      </c>
      <c r="C926" s="4" t="s">
        <v>667</v>
      </c>
      <c r="D926" s="4" t="s">
        <v>668</v>
      </c>
      <c r="E926" s="4" t="s">
        <v>254</v>
      </c>
      <c r="F926" s="4" t="s">
        <v>3090</v>
      </c>
      <c r="G926" s="4" t="s">
        <v>3091</v>
      </c>
      <c r="H926" s="4" t="s">
        <v>26</v>
      </c>
      <c r="I926" s="4" t="s">
        <v>33</v>
      </c>
      <c r="J926" s="4" t="s">
        <v>27</v>
      </c>
      <c r="K926" s="4" t="s">
        <v>28</v>
      </c>
      <c r="L926" s="4" t="s">
        <v>28</v>
      </c>
      <c r="M926" s="4" t="s">
        <v>34</v>
      </c>
      <c r="N926" s="4" t="s">
        <v>28</v>
      </c>
    </row>
    <row r="927" spans="1:14" ht="14.4" thickBot="1" x14ac:dyDescent="0.35">
      <c r="A927" s="4" t="s">
        <v>19</v>
      </c>
      <c r="B927" s="4" t="s">
        <v>666</v>
      </c>
      <c r="C927" s="4" t="s">
        <v>667</v>
      </c>
      <c r="D927" s="4" t="s">
        <v>668</v>
      </c>
      <c r="E927" s="4" t="s">
        <v>254</v>
      </c>
      <c r="F927" s="4" t="s">
        <v>3092</v>
      </c>
      <c r="G927" s="4" t="s">
        <v>3093</v>
      </c>
      <c r="H927" s="4" t="s">
        <v>26</v>
      </c>
      <c r="I927" s="4" t="s">
        <v>33</v>
      </c>
      <c r="J927" s="4" t="s">
        <v>27</v>
      </c>
      <c r="K927" s="4" t="s">
        <v>28</v>
      </c>
      <c r="L927" s="4" t="s">
        <v>28</v>
      </c>
      <c r="M927" s="4" t="s">
        <v>34</v>
      </c>
      <c r="N927" s="4" t="s">
        <v>28</v>
      </c>
    </row>
    <row r="928" spans="1:14" ht="14.4" thickBot="1" x14ac:dyDescent="0.35">
      <c r="A928" s="4" t="s">
        <v>19</v>
      </c>
      <c r="B928" s="4" t="s">
        <v>666</v>
      </c>
      <c r="C928" s="4" t="s">
        <v>667</v>
      </c>
      <c r="D928" s="4" t="s">
        <v>668</v>
      </c>
      <c r="E928" s="4" t="s">
        <v>254</v>
      </c>
      <c r="F928" s="4" t="s">
        <v>3094</v>
      </c>
      <c r="G928" s="4" t="s">
        <v>3095</v>
      </c>
      <c r="H928" s="4" t="s">
        <v>37</v>
      </c>
      <c r="I928" s="4" t="s">
        <v>38</v>
      </c>
      <c r="J928" s="4" t="s">
        <v>28</v>
      </c>
      <c r="K928" s="4" t="s">
        <v>28</v>
      </c>
      <c r="L928" s="4" t="s">
        <v>27</v>
      </c>
      <c r="M928" s="4" t="s">
        <v>34</v>
      </c>
      <c r="N928" s="4" t="s">
        <v>28</v>
      </c>
    </row>
    <row r="929" spans="1:14" ht="14.4" thickBot="1" x14ac:dyDescent="0.35">
      <c r="A929" s="4" t="s">
        <v>19</v>
      </c>
      <c r="B929" s="4" t="s">
        <v>666</v>
      </c>
      <c r="C929" s="4" t="s">
        <v>667</v>
      </c>
      <c r="D929" s="4" t="s">
        <v>668</v>
      </c>
      <c r="E929" s="4" t="s">
        <v>254</v>
      </c>
      <c r="F929" s="4" t="s">
        <v>3096</v>
      </c>
      <c r="G929" s="4" t="s">
        <v>3097</v>
      </c>
      <c r="H929" s="4" t="s">
        <v>26</v>
      </c>
      <c r="I929" s="4" t="s">
        <v>33</v>
      </c>
      <c r="J929" s="4" t="s">
        <v>27</v>
      </c>
      <c r="K929" s="4" t="s">
        <v>28</v>
      </c>
      <c r="L929" s="4" t="s">
        <v>28</v>
      </c>
      <c r="M929" s="4" t="s">
        <v>34</v>
      </c>
      <c r="N929" s="4" t="s">
        <v>28</v>
      </c>
    </row>
    <row r="930" spans="1:14" ht="14.4" thickBot="1" x14ac:dyDescent="0.35">
      <c r="A930" s="4" t="s">
        <v>19</v>
      </c>
      <c r="B930" s="4" t="s">
        <v>666</v>
      </c>
      <c r="C930" s="4" t="s">
        <v>667</v>
      </c>
      <c r="D930" s="4" t="s">
        <v>668</v>
      </c>
      <c r="E930" s="4" t="s">
        <v>254</v>
      </c>
      <c r="F930" s="4" t="s">
        <v>3182</v>
      </c>
      <c r="G930" s="4" t="s">
        <v>3183</v>
      </c>
      <c r="H930" s="4" t="s">
        <v>26</v>
      </c>
      <c r="I930" s="4" t="s">
        <v>26</v>
      </c>
      <c r="J930" s="4" t="s">
        <v>27</v>
      </c>
      <c r="K930" s="4" t="s">
        <v>28</v>
      </c>
      <c r="L930" s="4" t="s">
        <v>28</v>
      </c>
      <c r="M930" s="4" t="s">
        <v>29</v>
      </c>
      <c r="N930" s="4" t="s">
        <v>28</v>
      </c>
    </row>
    <row r="931" spans="1:14" ht="14.4" thickBot="1" x14ac:dyDescent="0.35">
      <c r="A931" s="4" t="s">
        <v>19</v>
      </c>
      <c r="B931" s="4" t="s">
        <v>666</v>
      </c>
      <c r="C931" s="4" t="s">
        <v>667</v>
      </c>
      <c r="D931" s="4" t="s">
        <v>668</v>
      </c>
      <c r="E931" s="4" t="s">
        <v>254</v>
      </c>
      <c r="F931" s="4" t="s">
        <v>3184</v>
      </c>
      <c r="G931" s="4" t="s">
        <v>3185</v>
      </c>
      <c r="H931" s="4" t="s">
        <v>26</v>
      </c>
      <c r="I931" s="4" t="s">
        <v>26</v>
      </c>
      <c r="J931" s="4" t="s">
        <v>27</v>
      </c>
      <c r="K931" s="4" t="s">
        <v>28</v>
      </c>
      <c r="L931" s="4" t="s">
        <v>28</v>
      </c>
      <c r="M931" s="4" t="s">
        <v>29</v>
      </c>
      <c r="N931" s="4" t="s">
        <v>28</v>
      </c>
    </row>
    <row r="932" spans="1:14" ht="14.4" thickBot="1" x14ac:dyDescent="0.35">
      <c r="A932" s="4" t="s">
        <v>19</v>
      </c>
      <c r="B932" s="4" t="s">
        <v>666</v>
      </c>
      <c r="C932" s="4" t="s">
        <v>667</v>
      </c>
      <c r="D932" s="4" t="s">
        <v>668</v>
      </c>
      <c r="E932" s="4" t="s">
        <v>254</v>
      </c>
      <c r="F932" s="4" t="s">
        <v>3186</v>
      </c>
      <c r="G932" s="4" t="s">
        <v>3187</v>
      </c>
      <c r="H932" s="4" t="s">
        <v>26</v>
      </c>
      <c r="I932" s="4" t="s">
        <v>26</v>
      </c>
      <c r="J932" s="4" t="s">
        <v>27</v>
      </c>
      <c r="K932" s="4" t="s">
        <v>28</v>
      </c>
      <c r="L932" s="4" t="s">
        <v>28</v>
      </c>
      <c r="M932" s="4" t="s">
        <v>29</v>
      </c>
      <c r="N932" s="4" t="s">
        <v>28</v>
      </c>
    </row>
    <row r="933" spans="1:14" ht="14.4" thickBot="1" x14ac:dyDescent="0.35">
      <c r="A933" s="4" t="s">
        <v>19</v>
      </c>
      <c r="B933" s="4" t="s">
        <v>666</v>
      </c>
      <c r="C933" s="4" t="s">
        <v>667</v>
      </c>
      <c r="D933" s="4" t="s">
        <v>668</v>
      </c>
      <c r="E933" s="4" t="s">
        <v>254</v>
      </c>
      <c r="F933" s="4" t="s">
        <v>3188</v>
      </c>
      <c r="G933" s="4" t="s">
        <v>3189</v>
      </c>
      <c r="H933" s="4" t="s">
        <v>26</v>
      </c>
      <c r="I933" s="4" t="s">
        <v>26</v>
      </c>
      <c r="J933" s="4" t="s">
        <v>27</v>
      </c>
      <c r="K933" s="4" t="s">
        <v>28</v>
      </c>
      <c r="L933" s="4" t="s">
        <v>28</v>
      </c>
      <c r="M933" s="4" t="s">
        <v>29</v>
      </c>
      <c r="N933" s="4" t="s">
        <v>28</v>
      </c>
    </row>
    <row r="934" spans="1:14" ht="14.4" thickBot="1" x14ac:dyDescent="0.35">
      <c r="A934" s="4" t="s">
        <v>19</v>
      </c>
      <c r="B934" s="4" t="s">
        <v>666</v>
      </c>
      <c r="C934" s="4" t="s">
        <v>667</v>
      </c>
      <c r="D934" s="4" t="s">
        <v>668</v>
      </c>
      <c r="E934" s="4" t="s">
        <v>254</v>
      </c>
      <c r="F934" s="4" t="s">
        <v>3190</v>
      </c>
      <c r="G934" s="4" t="s">
        <v>3191</v>
      </c>
      <c r="H934" s="4" t="s">
        <v>190</v>
      </c>
      <c r="I934" s="4" t="s">
        <v>158</v>
      </c>
      <c r="J934" s="4" t="s">
        <v>27</v>
      </c>
      <c r="K934" s="4" t="s">
        <v>28</v>
      </c>
      <c r="L934" s="4" t="s">
        <v>28</v>
      </c>
      <c r="M934" s="4" t="s">
        <v>29</v>
      </c>
      <c r="N934" s="4" t="s">
        <v>28</v>
      </c>
    </row>
    <row r="935" spans="1:14" ht="14.4" thickBot="1" x14ac:dyDescent="0.35">
      <c r="A935" s="4" t="s">
        <v>19</v>
      </c>
      <c r="B935" s="4" t="s">
        <v>666</v>
      </c>
      <c r="C935" s="4" t="s">
        <v>667</v>
      </c>
      <c r="D935" s="4" t="s">
        <v>668</v>
      </c>
      <c r="E935" s="4" t="s">
        <v>254</v>
      </c>
      <c r="F935" s="4" t="s">
        <v>3192</v>
      </c>
      <c r="G935" s="4" t="s">
        <v>3193</v>
      </c>
      <c r="H935" s="4" t="s">
        <v>26</v>
      </c>
      <c r="I935" s="4" t="s">
        <v>26</v>
      </c>
      <c r="J935" s="4" t="s">
        <v>27</v>
      </c>
      <c r="K935" s="4" t="s">
        <v>28</v>
      </c>
      <c r="L935" s="4" t="s">
        <v>28</v>
      </c>
      <c r="M935" s="4" t="s">
        <v>29</v>
      </c>
      <c r="N935" s="4" t="s">
        <v>28</v>
      </c>
    </row>
    <row r="936" spans="1:14" ht="14.4" thickBot="1" x14ac:dyDescent="0.35">
      <c r="A936" s="4" t="s">
        <v>19</v>
      </c>
      <c r="B936" s="4" t="s">
        <v>666</v>
      </c>
      <c r="C936" s="4" t="s">
        <v>667</v>
      </c>
      <c r="D936" s="4" t="s">
        <v>668</v>
      </c>
      <c r="E936" s="4" t="s">
        <v>254</v>
      </c>
      <c r="F936" s="4" t="s">
        <v>3194</v>
      </c>
      <c r="G936" s="4" t="s">
        <v>3195</v>
      </c>
      <c r="H936" s="4" t="s">
        <v>26</v>
      </c>
      <c r="I936" s="4" t="s">
        <v>26</v>
      </c>
      <c r="J936" s="4" t="s">
        <v>27</v>
      </c>
      <c r="K936" s="4" t="s">
        <v>28</v>
      </c>
      <c r="L936" s="4" t="s">
        <v>28</v>
      </c>
      <c r="M936" s="4" t="s">
        <v>29</v>
      </c>
      <c r="N936" s="4" t="s">
        <v>28</v>
      </c>
    </row>
    <row r="937" spans="1:14" ht="14.4" thickBot="1" x14ac:dyDescent="0.35">
      <c r="A937" s="4" t="s">
        <v>19</v>
      </c>
      <c r="B937" s="4" t="s">
        <v>666</v>
      </c>
      <c r="C937" s="4" t="s">
        <v>667</v>
      </c>
      <c r="D937" s="4" t="s">
        <v>668</v>
      </c>
      <c r="E937" s="4" t="s">
        <v>254</v>
      </c>
      <c r="F937" s="4" t="s">
        <v>3196</v>
      </c>
      <c r="G937" s="4" t="s">
        <v>3197</v>
      </c>
      <c r="H937" s="4" t="s">
        <v>26</v>
      </c>
      <c r="I937" s="4" t="s">
        <v>94</v>
      </c>
      <c r="J937" s="5"/>
      <c r="K937" s="5"/>
      <c r="L937" s="5"/>
      <c r="M937" s="4" t="s">
        <v>29</v>
      </c>
      <c r="N937" s="5"/>
    </row>
    <row r="938" spans="1:14" ht="14.4" thickBot="1" x14ac:dyDescent="0.35">
      <c r="A938" s="4" t="s">
        <v>19</v>
      </c>
      <c r="B938" s="4" t="s">
        <v>666</v>
      </c>
      <c r="C938" s="4" t="s">
        <v>667</v>
      </c>
      <c r="D938" s="4" t="s">
        <v>668</v>
      </c>
      <c r="E938" s="4" t="s">
        <v>254</v>
      </c>
      <c r="F938" s="4" t="s">
        <v>3198</v>
      </c>
      <c r="G938" s="4" t="s">
        <v>3199</v>
      </c>
      <c r="H938" s="4" t="s">
        <v>26</v>
      </c>
      <c r="I938" s="4" t="s">
        <v>135</v>
      </c>
      <c r="J938" s="5"/>
      <c r="K938" s="5"/>
      <c r="L938" s="5"/>
      <c r="M938" s="4" t="s">
        <v>29</v>
      </c>
      <c r="N938" s="5"/>
    </row>
    <row r="939" spans="1:14" ht="14.4" thickBot="1" x14ac:dyDescent="0.35">
      <c r="A939" s="4" t="s">
        <v>19</v>
      </c>
      <c r="B939" s="4" t="s">
        <v>666</v>
      </c>
      <c r="C939" s="4" t="s">
        <v>667</v>
      </c>
      <c r="D939" s="4" t="s">
        <v>668</v>
      </c>
      <c r="E939" s="4" t="s">
        <v>254</v>
      </c>
      <c r="F939" s="4" t="s">
        <v>3200</v>
      </c>
      <c r="G939" s="4" t="s">
        <v>3201</v>
      </c>
      <c r="H939" s="4" t="s">
        <v>26</v>
      </c>
      <c r="I939" s="4" t="s">
        <v>26</v>
      </c>
      <c r="J939" s="5"/>
      <c r="K939" s="5"/>
      <c r="L939" s="5"/>
      <c r="M939" s="4" t="s">
        <v>130</v>
      </c>
      <c r="N939" s="5"/>
    </row>
    <row r="940" spans="1:14" ht="14.4" thickBot="1" x14ac:dyDescent="0.35">
      <c r="A940" s="4" t="s">
        <v>19</v>
      </c>
      <c r="B940" s="4" t="s">
        <v>666</v>
      </c>
      <c r="C940" s="4" t="s">
        <v>667</v>
      </c>
      <c r="D940" s="4" t="s">
        <v>668</v>
      </c>
      <c r="E940" s="4" t="s">
        <v>254</v>
      </c>
      <c r="F940" s="4" t="s">
        <v>3202</v>
      </c>
      <c r="G940" s="4" t="s">
        <v>3203</v>
      </c>
      <c r="H940" s="4" t="s">
        <v>26</v>
      </c>
      <c r="I940" s="4" t="s">
        <v>26</v>
      </c>
      <c r="J940" s="5"/>
      <c r="K940" s="5"/>
      <c r="L940" s="5"/>
      <c r="M940" s="4" t="s">
        <v>130</v>
      </c>
      <c r="N940" s="5"/>
    </row>
    <row r="941" spans="1:14" ht="14.4" thickBot="1" x14ac:dyDescent="0.35">
      <c r="A941" s="4" t="s">
        <v>19</v>
      </c>
      <c r="B941" s="4" t="s">
        <v>666</v>
      </c>
      <c r="C941" s="4" t="s">
        <v>667</v>
      </c>
      <c r="D941" s="4" t="s">
        <v>668</v>
      </c>
      <c r="E941" s="4" t="s">
        <v>254</v>
      </c>
      <c r="F941" s="4" t="s">
        <v>3204</v>
      </c>
      <c r="G941" s="4" t="s">
        <v>3205</v>
      </c>
      <c r="H941" s="4" t="s">
        <v>26</v>
      </c>
      <c r="I941" s="4" t="s">
        <v>26</v>
      </c>
      <c r="J941" s="4" t="s">
        <v>27</v>
      </c>
      <c r="K941" s="4" t="s">
        <v>28</v>
      </c>
      <c r="L941" s="4" t="s">
        <v>28</v>
      </c>
      <c r="M941" s="4" t="s">
        <v>130</v>
      </c>
      <c r="N941" s="5"/>
    </row>
    <row r="942" spans="1:14" ht="14.4" thickBot="1" x14ac:dyDescent="0.35">
      <c r="A942" s="4" t="s">
        <v>19</v>
      </c>
      <c r="B942" s="4" t="s">
        <v>666</v>
      </c>
      <c r="C942" s="4" t="s">
        <v>667</v>
      </c>
      <c r="D942" s="4" t="s">
        <v>668</v>
      </c>
      <c r="E942" s="4" t="s">
        <v>254</v>
      </c>
      <c r="F942" s="4" t="s">
        <v>3206</v>
      </c>
      <c r="G942" s="4" t="s">
        <v>3207</v>
      </c>
      <c r="H942" s="4" t="s">
        <v>26</v>
      </c>
      <c r="I942" s="4" t="s">
        <v>26</v>
      </c>
      <c r="J942" s="4" t="s">
        <v>27</v>
      </c>
      <c r="K942" s="4" t="s">
        <v>28</v>
      </c>
      <c r="L942" s="4" t="s">
        <v>28</v>
      </c>
      <c r="M942" s="4" t="s">
        <v>29</v>
      </c>
      <c r="N942" s="4" t="s">
        <v>28</v>
      </c>
    </row>
    <row r="943" spans="1:14" ht="14.4" thickBot="1" x14ac:dyDescent="0.35">
      <c r="A943" s="4" t="s">
        <v>19</v>
      </c>
      <c r="B943" s="4" t="s">
        <v>666</v>
      </c>
      <c r="C943" s="4" t="s">
        <v>667</v>
      </c>
      <c r="D943" s="4" t="s">
        <v>668</v>
      </c>
      <c r="E943" s="4" t="s">
        <v>254</v>
      </c>
      <c r="F943" s="4" t="s">
        <v>3208</v>
      </c>
      <c r="G943" s="4" t="s">
        <v>3209</v>
      </c>
      <c r="H943" s="4" t="s">
        <v>135</v>
      </c>
      <c r="I943" s="4" t="s">
        <v>38</v>
      </c>
      <c r="J943" s="4" t="s">
        <v>28</v>
      </c>
      <c r="K943" s="4" t="s">
        <v>28</v>
      </c>
      <c r="L943" s="4" t="s">
        <v>27</v>
      </c>
      <c r="M943" s="4" t="s">
        <v>29</v>
      </c>
      <c r="N943" s="4" t="s">
        <v>28</v>
      </c>
    </row>
    <row r="944" spans="1:14" ht="14.4" thickBot="1" x14ac:dyDescent="0.35">
      <c r="A944" s="4" t="s">
        <v>19</v>
      </c>
      <c r="B944" s="4" t="s">
        <v>666</v>
      </c>
      <c r="C944" s="4" t="s">
        <v>667</v>
      </c>
      <c r="D944" s="4" t="s">
        <v>668</v>
      </c>
      <c r="E944" s="4" t="s">
        <v>254</v>
      </c>
      <c r="F944" s="4" t="s">
        <v>3210</v>
      </c>
      <c r="G944" s="4" t="s">
        <v>3211</v>
      </c>
      <c r="H944" s="4" t="s">
        <v>26</v>
      </c>
      <c r="I944" s="4" t="s">
        <v>26</v>
      </c>
      <c r="J944" s="5"/>
      <c r="K944" s="5"/>
      <c r="L944" s="5"/>
      <c r="M944" s="4" t="s">
        <v>130</v>
      </c>
      <c r="N944" s="5"/>
    </row>
    <row r="945" spans="1:14" ht="14.4" thickBot="1" x14ac:dyDescent="0.35">
      <c r="A945" s="4" t="s">
        <v>19</v>
      </c>
      <c r="B945" s="4" t="s">
        <v>666</v>
      </c>
      <c r="C945" s="4" t="s">
        <v>667</v>
      </c>
      <c r="D945" s="4" t="s">
        <v>668</v>
      </c>
      <c r="E945" s="4" t="s">
        <v>254</v>
      </c>
      <c r="F945" s="4" t="s">
        <v>3212</v>
      </c>
      <c r="G945" s="4" t="s">
        <v>3213</v>
      </c>
      <c r="H945" s="4" t="s">
        <v>26</v>
      </c>
      <c r="I945" s="4" t="s">
        <v>94</v>
      </c>
      <c r="J945" s="4" t="s">
        <v>27</v>
      </c>
      <c r="K945" s="4" t="s">
        <v>28</v>
      </c>
      <c r="L945" s="4" t="s">
        <v>28</v>
      </c>
      <c r="M945" s="4" t="s">
        <v>29</v>
      </c>
      <c r="N945" s="5"/>
    </row>
    <row r="946" spans="1:14" ht="14.4" thickBot="1" x14ac:dyDescent="0.35">
      <c r="A946" s="4" t="s">
        <v>19</v>
      </c>
      <c r="B946" s="4" t="s">
        <v>666</v>
      </c>
      <c r="C946" s="4" t="s">
        <v>667</v>
      </c>
      <c r="D946" s="4" t="s">
        <v>668</v>
      </c>
      <c r="E946" s="4" t="s">
        <v>254</v>
      </c>
      <c r="F946" s="4" t="s">
        <v>3214</v>
      </c>
      <c r="G946" s="4" t="s">
        <v>3215</v>
      </c>
      <c r="H946" s="4" t="s">
        <v>26</v>
      </c>
      <c r="I946" s="4" t="s">
        <v>26</v>
      </c>
      <c r="J946" s="5"/>
      <c r="K946" s="5"/>
      <c r="L946" s="5"/>
      <c r="M946" s="4" t="s">
        <v>130</v>
      </c>
      <c r="N946" s="5"/>
    </row>
    <row r="947" spans="1:14" ht="14.4" thickBot="1" x14ac:dyDescent="0.35">
      <c r="A947" s="4" t="s">
        <v>19</v>
      </c>
      <c r="B947" s="4" t="s">
        <v>666</v>
      </c>
      <c r="C947" s="4" t="s">
        <v>667</v>
      </c>
      <c r="D947" s="4" t="s">
        <v>668</v>
      </c>
      <c r="E947" s="4" t="s">
        <v>254</v>
      </c>
      <c r="F947" s="4" t="s">
        <v>3216</v>
      </c>
      <c r="G947" s="4" t="s">
        <v>3217</v>
      </c>
      <c r="H947" s="4" t="s">
        <v>26</v>
      </c>
      <c r="I947" s="4" t="s">
        <v>26</v>
      </c>
      <c r="J947" s="4" t="s">
        <v>27</v>
      </c>
      <c r="K947" s="4" t="s">
        <v>28</v>
      </c>
      <c r="L947" s="4" t="s">
        <v>28</v>
      </c>
      <c r="M947" s="4" t="s">
        <v>29</v>
      </c>
      <c r="N947" s="4" t="s">
        <v>28</v>
      </c>
    </row>
    <row r="948" spans="1:14" ht="14.4" thickBot="1" x14ac:dyDescent="0.35">
      <c r="A948" s="4" t="s">
        <v>19</v>
      </c>
      <c r="B948" s="4" t="s">
        <v>666</v>
      </c>
      <c r="C948" s="4" t="s">
        <v>667</v>
      </c>
      <c r="D948" s="4" t="s">
        <v>668</v>
      </c>
      <c r="E948" s="4" t="s">
        <v>254</v>
      </c>
      <c r="F948" s="4" t="s">
        <v>3218</v>
      </c>
      <c r="G948" s="4" t="s">
        <v>3219</v>
      </c>
      <c r="H948" s="4" t="s">
        <v>26</v>
      </c>
      <c r="I948" s="4" t="s">
        <v>94</v>
      </c>
      <c r="J948" s="5"/>
      <c r="K948" s="5"/>
      <c r="L948" s="5"/>
      <c r="M948" s="4" t="s">
        <v>29</v>
      </c>
      <c r="N948" s="5"/>
    </row>
    <row r="949" spans="1:14" ht="14.4" thickBot="1" x14ac:dyDescent="0.35">
      <c r="A949" s="4" t="s">
        <v>19</v>
      </c>
      <c r="B949" s="4" t="s">
        <v>666</v>
      </c>
      <c r="C949" s="4" t="s">
        <v>667</v>
      </c>
      <c r="D949" s="4" t="s">
        <v>668</v>
      </c>
      <c r="E949" s="4" t="s">
        <v>254</v>
      </c>
      <c r="F949" s="4" t="s">
        <v>3220</v>
      </c>
      <c r="G949" s="4" t="s">
        <v>3221</v>
      </c>
      <c r="H949" s="4" t="s">
        <v>26</v>
      </c>
      <c r="I949" s="4" t="s">
        <v>135</v>
      </c>
      <c r="J949" s="5"/>
      <c r="K949" s="5"/>
      <c r="L949" s="5"/>
      <c r="M949" s="4" t="s">
        <v>29</v>
      </c>
      <c r="N949" s="5"/>
    </row>
    <row r="950" spans="1:14" ht="14.4" thickBot="1" x14ac:dyDescent="0.35">
      <c r="A950" s="4" t="s">
        <v>19</v>
      </c>
      <c r="B950" s="4" t="s">
        <v>666</v>
      </c>
      <c r="C950" s="4" t="s">
        <v>667</v>
      </c>
      <c r="D950" s="4" t="s">
        <v>668</v>
      </c>
      <c r="E950" s="4" t="s">
        <v>254</v>
      </c>
      <c r="F950" s="4" t="s">
        <v>3222</v>
      </c>
      <c r="G950" s="4" t="s">
        <v>3223</v>
      </c>
      <c r="H950" s="4" t="s">
        <v>26</v>
      </c>
      <c r="I950" s="4" t="s">
        <v>94</v>
      </c>
      <c r="J950" s="5"/>
      <c r="K950" s="5"/>
      <c r="L950" s="5"/>
      <c r="M950" s="4" t="s">
        <v>29</v>
      </c>
      <c r="N950" s="5"/>
    </row>
    <row r="951" spans="1:14" ht="14.4" thickBot="1" x14ac:dyDescent="0.35">
      <c r="A951" s="4" t="s">
        <v>19</v>
      </c>
      <c r="B951" s="4" t="s">
        <v>666</v>
      </c>
      <c r="C951" s="4" t="s">
        <v>667</v>
      </c>
      <c r="D951" s="4" t="s">
        <v>668</v>
      </c>
      <c r="E951" s="4" t="s">
        <v>254</v>
      </c>
      <c r="F951" s="4" t="s">
        <v>3224</v>
      </c>
      <c r="G951" s="4" t="s">
        <v>3225</v>
      </c>
      <c r="H951" s="4" t="s">
        <v>26</v>
      </c>
      <c r="I951" s="4" t="s">
        <v>94</v>
      </c>
      <c r="J951" s="5"/>
      <c r="K951" s="5"/>
      <c r="L951" s="5"/>
      <c r="M951" s="4" t="s">
        <v>29</v>
      </c>
      <c r="N951" s="5"/>
    </row>
    <row r="952" spans="1:14" ht="14.4" thickBot="1" x14ac:dyDescent="0.35">
      <c r="A952" s="4" t="s">
        <v>19</v>
      </c>
      <c r="B952" s="4" t="s">
        <v>666</v>
      </c>
      <c r="C952" s="4" t="s">
        <v>667</v>
      </c>
      <c r="D952" s="4" t="s">
        <v>668</v>
      </c>
      <c r="E952" s="4" t="s">
        <v>254</v>
      </c>
      <c r="F952" s="4" t="s">
        <v>3821</v>
      </c>
      <c r="G952" s="4" t="s">
        <v>3822</v>
      </c>
      <c r="H952" s="4" t="s">
        <v>26</v>
      </c>
      <c r="I952" s="4" t="s">
        <v>33</v>
      </c>
      <c r="J952" s="4" t="s">
        <v>27</v>
      </c>
      <c r="K952" s="4" t="s">
        <v>28</v>
      </c>
      <c r="L952" s="4" t="s">
        <v>28</v>
      </c>
      <c r="M952" s="4" t="s">
        <v>34</v>
      </c>
      <c r="N952" s="4" t="s">
        <v>28</v>
      </c>
    </row>
    <row r="953" spans="1:14" ht="14.4" thickBot="1" x14ac:dyDescent="0.35">
      <c r="A953" s="4" t="s">
        <v>19</v>
      </c>
      <c r="B953" s="4" t="s">
        <v>666</v>
      </c>
      <c r="C953" s="4" t="s">
        <v>667</v>
      </c>
      <c r="D953" s="4" t="s">
        <v>668</v>
      </c>
      <c r="E953" s="4" t="s">
        <v>254</v>
      </c>
      <c r="F953" s="4" t="s">
        <v>3823</v>
      </c>
      <c r="G953" s="4" t="s">
        <v>3824</v>
      </c>
      <c r="H953" s="4" t="s">
        <v>37</v>
      </c>
      <c r="I953" s="4" t="s">
        <v>38</v>
      </c>
      <c r="J953" s="4" t="s">
        <v>28</v>
      </c>
      <c r="K953" s="4" t="s">
        <v>28</v>
      </c>
      <c r="L953" s="4" t="s">
        <v>27</v>
      </c>
      <c r="M953" s="4" t="s">
        <v>34</v>
      </c>
      <c r="N953" s="4" t="s">
        <v>28</v>
      </c>
    </row>
    <row r="954" spans="1:14" ht="14.4" thickBot="1" x14ac:dyDescent="0.35">
      <c r="A954" s="4" t="s">
        <v>19</v>
      </c>
      <c r="B954" s="4" t="s">
        <v>666</v>
      </c>
      <c r="C954" s="4" t="s">
        <v>667</v>
      </c>
      <c r="D954" s="4" t="s">
        <v>668</v>
      </c>
      <c r="E954" s="4" t="s">
        <v>254</v>
      </c>
      <c r="F954" s="4" t="s">
        <v>3825</v>
      </c>
      <c r="G954" s="4" t="s">
        <v>3826</v>
      </c>
      <c r="H954" s="4" t="s">
        <v>26</v>
      </c>
      <c r="I954" s="4" t="s">
        <v>33</v>
      </c>
      <c r="J954" s="4" t="s">
        <v>27</v>
      </c>
      <c r="K954" s="4" t="s">
        <v>28</v>
      </c>
      <c r="L954" s="4" t="s">
        <v>28</v>
      </c>
      <c r="M954" s="4" t="s">
        <v>34</v>
      </c>
      <c r="N954" s="4" t="s">
        <v>28</v>
      </c>
    </row>
    <row r="955" spans="1:14" ht="14.4" thickBot="1" x14ac:dyDescent="0.35">
      <c r="A955" s="4" t="s">
        <v>19</v>
      </c>
      <c r="B955" s="4" t="s">
        <v>666</v>
      </c>
      <c r="C955" s="4" t="s">
        <v>667</v>
      </c>
      <c r="D955" s="4" t="s">
        <v>668</v>
      </c>
      <c r="E955" s="4" t="s">
        <v>254</v>
      </c>
      <c r="F955" s="4" t="s">
        <v>3827</v>
      </c>
      <c r="G955" s="4" t="s">
        <v>3828</v>
      </c>
      <c r="H955" s="4" t="s">
        <v>69</v>
      </c>
      <c r="I955" s="4" t="s">
        <v>94</v>
      </c>
      <c r="J955" s="4" t="s">
        <v>28</v>
      </c>
      <c r="K955" s="4" t="s">
        <v>27</v>
      </c>
      <c r="L955" s="4" t="s">
        <v>28</v>
      </c>
      <c r="M955" s="4" t="s">
        <v>34</v>
      </c>
      <c r="N955" s="4" t="s">
        <v>28</v>
      </c>
    </row>
    <row r="956" spans="1:14" ht="14.4" thickBot="1" x14ac:dyDescent="0.35">
      <c r="A956" s="4" t="s">
        <v>19</v>
      </c>
      <c r="B956" s="4" t="s">
        <v>666</v>
      </c>
      <c r="C956" s="4" t="s">
        <v>667</v>
      </c>
      <c r="D956" s="4" t="s">
        <v>668</v>
      </c>
      <c r="E956" s="4" t="s">
        <v>254</v>
      </c>
      <c r="F956" s="4" t="s">
        <v>3829</v>
      </c>
      <c r="G956" s="4" t="s">
        <v>3830</v>
      </c>
      <c r="H956" s="4" t="s">
        <v>37</v>
      </c>
      <c r="I956" s="4" t="s">
        <v>38</v>
      </c>
      <c r="J956" s="4" t="s">
        <v>28</v>
      </c>
      <c r="K956" s="4" t="s">
        <v>28</v>
      </c>
      <c r="L956" s="4" t="s">
        <v>27</v>
      </c>
      <c r="M956" s="4" t="s">
        <v>34</v>
      </c>
      <c r="N956" s="4" t="s">
        <v>27</v>
      </c>
    </row>
    <row r="957" spans="1:14" ht="14.4" thickBot="1" x14ac:dyDescent="0.35">
      <c r="A957" s="4" t="s">
        <v>19</v>
      </c>
      <c r="B957" s="4" t="s">
        <v>666</v>
      </c>
      <c r="C957" s="4" t="s">
        <v>667</v>
      </c>
      <c r="D957" s="4" t="s">
        <v>668</v>
      </c>
      <c r="E957" s="4" t="s">
        <v>254</v>
      </c>
      <c r="F957" s="4" t="s">
        <v>3831</v>
      </c>
      <c r="G957" s="4" t="s">
        <v>3832</v>
      </c>
      <c r="H957" s="4" t="s">
        <v>26</v>
      </c>
      <c r="I957" s="4" t="s">
        <v>33</v>
      </c>
      <c r="J957" s="4" t="s">
        <v>27</v>
      </c>
      <c r="K957" s="4" t="s">
        <v>28</v>
      </c>
      <c r="L957" s="4" t="s">
        <v>28</v>
      </c>
      <c r="M957" s="4" t="s">
        <v>34</v>
      </c>
      <c r="N957" s="4" t="s">
        <v>28</v>
      </c>
    </row>
    <row r="958" spans="1:14" ht="14.4" thickBot="1" x14ac:dyDescent="0.35">
      <c r="A958" s="4" t="s">
        <v>19</v>
      </c>
      <c r="B958" s="4" t="s">
        <v>666</v>
      </c>
      <c r="C958" s="4" t="s">
        <v>667</v>
      </c>
      <c r="D958" s="4" t="s">
        <v>668</v>
      </c>
      <c r="E958" s="4" t="s">
        <v>254</v>
      </c>
      <c r="F958" s="4" t="s">
        <v>3833</v>
      </c>
      <c r="G958" s="4" t="s">
        <v>3834</v>
      </c>
      <c r="H958" s="4" t="s">
        <v>26</v>
      </c>
      <c r="I958" s="4" t="s">
        <v>454</v>
      </c>
      <c r="J958" s="4" t="s">
        <v>27</v>
      </c>
      <c r="K958" s="4" t="s">
        <v>28</v>
      </c>
      <c r="L958" s="4" t="s">
        <v>28</v>
      </c>
      <c r="M958" s="4" t="s">
        <v>34</v>
      </c>
      <c r="N958" s="4" t="s">
        <v>27</v>
      </c>
    </row>
    <row r="959" spans="1:14" ht="14.4" thickBot="1" x14ac:dyDescent="0.35">
      <c r="A959" s="4" t="s">
        <v>19</v>
      </c>
      <c r="B959" s="4" t="s">
        <v>666</v>
      </c>
      <c r="C959" s="4" t="s">
        <v>667</v>
      </c>
      <c r="D959" s="4" t="s">
        <v>668</v>
      </c>
      <c r="E959" s="4" t="s">
        <v>254</v>
      </c>
      <c r="F959" s="4" t="s">
        <v>3835</v>
      </c>
      <c r="G959" s="4" t="s">
        <v>3836</v>
      </c>
      <c r="H959" s="4" t="s">
        <v>69</v>
      </c>
      <c r="I959" s="4" t="s">
        <v>38</v>
      </c>
      <c r="J959" s="4" t="s">
        <v>28</v>
      </c>
      <c r="K959" s="4" t="s">
        <v>28</v>
      </c>
      <c r="L959" s="4" t="s">
        <v>27</v>
      </c>
      <c r="M959" s="4" t="s">
        <v>34</v>
      </c>
      <c r="N959" s="4" t="s">
        <v>28</v>
      </c>
    </row>
    <row r="960" spans="1:14" ht="14.4" thickBot="1" x14ac:dyDescent="0.35">
      <c r="A960" s="4" t="s">
        <v>19</v>
      </c>
      <c r="B960" s="4" t="s">
        <v>666</v>
      </c>
      <c r="C960" s="4" t="s">
        <v>667</v>
      </c>
      <c r="D960" s="4" t="s">
        <v>668</v>
      </c>
      <c r="E960" s="4" t="s">
        <v>254</v>
      </c>
      <c r="F960" s="4" t="s">
        <v>3837</v>
      </c>
      <c r="G960" s="4" t="s">
        <v>3838</v>
      </c>
      <c r="H960" s="4" t="s">
        <v>135</v>
      </c>
      <c r="I960" s="4" t="s">
        <v>33</v>
      </c>
      <c r="J960" s="4" t="s">
        <v>27</v>
      </c>
      <c r="K960" s="4" t="s">
        <v>28</v>
      </c>
      <c r="L960" s="4" t="s">
        <v>28</v>
      </c>
      <c r="M960" s="4" t="s">
        <v>34</v>
      </c>
      <c r="N960" s="4" t="s">
        <v>27</v>
      </c>
    </row>
    <row r="961" spans="1:14" ht="14.4" thickBot="1" x14ac:dyDescent="0.35">
      <c r="A961" s="4" t="s">
        <v>19</v>
      </c>
      <c r="B961" s="4" t="s">
        <v>666</v>
      </c>
      <c r="C961" s="4" t="s">
        <v>667</v>
      </c>
      <c r="D961" s="4" t="s">
        <v>668</v>
      </c>
      <c r="E961" s="4" t="s">
        <v>254</v>
      </c>
      <c r="F961" s="4" t="s">
        <v>3839</v>
      </c>
      <c r="G961" s="4" t="s">
        <v>3840</v>
      </c>
      <c r="H961" s="4" t="s">
        <v>37</v>
      </c>
      <c r="I961" s="4" t="s">
        <v>38</v>
      </c>
      <c r="J961" s="4" t="s">
        <v>28</v>
      </c>
      <c r="K961" s="4" t="s">
        <v>28</v>
      </c>
      <c r="L961" s="4" t="s">
        <v>27</v>
      </c>
      <c r="M961" s="4" t="s">
        <v>34</v>
      </c>
      <c r="N961" s="4" t="s">
        <v>28</v>
      </c>
    </row>
    <row r="962" spans="1:14" ht="14.4" thickBot="1" x14ac:dyDescent="0.35">
      <c r="A962" s="4" t="s">
        <v>19</v>
      </c>
      <c r="B962" s="4" t="s">
        <v>666</v>
      </c>
      <c r="C962" s="4" t="s">
        <v>667</v>
      </c>
      <c r="D962" s="4" t="s">
        <v>668</v>
      </c>
      <c r="E962" s="4" t="s">
        <v>254</v>
      </c>
      <c r="F962" s="4" t="s">
        <v>3841</v>
      </c>
      <c r="G962" s="4" t="s">
        <v>3842</v>
      </c>
      <c r="H962" s="4" t="s">
        <v>69</v>
      </c>
      <c r="I962" s="4" t="s">
        <v>94</v>
      </c>
      <c r="J962" s="4" t="s">
        <v>28</v>
      </c>
      <c r="K962" s="4" t="s">
        <v>27</v>
      </c>
      <c r="L962" s="4" t="s">
        <v>28</v>
      </c>
      <c r="M962" s="4" t="s">
        <v>34</v>
      </c>
      <c r="N962" s="4" t="s">
        <v>27</v>
      </c>
    </row>
    <row r="963" spans="1:14" ht="14.4" thickBot="1" x14ac:dyDescent="0.35">
      <c r="A963" s="4" t="s">
        <v>19</v>
      </c>
      <c r="B963" s="4" t="s">
        <v>666</v>
      </c>
      <c r="C963" s="4" t="s">
        <v>667</v>
      </c>
      <c r="D963" s="4" t="s">
        <v>668</v>
      </c>
      <c r="E963" s="4" t="s">
        <v>254</v>
      </c>
      <c r="F963" s="4" t="s">
        <v>3843</v>
      </c>
      <c r="G963" s="4" t="s">
        <v>3844</v>
      </c>
      <c r="H963" s="4" t="s">
        <v>69</v>
      </c>
      <c r="I963" s="4" t="s">
        <v>94</v>
      </c>
      <c r="J963" s="4" t="s">
        <v>28</v>
      </c>
      <c r="K963" s="4" t="s">
        <v>27</v>
      </c>
      <c r="L963" s="4" t="s">
        <v>28</v>
      </c>
      <c r="M963" s="4" t="s">
        <v>34</v>
      </c>
      <c r="N963" s="4" t="s">
        <v>28</v>
      </c>
    </row>
    <row r="964" spans="1:14" ht="14.4" thickBot="1" x14ac:dyDescent="0.35">
      <c r="A964" s="4" t="s">
        <v>19</v>
      </c>
      <c r="B964" s="4" t="s">
        <v>666</v>
      </c>
      <c r="C964" s="4" t="s">
        <v>667</v>
      </c>
      <c r="D964" s="4" t="s">
        <v>668</v>
      </c>
      <c r="E964" s="4" t="s">
        <v>254</v>
      </c>
      <c r="F964" s="4" t="s">
        <v>3845</v>
      </c>
      <c r="G964" s="4" t="s">
        <v>3846</v>
      </c>
      <c r="H964" s="4" t="s">
        <v>37</v>
      </c>
      <c r="I964" s="4" t="s">
        <v>38</v>
      </c>
      <c r="J964" s="4" t="s">
        <v>28</v>
      </c>
      <c r="K964" s="4" t="s">
        <v>28</v>
      </c>
      <c r="L964" s="4" t="s">
        <v>27</v>
      </c>
      <c r="M964" s="4" t="s">
        <v>34</v>
      </c>
      <c r="N964" s="4" t="s">
        <v>27</v>
      </c>
    </row>
    <row r="965" spans="1:14" ht="14.4" thickBot="1" x14ac:dyDescent="0.35">
      <c r="A965" s="4" t="s">
        <v>19</v>
      </c>
      <c r="B965" s="4" t="s">
        <v>666</v>
      </c>
      <c r="C965" s="4" t="s">
        <v>667</v>
      </c>
      <c r="D965" s="4" t="s">
        <v>668</v>
      </c>
      <c r="E965" s="4" t="s">
        <v>254</v>
      </c>
      <c r="F965" s="4" t="s">
        <v>3847</v>
      </c>
      <c r="G965" s="4" t="s">
        <v>3848</v>
      </c>
      <c r="H965" s="4" t="s">
        <v>69</v>
      </c>
      <c r="I965" s="4" t="s">
        <v>94</v>
      </c>
      <c r="J965" s="4" t="s">
        <v>28</v>
      </c>
      <c r="K965" s="4" t="s">
        <v>27</v>
      </c>
      <c r="L965" s="4" t="s">
        <v>28</v>
      </c>
      <c r="M965" s="4" t="s">
        <v>34</v>
      </c>
      <c r="N965" s="4" t="s">
        <v>27</v>
      </c>
    </row>
    <row r="966" spans="1:14" ht="14.4" thickBot="1" x14ac:dyDescent="0.35">
      <c r="A966" s="4" t="s">
        <v>19</v>
      </c>
      <c r="B966" s="4" t="s">
        <v>666</v>
      </c>
      <c r="C966" s="4" t="s">
        <v>667</v>
      </c>
      <c r="D966" s="4" t="s">
        <v>668</v>
      </c>
      <c r="E966" s="4" t="s">
        <v>254</v>
      </c>
      <c r="F966" s="4" t="s">
        <v>3849</v>
      </c>
      <c r="G966" s="4" t="s">
        <v>3850</v>
      </c>
      <c r="H966" s="4" t="s">
        <v>135</v>
      </c>
      <c r="I966" s="4" t="s">
        <v>94</v>
      </c>
      <c r="J966" s="4" t="s">
        <v>27</v>
      </c>
      <c r="K966" s="4" t="s">
        <v>28</v>
      </c>
      <c r="L966" s="4" t="s">
        <v>28</v>
      </c>
      <c r="M966" s="4" t="s">
        <v>34</v>
      </c>
      <c r="N966" s="4" t="s">
        <v>27</v>
      </c>
    </row>
    <row r="967" spans="1:14" ht="14.4" thickBot="1" x14ac:dyDescent="0.35">
      <c r="A967" s="4" t="s">
        <v>19</v>
      </c>
      <c r="B967" s="4" t="s">
        <v>666</v>
      </c>
      <c r="C967" s="4" t="s">
        <v>667</v>
      </c>
      <c r="D967" s="4" t="s">
        <v>668</v>
      </c>
      <c r="E967" s="4" t="s">
        <v>254</v>
      </c>
      <c r="F967" s="4" t="s">
        <v>3851</v>
      </c>
      <c r="G967" s="4" t="s">
        <v>3852</v>
      </c>
      <c r="H967" s="4" t="s">
        <v>33</v>
      </c>
      <c r="I967" s="4" t="s">
        <v>94</v>
      </c>
      <c r="J967" s="4" t="s">
        <v>28</v>
      </c>
      <c r="K967" s="4" t="s">
        <v>27</v>
      </c>
      <c r="L967" s="4" t="s">
        <v>28</v>
      </c>
      <c r="M967" s="4" t="s">
        <v>34</v>
      </c>
      <c r="N967" s="4" t="s">
        <v>27</v>
      </c>
    </row>
    <row r="968" spans="1:14" ht="14.4" thickBot="1" x14ac:dyDescent="0.35">
      <c r="A968" s="4" t="s">
        <v>19</v>
      </c>
      <c r="B968" s="4" t="s">
        <v>666</v>
      </c>
      <c r="C968" s="4" t="s">
        <v>667</v>
      </c>
      <c r="D968" s="4" t="s">
        <v>668</v>
      </c>
      <c r="E968" s="4" t="s">
        <v>254</v>
      </c>
      <c r="F968" s="4" t="s">
        <v>3853</v>
      </c>
      <c r="G968" s="4" t="s">
        <v>3854</v>
      </c>
      <c r="H968" s="4" t="s">
        <v>26</v>
      </c>
      <c r="I968" s="4" t="s">
        <v>94</v>
      </c>
      <c r="J968" s="4" t="s">
        <v>27</v>
      </c>
      <c r="K968" s="4" t="s">
        <v>28</v>
      </c>
      <c r="L968" s="4" t="s">
        <v>28</v>
      </c>
      <c r="M968" s="4" t="s">
        <v>34</v>
      </c>
      <c r="N968" s="4" t="s">
        <v>28</v>
      </c>
    </row>
    <row r="969" spans="1:14" ht="14.4" thickBot="1" x14ac:dyDescent="0.35">
      <c r="A969" s="4" t="s">
        <v>19</v>
      </c>
      <c r="B969" s="4" t="s">
        <v>666</v>
      </c>
      <c r="C969" s="4" t="s">
        <v>667</v>
      </c>
      <c r="D969" s="4" t="s">
        <v>668</v>
      </c>
      <c r="E969" s="4" t="s">
        <v>254</v>
      </c>
      <c r="F969" s="4" t="s">
        <v>3855</v>
      </c>
      <c r="G969" s="4" t="s">
        <v>3856</v>
      </c>
      <c r="H969" s="4" t="s">
        <v>26</v>
      </c>
      <c r="I969" s="4" t="s">
        <v>69</v>
      </c>
      <c r="J969" s="4" t="s">
        <v>27</v>
      </c>
      <c r="K969" s="4" t="s">
        <v>28</v>
      </c>
      <c r="L969" s="4" t="s">
        <v>28</v>
      </c>
      <c r="M969" s="4" t="s">
        <v>34</v>
      </c>
      <c r="N969" s="4" t="s">
        <v>28</v>
      </c>
    </row>
    <row r="970" spans="1:14" ht="14.4" thickBot="1" x14ac:dyDescent="0.35">
      <c r="A970" s="4" t="s">
        <v>19</v>
      </c>
      <c r="B970" s="4" t="s">
        <v>666</v>
      </c>
      <c r="C970" s="4" t="s">
        <v>667</v>
      </c>
      <c r="D970" s="4" t="s">
        <v>668</v>
      </c>
      <c r="E970" s="4" t="s">
        <v>254</v>
      </c>
      <c r="F970" s="4" t="s">
        <v>3857</v>
      </c>
      <c r="G970" s="4" t="s">
        <v>3858</v>
      </c>
      <c r="H970" s="4" t="s">
        <v>37</v>
      </c>
      <c r="I970" s="4" t="s">
        <v>38</v>
      </c>
      <c r="J970" s="4" t="s">
        <v>28</v>
      </c>
      <c r="K970" s="4" t="s">
        <v>28</v>
      </c>
      <c r="L970" s="4" t="s">
        <v>27</v>
      </c>
      <c r="M970" s="4" t="s">
        <v>34</v>
      </c>
      <c r="N970" s="4" t="s">
        <v>28</v>
      </c>
    </row>
    <row r="971" spans="1:14" ht="14.4" thickBot="1" x14ac:dyDescent="0.35">
      <c r="A971" s="4" t="s">
        <v>19</v>
      </c>
      <c r="B971" s="4" t="s">
        <v>666</v>
      </c>
      <c r="C971" s="4" t="s">
        <v>667</v>
      </c>
      <c r="D971" s="4" t="s">
        <v>668</v>
      </c>
      <c r="E971" s="4" t="s">
        <v>254</v>
      </c>
      <c r="F971" s="4" t="s">
        <v>3859</v>
      </c>
      <c r="G971" s="4" t="s">
        <v>3860</v>
      </c>
      <c r="H971" s="4" t="s">
        <v>26</v>
      </c>
      <c r="I971" s="4" t="s">
        <v>33</v>
      </c>
      <c r="J971" s="4" t="s">
        <v>27</v>
      </c>
      <c r="K971" s="4" t="s">
        <v>28</v>
      </c>
      <c r="L971" s="4" t="s">
        <v>28</v>
      </c>
      <c r="M971" s="4" t="s">
        <v>34</v>
      </c>
      <c r="N971" s="4" t="s">
        <v>28</v>
      </c>
    </row>
    <row r="972" spans="1:14" ht="14.4" thickBot="1" x14ac:dyDescent="0.35">
      <c r="A972" s="4" t="s">
        <v>19</v>
      </c>
      <c r="B972" s="4" t="s">
        <v>666</v>
      </c>
      <c r="C972" s="4" t="s">
        <v>667</v>
      </c>
      <c r="D972" s="4" t="s">
        <v>668</v>
      </c>
      <c r="E972" s="4" t="s">
        <v>254</v>
      </c>
      <c r="F972" s="4" t="s">
        <v>3861</v>
      </c>
      <c r="G972" s="4" t="s">
        <v>3862</v>
      </c>
      <c r="H972" s="4" t="s">
        <v>26</v>
      </c>
      <c r="I972" s="4" t="s">
        <v>33</v>
      </c>
      <c r="J972" s="4" t="s">
        <v>27</v>
      </c>
      <c r="K972" s="4" t="s">
        <v>28</v>
      </c>
      <c r="L972" s="4" t="s">
        <v>28</v>
      </c>
      <c r="M972" s="4" t="s">
        <v>34</v>
      </c>
      <c r="N972" s="4" t="s">
        <v>28</v>
      </c>
    </row>
    <row r="973" spans="1:14" ht="14.4" thickBot="1" x14ac:dyDescent="0.35">
      <c r="A973" s="4" t="s">
        <v>19</v>
      </c>
      <c r="B973" s="4" t="s">
        <v>666</v>
      </c>
      <c r="C973" s="4" t="s">
        <v>667</v>
      </c>
      <c r="D973" s="4" t="s">
        <v>668</v>
      </c>
      <c r="E973" s="4" t="s">
        <v>254</v>
      </c>
      <c r="F973" s="4" t="s">
        <v>3863</v>
      </c>
      <c r="G973" s="4" t="s">
        <v>3864</v>
      </c>
      <c r="H973" s="4" t="s">
        <v>37</v>
      </c>
      <c r="I973" s="4" t="s">
        <v>38</v>
      </c>
      <c r="J973" s="4" t="s">
        <v>28</v>
      </c>
      <c r="K973" s="4" t="s">
        <v>28</v>
      </c>
      <c r="L973" s="4" t="s">
        <v>27</v>
      </c>
      <c r="M973" s="4" t="s">
        <v>34</v>
      </c>
      <c r="N973" s="4" t="s">
        <v>28</v>
      </c>
    </row>
    <row r="974" spans="1:14" ht="14.4" thickBot="1" x14ac:dyDescent="0.35">
      <c r="A974" s="4" t="s">
        <v>19</v>
      </c>
      <c r="B974" s="4" t="s">
        <v>666</v>
      </c>
      <c r="C974" s="4" t="s">
        <v>667</v>
      </c>
      <c r="D974" s="4" t="s">
        <v>668</v>
      </c>
      <c r="E974" s="4" t="s">
        <v>254</v>
      </c>
      <c r="F974" s="4" t="s">
        <v>3865</v>
      </c>
      <c r="G974" s="4" t="s">
        <v>3866</v>
      </c>
      <c r="H974" s="4" t="s">
        <v>26</v>
      </c>
      <c r="I974" s="4" t="s">
        <v>33</v>
      </c>
      <c r="J974" s="4" t="s">
        <v>27</v>
      </c>
      <c r="K974" s="4" t="s">
        <v>28</v>
      </c>
      <c r="L974" s="4" t="s">
        <v>28</v>
      </c>
      <c r="M974" s="4" t="s">
        <v>34</v>
      </c>
      <c r="N974" s="4" t="s">
        <v>28</v>
      </c>
    </row>
    <row r="975" spans="1:14" ht="14.4" thickBot="1" x14ac:dyDescent="0.35">
      <c r="A975" s="4" t="s">
        <v>19</v>
      </c>
      <c r="B975" s="4" t="s">
        <v>666</v>
      </c>
      <c r="C975" s="4" t="s">
        <v>667</v>
      </c>
      <c r="D975" s="4" t="s">
        <v>668</v>
      </c>
      <c r="E975" s="4" t="s">
        <v>254</v>
      </c>
      <c r="F975" s="4" t="s">
        <v>3867</v>
      </c>
      <c r="G975" s="4" t="s">
        <v>3868</v>
      </c>
      <c r="H975" s="4" t="s">
        <v>26</v>
      </c>
      <c r="I975" s="4" t="s">
        <v>94</v>
      </c>
      <c r="J975" s="4" t="s">
        <v>27</v>
      </c>
      <c r="K975" s="4" t="s">
        <v>28</v>
      </c>
      <c r="L975" s="4" t="s">
        <v>28</v>
      </c>
      <c r="M975" s="4" t="s">
        <v>34</v>
      </c>
      <c r="N975" s="4" t="s">
        <v>28</v>
      </c>
    </row>
    <row r="976" spans="1:14" ht="14.4" thickBot="1" x14ac:dyDescent="0.35">
      <c r="A976" s="4" t="s">
        <v>19</v>
      </c>
      <c r="B976" s="4" t="s">
        <v>666</v>
      </c>
      <c r="C976" s="4" t="s">
        <v>667</v>
      </c>
      <c r="D976" s="4" t="s">
        <v>668</v>
      </c>
      <c r="E976" s="4" t="s">
        <v>254</v>
      </c>
      <c r="F976" s="4" t="s">
        <v>3869</v>
      </c>
      <c r="G976" s="4" t="s">
        <v>3870</v>
      </c>
      <c r="H976" s="4" t="s">
        <v>26</v>
      </c>
      <c r="I976" s="4" t="s">
        <v>33</v>
      </c>
      <c r="J976" s="4" t="s">
        <v>27</v>
      </c>
      <c r="K976" s="4" t="s">
        <v>28</v>
      </c>
      <c r="L976" s="4" t="s">
        <v>28</v>
      </c>
      <c r="M976" s="4" t="s">
        <v>34</v>
      </c>
      <c r="N976" s="4" t="s">
        <v>28</v>
      </c>
    </row>
    <row r="977" spans="1:14" ht="14.4" thickBot="1" x14ac:dyDescent="0.35">
      <c r="A977" s="4" t="s">
        <v>19</v>
      </c>
      <c r="B977" s="4" t="s">
        <v>666</v>
      </c>
      <c r="C977" s="4" t="s">
        <v>667</v>
      </c>
      <c r="D977" s="4" t="s">
        <v>668</v>
      </c>
      <c r="E977" s="4" t="s">
        <v>254</v>
      </c>
      <c r="F977" s="4" t="s">
        <v>3871</v>
      </c>
      <c r="G977" s="4" t="s">
        <v>3872</v>
      </c>
      <c r="H977" s="4" t="s">
        <v>69</v>
      </c>
      <c r="I977" s="4" t="s">
        <v>94</v>
      </c>
      <c r="J977" s="4" t="s">
        <v>28</v>
      </c>
      <c r="K977" s="4" t="s">
        <v>27</v>
      </c>
      <c r="L977" s="4" t="s">
        <v>28</v>
      </c>
      <c r="M977" s="4" t="s">
        <v>34</v>
      </c>
      <c r="N977" s="4" t="s">
        <v>28</v>
      </c>
    </row>
    <row r="978" spans="1:14" ht="14.4" thickBot="1" x14ac:dyDescent="0.35">
      <c r="A978" s="4" t="s">
        <v>19</v>
      </c>
      <c r="B978" s="4" t="s">
        <v>666</v>
      </c>
      <c r="C978" s="4" t="s">
        <v>667</v>
      </c>
      <c r="D978" s="4" t="s">
        <v>668</v>
      </c>
      <c r="E978" s="4" t="s">
        <v>254</v>
      </c>
      <c r="F978" s="4" t="s">
        <v>3873</v>
      </c>
      <c r="G978" s="4" t="s">
        <v>3874</v>
      </c>
      <c r="H978" s="4" t="s">
        <v>26</v>
      </c>
      <c r="I978" s="4" t="s">
        <v>33</v>
      </c>
      <c r="J978" s="4" t="s">
        <v>27</v>
      </c>
      <c r="K978" s="4" t="s">
        <v>28</v>
      </c>
      <c r="L978" s="4" t="s">
        <v>28</v>
      </c>
      <c r="M978" s="4" t="s">
        <v>34</v>
      </c>
      <c r="N978" s="4" t="s">
        <v>28</v>
      </c>
    </row>
    <row r="979" spans="1:14" ht="14.4" thickBot="1" x14ac:dyDescent="0.35">
      <c r="A979" s="4" t="s">
        <v>19</v>
      </c>
      <c r="B979" s="4" t="s">
        <v>666</v>
      </c>
      <c r="C979" s="4" t="s">
        <v>667</v>
      </c>
      <c r="D979" s="4" t="s">
        <v>668</v>
      </c>
      <c r="E979" s="4" t="s">
        <v>254</v>
      </c>
      <c r="F979" s="4" t="s">
        <v>3875</v>
      </c>
      <c r="G979" s="4" t="s">
        <v>3876</v>
      </c>
      <c r="H979" s="4" t="s">
        <v>135</v>
      </c>
      <c r="I979" s="4" t="s">
        <v>33</v>
      </c>
      <c r="J979" s="4" t="s">
        <v>27</v>
      </c>
      <c r="K979" s="4" t="s">
        <v>28</v>
      </c>
      <c r="L979" s="4" t="s">
        <v>28</v>
      </c>
      <c r="M979" s="4" t="s">
        <v>34</v>
      </c>
      <c r="N979" s="4" t="s">
        <v>28</v>
      </c>
    </row>
    <row r="980" spans="1:14" ht="14.4" thickBot="1" x14ac:dyDescent="0.35">
      <c r="A980" s="4" t="s">
        <v>19</v>
      </c>
      <c r="B980" s="4" t="s">
        <v>666</v>
      </c>
      <c r="C980" s="4" t="s">
        <v>667</v>
      </c>
      <c r="D980" s="4" t="s">
        <v>668</v>
      </c>
      <c r="E980" s="4" t="s">
        <v>254</v>
      </c>
      <c r="F980" s="4" t="s">
        <v>3877</v>
      </c>
      <c r="G980" s="4" t="s">
        <v>3878</v>
      </c>
      <c r="H980" s="4" t="s">
        <v>26</v>
      </c>
      <c r="I980" s="4" t="s">
        <v>33</v>
      </c>
      <c r="J980" s="4" t="s">
        <v>27</v>
      </c>
      <c r="K980" s="4" t="s">
        <v>28</v>
      </c>
      <c r="L980" s="4" t="s">
        <v>28</v>
      </c>
      <c r="M980" s="4" t="s">
        <v>34</v>
      </c>
      <c r="N980" s="4" t="s">
        <v>28</v>
      </c>
    </row>
    <row r="981" spans="1:14" ht="14.4" thickBot="1" x14ac:dyDescent="0.35">
      <c r="A981" s="4" t="s">
        <v>19</v>
      </c>
      <c r="B981" s="4" t="s">
        <v>666</v>
      </c>
      <c r="C981" s="4" t="s">
        <v>667</v>
      </c>
      <c r="D981" s="4" t="s">
        <v>668</v>
      </c>
      <c r="E981" s="4" t="s">
        <v>254</v>
      </c>
      <c r="F981" s="4" t="s">
        <v>3879</v>
      </c>
      <c r="G981" s="4" t="s">
        <v>3880</v>
      </c>
      <c r="H981" s="4" t="s">
        <v>26</v>
      </c>
      <c r="I981" s="4" t="s">
        <v>33</v>
      </c>
      <c r="J981" s="4" t="s">
        <v>27</v>
      </c>
      <c r="K981" s="4" t="s">
        <v>28</v>
      </c>
      <c r="L981" s="4" t="s">
        <v>28</v>
      </c>
      <c r="M981" s="4" t="s">
        <v>34</v>
      </c>
      <c r="N981" s="4" t="s">
        <v>28</v>
      </c>
    </row>
    <row r="982" spans="1:14" ht="14.4" thickBot="1" x14ac:dyDescent="0.35">
      <c r="A982" s="4" t="s">
        <v>19</v>
      </c>
      <c r="B982" s="4" t="s">
        <v>666</v>
      </c>
      <c r="C982" s="4" t="s">
        <v>667</v>
      </c>
      <c r="D982" s="4" t="s">
        <v>668</v>
      </c>
      <c r="E982" s="4" t="s">
        <v>254</v>
      </c>
      <c r="F982" s="4" t="s">
        <v>3881</v>
      </c>
      <c r="G982" s="4" t="s">
        <v>3882</v>
      </c>
      <c r="H982" s="4" t="s">
        <v>26</v>
      </c>
      <c r="I982" s="4" t="s">
        <v>33</v>
      </c>
      <c r="J982" s="4" t="s">
        <v>27</v>
      </c>
      <c r="K982" s="4" t="s">
        <v>28</v>
      </c>
      <c r="L982" s="4" t="s">
        <v>28</v>
      </c>
      <c r="M982" s="4" t="s">
        <v>34</v>
      </c>
      <c r="N982" s="4" t="s">
        <v>28</v>
      </c>
    </row>
    <row r="983" spans="1:14" ht="14.4" thickBot="1" x14ac:dyDescent="0.35">
      <c r="A983" s="4" t="s">
        <v>19</v>
      </c>
      <c r="B983" s="4" t="s">
        <v>666</v>
      </c>
      <c r="C983" s="4" t="s">
        <v>667</v>
      </c>
      <c r="D983" s="4" t="s">
        <v>668</v>
      </c>
      <c r="E983" s="4" t="s">
        <v>254</v>
      </c>
      <c r="F983" s="4" t="s">
        <v>3883</v>
      </c>
      <c r="G983" s="4" t="s">
        <v>3884</v>
      </c>
      <c r="H983" s="4" t="s">
        <v>37</v>
      </c>
      <c r="I983" s="4" t="s">
        <v>38</v>
      </c>
      <c r="J983" s="4" t="s">
        <v>28</v>
      </c>
      <c r="K983" s="4" t="s">
        <v>28</v>
      </c>
      <c r="L983" s="4" t="s">
        <v>27</v>
      </c>
      <c r="M983" s="4" t="s">
        <v>34</v>
      </c>
      <c r="N983" s="4" t="s">
        <v>28</v>
      </c>
    </row>
    <row r="984" spans="1:14" ht="14.4" thickBot="1" x14ac:dyDescent="0.35">
      <c r="A984" s="4" t="s">
        <v>19</v>
      </c>
      <c r="B984" s="4" t="s">
        <v>666</v>
      </c>
      <c r="C984" s="4" t="s">
        <v>667</v>
      </c>
      <c r="D984" s="4" t="s">
        <v>668</v>
      </c>
      <c r="E984" s="4" t="s">
        <v>254</v>
      </c>
      <c r="F984" s="4" t="s">
        <v>4005</v>
      </c>
      <c r="G984" s="4" t="s">
        <v>4006</v>
      </c>
      <c r="H984" s="4" t="s">
        <v>26</v>
      </c>
      <c r="I984" s="4" t="s">
        <v>26</v>
      </c>
      <c r="J984" s="4" t="s">
        <v>27</v>
      </c>
      <c r="K984" s="4" t="s">
        <v>28</v>
      </c>
      <c r="L984" s="4" t="s">
        <v>28</v>
      </c>
      <c r="M984" s="4" t="s">
        <v>130</v>
      </c>
      <c r="N984" s="4" t="s">
        <v>28</v>
      </c>
    </row>
    <row r="985" spans="1:14" ht="14.4" thickBot="1" x14ac:dyDescent="0.35">
      <c r="A985" s="4" t="s">
        <v>19</v>
      </c>
      <c r="B985" s="4" t="s">
        <v>666</v>
      </c>
      <c r="C985" s="4" t="s">
        <v>667</v>
      </c>
      <c r="D985" s="4" t="s">
        <v>668</v>
      </c>
      <c r="E985" s="4" t="s">
        <v>254</v>
      </c>
      <c r="F985" s="4" t="s">
        <v>4007</v>
      </c>
      <c r="G985" s="4" t="s">
        <v>4008</v>
      </c>
      <c r="H985" s="4" t="s">
        <v>26</v>
      </c>
      <c r="I985" s="4" t="s">
        <v>135</v>
      </c>
      <c r="J985" s="4" t="s">
        <v>27</v>
      </c>
      <c r="K985" s="4" t="s">
        <v>28</v>
      </c>
      <c r="L985" s="4" t="s">
        <v>28</v>
      </c>
      <c r="M985" s="4" t="s">
        <v>29</v>
      </c>
      <c r="N985" s="4" t="s">
        <v>28</v>
      </c>
    </row>
    <row r="986" spans="1:14" ht="14.4" thickBot="1" x14ac:dyDescent="0.35">
      <c r="A986" s="4" t="s">
        <v>19</v>
      </c>
      <c r="B986" s="4" t="s">
        <v>666</v>
      </c>
      <c r="C986" s="4" t="s">
        <v>667</v>
      </c>
      <c r="D986" s="4" t="s">
        <v>668</v>
      </c>
      <c r="E986" s="4" t="s">
        <v>254</v>
      </c>
      <c r="F986" s="4" t="s">
        <v>4009</v>
      </c>
      <c r="G986" s="4" t="s">
        <v>4010</v>
      </c>
      <c r="H986" s="4" t="s">
        <v>26</v>
      </c>
      <c r="I986" s="4" t="s">
        <v>26</v>
      </c>
      <c r="J986" s="4" t="s">
        <v>27</v>
      </c>
      <c r="K986" s="4" t="s">
        <v>28</v>
      </c>
      <c r="L986" s="4" t="s">
        <v>28</v>
      </c>
      <c r="M986" s="4" t="s">
        <v>29</v>
      </c>
      <c r="N986" s="4" t="s">
        <v>28</v>
      </c>
    </row>
    <row r="987" spans="1:14" ht="14.4" thickBot="1" x14ac:dyDescent="0.35">
      <c r="A987" s="4" t="s">
        <v>19</v>
      </c>
      <c r="B987" s="4" t="s">
        <v>666</v>
      </c>
      <c r="C987" s="4" t="s">
        <v>667</v>
      </c>
      <c r="D987" s="4" t="s">
        <v>668</v>
      </c>
      <c r="E987" s="4" t="s">
        <v>254</v>
      </c>
      <c r="F987" s="4" t="s">
        <v>4011</v>
      </c>
      <c r="G987" s="4" t="s">
        <v>4012</v>
      </c>
      <c r="H987" s="4" t="s">
        <v>26</v>
      </c>
      <c r="I987" s="4" t="s">
        <v>26</v>
      </c>
      <c r="J987" s="4" t="s">
        <v>27</v>
      </c>
      <c r="K987" s="4" t="s">
        <v>28</v>
      </c>
      <c r="L987" s="4" t="s">
        <v>28</v>
      </c>
      <c r="M987" s="4" t="s">
        <v>29</v>
      </c>
      <c r="N987" s="4" t="s">
        <v>28</v>
      </c>
    </row>
    <row r="988" spans="1:14" ht="14.4" thickBot="1" x14ac:dyDescent="0.35">
      <c r="A988" s="4" t="s">
        <v>19</v>
      </c>
      <c r="B988" s="4" t="s">
        <v>666</v>
      </c>
      <c r="C988" s="4" t="s">
        <v>667</v>
      </c>
      <c r="D988" s="4" t="s">
        <v>668</v>
      </c>
      <c r="E988" s="4" t="s">
        <v>254</v>
      </c>
      <c r="F988" s="4" t="s">
        <v>4013</v>
      </c>
      <c r="G988" s="4" t="s">
        <v>4014</v>
      </c>
      <c r="H988" s="4" t="s">
        <v>26</v>
      </c>
      <c r="I988" s="4" t="s">
        <v>26</v>
      </c>
      <c r="J988" s="4" t="s">
        <v>27</v>
      </c>
      <c r="K988" s="4" t="s">
        <v>28</v>
      </c>
      <c r="L988" s="4" t="s">
        <v>28</v>
      </c>
      <c r="M988" s="4" t="s">
        <v>29</v>
      </c>
      <c r="N988" s="4" t="s">
        <v>28</v>
      </c>
    </row>
    <row r="989" spans="1:14" ht="14.4" thickBot="1" x14ac:dyDescent="0.35">
      <c r="A989" s="4" t="s">
        <v>19</v>
      </c>
      <c r="B989" s="4" t="s">
        <v>666</v>
      </c>
      <c r="C989" s="4" t="s">
        <v>667</v>
      </c>
      <c r="D989" s="4" t="s">
        <v>668</v>
      </c>
      <c r="E989" s="4" t="s">
        <v>254</v>
      </c>
      <c r="F989" s="4" t="s">
        <v>4015</v>
      </c>
      <c r="G989" s="4" t="s">
        <v>4016</v>
      </c>
      <c r="H989" s="4" t="s">
        <v>26</v>
      </c>
      <c r="I989" s="4" t="s">
        <v>26</v>
      </c>
      <c r="J989" s="4" t="s">
        <v>27</v>
      </c>
      <c r="K989" s="4" t="s">
        <v>28</v>
      </c>
      <c r="L989" s="4" t="s">
        <v>28</v>
      </c>
      <c r="M989" s="4" t="s">
        <v>130</v>
      </c>
      <c r="N989" s="4" t="s">
        <v>28</v>
      </c>
    </row>
    <row r="990" spans="1:14" ht="14.4" thickBot="1" x14ac:dyDescent="0.35">
      <c r="A990" s="4" t="s">
        <v>19</v>
      </c>
      <c r="B990" s="4" t="s">
        <v>666</v>
      </c>
      <c r="C990" s="4" t="s">
        <v>667</v>
      </c>
      <c r="D990" s="4" t="s">
        <v>668</v>
      </c>
      <c r="E990" s="4" t="s">
        <v>254</v>
      </c>
      <c r="F990" s="4" t="s">
        <v>4017</v>
      </c>
      <c r="G990" s="4" t="s">
        <v>4018</v>
      </c>
      <c r="H990" s="4" t="s">
        <v>26</v>
      </c>
      <c r="I990" s="4" t="s">
        <v>26</v>
      </c>
      <c r="J990" s="4" t="s">
        <v>27</v>
      </c>
      <c r="K990" s="4" t="s">
        <v>28</v>
      </c>
      <c r="L990" s="4" t="s">
        <v>28</v>
      </c>
      <c r="M990" s="4" t="s">
        <v>130</v>
      </c>
      <c r="N990" s="4" t="s">
        <v>28</v>
      </c>
    </row>
    <row r="991" spans="1:14" ht="14.4" thickBot="1" x14ac:dyDescent="0.35">
      <c r="A991" s="4" t="s">
        <v>19</v>
      </c>
      <c r="B991" s="4" t="s">
        <v>666</v>
      </c>
      <c r="C991" s="4" t="s">
        <v>667</v>
      </c>
      <c r="D991" s="4" t="s">
        <v>668</v>
      </c>
      <c r="E991" s="4" t="s">
        <v>254</v>
      </c>
      <c r="F991" s="4" t="s">
        <v>4019</v>
      </c>
      <c r="G991" s="4" t="s">
        <v>4020</v>
      </c>
      <c r="H991" s="4" t="s">
        <v>26</v>
      </c>
      <c r="I991" s="4" t="s">
        <v>26</v>
      </c>
      <c r="J991" s="4" t="s">
        <v>27</v>
      </c>
      <c r="K991" s="4" t="s">
        <v>28</v>
      </c>
      <c r="L991" s="4" t="s">
        <v>28</v>
      </c>
      <c r="M991" s="4" t="s">
        <v>130</v>
      </c>
      <c r="N991" s="4" t="s">
        <v>28</v>
      </c>
    </row>
    <row r="992" spans="1:14" ht="14.4" thickBot="1" x14ac:dyDescent="0.35">
      <c r="A992" s="4" t="s">
        <v>19</v>
      </c>
      <c r="B992" s="4" t="s">
        <v>666</v>
      </c>
      <c r="C992" s="4" t="s">
        <v>667</v>
      </c>
      <c r="D992" s="4" t="s">
        <v>668</v>
      </c>
      <c r="E992" s="4" t="s">
        <v>254</v>
      </c>
      <c r="F992" s="4" t="s">
        <v>4021</v>
      </c>
      <c r="G992" s="4" t="s">
        <v>4022</v>
      </c>
      <c r="H992" s="4" t="s">
        <v>26</v>
      </c>
      <c r="I992" s="4" t="s">
        <v>26</v>
      </c>
      <c r="J992" s="5"/>
      <c r="K992" s="5"/>
      <c r="L992" s="5"/>
      <c r="M992" s="4" t="s">
        <v>130</v>
      </c>
      <c r="N992" s="5"/>
    </row>
    <row r="993" spans="1:14" ht="14.4" thickBot="1" x14ac:dyDescent="0.35">
      <c r="A993" s="4" t="s">
        <v>19</v>
      </c>
      <c r="B993" s="4" t="s">
        <v>666</v>
      </c>
      <c r="C993" s="4" t="s">
        <v>667</v>
      </c>
      <c r="D993" s="4" t="s">
        <v>668</v>
      </c>
      <c r="E993" s="4" t="s">
        <v>254</v>
      </c>
      <c r="F993" s="4" t="s">
        <v>4023</v>
      </c>
      <c r="G993" s="4" t="s">
        <v>4024</v>
      </c>
      <c r="H993" s="4" t="s">
        <v>26</v>
      </c>
      <c r="I993" s="4" t="s">
        <v>26</v>
      </c>
      <c r="J993" s="5"/>
      <c r="K993" s="5"/>
      <c r="L993" s="5"/>
      <c r="M993" s="4" t="s">
        <v>130</v>
      </c>
      <c r="N993" s="5"/>
    </row>
    <row r="994" spans="1:14" ht="14.4" thickBot="1" x14ac:dyDescent="0.35">
      <c r="A994" s="4" t="s">
        <v>19</v>
      </c>
      <c r="B994" s="4" t="s">
        <v>666</v>
      </c>
      <c r="C994" s="4" t="s">
        <v>667</v>
      </c>
      <c r="D994" s="4" t="s">
        <v>668</v>
      </c>
      <c r="E994" s="4" t="s">
        <v>254</v>
      </c>
      <c r="F994" s="4" t="s">
        <v>4025</v>
      </c>
      <c r="G994" s="4" t="s">
        <v>4026</v>
      </c>
      <c r="H994" s="4" t="s">
        <v>26</v>
      </c>
      <c r="I994" s="4" t="s">
        <v>26</v>
      </c>
      <c r="J994" s="5"/>
      <c r="K994" s="5"/>
      <c r="L994" s="5"/>
      <c r="M994" s="4" t="s">
        <v>130</v>
      </c>
      <c r="N994" s="5"/>
    </row>
    <row r="995" spans="1:14" ht="14.4" thickBot="1" x14ac:dyDescent="0.35">
      <c r="A995" s="4" t="s">
        <v>19</v>
      </c>
      <c r="B995" s="4" t="s">
        <v>666</v>
      </c>
      <c r="C995" s="4" t="s">
        <v>667</v>
      </c>
      <c r="D995" s="4" t="s">
        <v>668</v>
      </c>
      <c r="E995" s="4" t="s">
        <v>254</v>
      </c>
      <c r="F995" s="4" t="s">
        <v>4027</v>
      </c>
      <c r="G995" s="4" t="s">
        <v>4028</v>
      </c>
      <c r="H995" s="4" t="s">
        <v>26</v>
      </c>
      <c r="I995" s="4" t="s">
        <v>26</v>
      </c>
      <c r="J995" s="5"/>
      <c r="K995" s="5"/>
      <c r="L995" s="5"/>
      <c r="M995" s="4" t="s">
        <v>130</v>
      </c>
      <c r="N995" s="5"/>
    </row>
    <row r="996" spans="1:14" ht="14.4" thickBot="1" x14ac:dyDescent="0.35">
      <c r="A996" s="4" t="s">
        <v>19</v>
      </c>
      <c r="B996" s="4" t="s">
        <v>666</v>
      </c>
      <c r="C996" s="4" t="s">
        <v>667</v>
      </c>
      <c r="D996" s="4" t="s">
        <v>668</v>
      </c>
      <c r="E996" s="4" t="s">
        <v>254</v>
      </c>
      <c r="F996" s="4" t="s">
        <v>4029</v>
      </c>
      <c r="G996" s="4" t="s">
        <v>4030</v>
      </c>
      <c r="H996" s="4" t="s">
        <v>26</v>
      </c>
      <c r="I996" s="4" t="s">
        <v>26</v>
      </c>
      <c r="J996" s="5"/>
      <c r="K996" s="5"/>
      <c r="L996" s="5"/>
      <c r="M996" s="4" t="s">
        <v>130</v>
      </c>
      <c r="N996" s="5"/>
    </row>
    <row r="997" spans="1:14" ht="14.4" thickBot="1" x14ac:dyDescent="0.35">
      <c r="A997" s="4" t="s">
        <v>19</v>
      </c>
      <c r="B997" s="4" t="s">
        <v>666</v>
      </c>
      <c r="C997" s="4" t="s">
        <v>667</v>
      </c>
      <c r="D997" s="4" t="s">
        <v>668</v>
      </c>
      <c r="E997" s="4" t="s">
        <v>254</v>
      </c>
      <c r="F997" s="4" t="s">
        <v>4031</v>
      </c>
      <c r="G997" s="4" t="s">
        <v>4032</v>
      </c>
      <c r="H997" s="4" t="s">
        <v>26</v>
      </c>
      <c r="I997" s="4" t="s">
        <v>26</v>
      </c>
      <c r="J997" s="5"/>
      <c r="K997" s="5"/>
      <c r="L997" s="5"/>
      <c r="M997" s="4" t="s">
        <v>130</v>
      </c>
      <c r="N997" s="5"/>
    </row>
    <row r="998" spans="1:14" ht="14.4" thickBot="1" x14ac:dyDescent="0.35">
      <c r="A998" s="4" t="s">
        <v>19</v>
      </c>
      <c r="B998" s="4" t="s">
        <v>666</v>
      </c>
      <c r="C998" s="4" t="s">
        <v>667</v>
      </c>
      <c r="D998" s="4" t="s">
        <v>668</v>
      </c>
      <c r="E998" s="4" t="s">
        <v>254</v>
      </c>
      <c r="F998" s="4" t="s">
        <v>4033</v>
      </c>
      <c r="G998" s="4" t="s">
        <v>4034</v>
      </c>
      <c r="H998" s="4" t="s">
        <v>26</v>
      </c>
      <c r="I998" s="4" t="s">
        <v>26</v>
      </c>
      <c r="J998" s="4" t="s">
        <v>27</v>
      </c>
      <c r="K998" s="4" t="s">
        <v>28</v>
      </c>
      <c r="L998" s="4" t="s">
        <v>28</v>
      </c>
      <c r="M998" s="4" t="s">
        <v>29</v>
      </c>
      <c r="N998" s="4" t="s">
        <v>28</v>
      </c>
    </row>
    <row r="999" spans="1:14" ht="14.4" thickBot="1" x14ac:dyDescent="0.35">
      <c r="A999" s="4" t="s">
        <v>19</v>
      </c>
      <c r="B999" s="4" t="s">
        <v>666</v>
      </c>
      <c r="C999" s="4" t="s">
        <v>667</v>
      </c>
      <c r="D999" s="4" t="s">
        <v>668</v>
      </c>
      <c r="E999" s="4" t="s">
        <v>254</v>
      </c>
      <c r="F999" s="4" t="s">
        <v>4035</v>
      </c>
      <c r="G999" s="4" t="s">
        <v>4036</v>
      </c>
      <c r="H999" s="4" t="s">
        <v>26</v>
      </c>
      <c r="I999" s="4" t="s">
        <v>38</v>
      </c>
      <c r="J999" s="5"/>
      <c r="K999" s="5"/>
      <c r="L999" s="5"/>
      <c r="M999" s="4" t="s">
        <v>29</v>
      </c>
      <c r="N999" s="5"/>
    </row>
    <row r="1000" spans="1:14" ht="14.4" thickBot="1" x14ac:dyDescent="0.35">
      <c r="A1000" s="4" t="s">
        <v>19</v>
      </c>
      <c r="B1000" s="4" t="s">
        <v>666</v>
      </c>
      <c r="C1000" s="4" t="s">
        <v>667</v>
      </c>
      <c r="D1000" s="4" t="s">
        <v>668</v>
      </c>
      <c r="E1000" s="4" t="s">
        <v>254</v>
      </c>
      <c r="F1000" s="4" t="s">
        <v>4037</v>
      </c>
      <c r="G1000" s="4" t="s">
        <v>4038</v>
      </c>
      <c r="H1000" s="4" t="s">
        <v>26</v>
      </c>
      <c r="I1000" s="4" t="s">
        <v>94</v>
      </c>
      <c r="J1000" s="4" t="s">
        <v>27</v>
      </c>
      <c r="K1000" s="4" t="s">
        <v>28</v>
      </c>
      <c r="L1000" s="4" t="s">
        <v>28</v>
      </c>
      <c r="M1000" s="4" t="s">
        <v>29</v>
      </c>
      <c r="N1000" s="4" t="s">
        <v>28</v>
      </c>
    </row>
    <row r="1001" spans="1:14" ht="14.4" thickBot="1" x14ac:dyDescent="0.35">
      <c r="A1001" s="4" t="s">
        <v>19</v>
      </c>
      <c r="B1001" s="4" t="s">
        <v>666</v>
      </c>
      <c r="C1001" s="4" t="s">
        <v>667</v>
      </c>
      <c r="D1001" s="4" t="s">
        <v>668</v>
      </c>
      <c r="E1001" s="4" t="s">
        <v>254</v>
      </c>
      <c r="F1001" s="4" t="s">
        <v>4561</v>
      </c>
      <c r="G1001" s="4" t="s">
        <v>4562</v>
      </c>
      <c r="H1001" s="4" t="s">
        <v>69</v>
      </c>
      <c r="I1001" s="4" t="s">
        <v>94</v>
      </c>
      <c r="J1001" s="4" t="s">
        <v>28</v>
      </c>
      <c r="K1001" s="4" t="s">
        <v>27</v>
      </c>
      <c r="L1001" s="4" t="s">
        <v>28</v>
      </c>
      <c r="M1001" s="4" t="s">
        <v>34</v>
      </c>
      <c r="N1001" s="4" t="s">
        <v>28</v>
      </c>
    </row>
    <row r="1002" spans="1:14" ht="14.4" thickBot="1" x14ac:dyDescent="0.35">
      <c r="A1002" s="4" t="s">
        <v>19</v>
      </c>
      <c r="B1002" s="4" t="s">
        <v>666</v>
      </c>
      <c r="C1002" s="4" t="s">
        <v>667</v>
      </c>
      <c r="D1002" s="4" t="s">
        <v>668</v>
      </c>
      <c r="E1002" s="4" t="s">
        <v>254</v>
      </c>
      <c r="F1002" s="4" t="s">
        <v>4563</v>
      </c>
      <c r="G1002" s="4" t="s">
        <v>4564</v>
      </c>
      <c r="H1002" s="4" t="s">
        <v>37</v>
      </c>
      <c r="I1002" s="4" t="s">
        <v>38</v>
      </c>
      <c r="J1002" s="4" t="s">
        <v>28</v>
      </c>
      <c r="K1002" s="4" t="s">
        <v>28</v>
      </c>
      <c r="L1002" s="4" t="s">
        <v>27</v>
      </c>
      <c r="M1002" s="4" t="s">
        <v>34</v>
      </c>
      <c r="N1002" s="4" t="s">
        <v>27</v>
      </c>
    </row>
    <row r="1003" spans="1:14" ht="14.4" thickBot="1" x14ac:dyDescent="0.35">
      <c r="A1003" s="4" t="s">
        <v>19</v>
      </c>
      <c r="B1003" s="4" t="s">
        <v>666</v>
      </c>
      <c r="C1003" s="4" t="s">
        <v>667</v>
      </c>
      <c r="D1003" s="4" t="s">
        <v>668</v>
      </c>
      <c r="E1003" s="4" t="s">
        <v>254</v>
      </c>
      <c r="F1003" s="4" t="s">
        <v>4565</v>
      </c>
      <c r="G1003" s="4" t="s">
        <v>4566</v>
      </c>
      <c r="H1003" s="4" t="s">
        <v>69</v>
      </c>
      <c r="I1003" s="4" t="s">
        <v>94</v>
      </c>
      <c r="J1003" s="4" t="s">
        <v>28</v>
      </c>
      <c r="K1003" s="4" t="s">
        <v>27</v>
      </c>
      <c r="L1003" s="4" t="s">
        <v>28</v>
      </c>
      <c r="M1003" s="4" t="s">
        <v>34</v>
      </c>
      <c r="N1003" s="4" t="s">
        <v>28</v>
      </c>
    </row>
    <row r="1004" spans="1:14" ht="14.4" thickBot="1" x14ac:dyDescent="0.35">
      <c r="A1004" s="4" t="s">
        <v>19</v>
      </c>
      <c r="B1004" s="4" t="s">
        <v>666</v>
      </c>
      <c r="C1004" s="4" t="s">
        <v>667</v>
      </c>
      <c r="D1004" s="4" t="s">
        <v>668</v>
      </c>
      <c r="E1004" s="4" t="s">
        <v>254</v>
      </c>
      <c r="F1004" s="4" t="s">
        <v>4567</v>
      </c>
      <c r="G1004" s="4" t="s">
        <v>4568</v>
      </c>
      <c r="H1004" s="4" t="s">
        <v>122</v>
      </c>
      <c r="I1004" s="4" t="s">
        <v>38</v>
      </c>
      <c r="J1004" s="4" t="s">
        <v>28</v>
      </c>
      <c r="K1004" s="4" t="s">
        <v>28</v>
      </c>
      <c r="L1004" s="4" t="s">
        <v>27</v>
      </c>
      <c r="M1004" s="4" t="s">
        <v>34</v>
      </c>
      <c r="N1004" s="4" t="s">
        <v>28</v>
      </c>
    </row>
    <row r="1005" spans="1:14" ht="14.4" thickBot="1" x14ac:dyDescent="0.35">
      <c r="A1005" s="4" t="s">
        <v>19</v>
      </c>
      <c r="B1005" s="4" t="s">
        <v>666</v>
      </c>
      <c r="C1005" s="4" t="s">
        <v>667</v>
      </c>
      <c r="D1005" s="4" t="s">
        <v>668</v>
      </c>
      <c r="E1005" s="4" t="s">
        <v>254</v>
      </c>
      <c r="F1005" s="4" t="s">
        <v>4569</v>
      </c>
      <c r="G1005" s="4" t="s">
        <v>4570</v>
      </c>
      <c r="H1005" s="4" t="s">
        <v>69</v>
      </c>
      <c r="I1005" s="4" t="s">
        <v>38</v>
      </c>
      <c r="J1005" s="4" t="s">
        <v>28</v>
      </c>
      <c r="K1005" s="4" t="s">
        <v>28</v>
      </c>
      <c r="L1005" s="4" t="s">
        <v>27</v>
      </c>
      <c r="M1005" s="4" t="s">
        <v>34</v>
      </c>
      <c r="N1005" s="4" t="s">
        <v>28</v>
      </c>
    </row>
    <row r="1006" spans="1:14" ht="14.4" thickBot="1" x14ac:dyDescent="0.35">
      <c r="A1006" s="4" t="s">
        <v>19</v>
      </c>
      <c r="B1006" s="4" t="s">
        <v>666</v>
      </c>
      <c r="C1006" s="4" t="s">
        <v>667</v>
      </c>
      <c r="D1006" s="4" t="s">
        <v>668</v>
      </c>
      <c r="E1006" s="4" t="s">
        <v>254</v>
      </c>
      <c r="F1006" s="4" t="s">
        <v>4571</v>
      </c>
      <c r="G1006" s="4" t="s">
        <v>4572</v>
      </c>
      <c r="H1006" s="4" t="s">
        <v>37</v>
      </c>
      <c r="I1006" s="4" t="s">
        <v>38</v>
      </c>
      <c r="J1006" s="4" t="s">
        <v>28</v>
      </c>
      <c r="K1006" s="4" t="s">
        <v>28</v>
      </c>
      <c r="L1006" s="4" t="s">
        <v>27</v>
      </c>
      <c r="M1006" s="4" t="s">
        <v>34</v>
      </c>
      <c r="N1006" s="4" t="s">
        <v>28</v>
      </c>
    </row>
    <row r="1007" spans="1:14" ht="14.4" thickBot="1" x14ac:dyDescent="0.35">
      <c r="A1007" s="4" t="s">
        <v>19</v>
      </c>
      <c r="B1007" s="4" t="s">
        <v>666</v>
      </c>
      <c r="C1007" s="4" t="s">
        <v>667</v>
      </c>
      <c r="D1007" s="4" t="s">
        <v>668</v>
      </c>
      <c r="E1007" s="4" t="s">
        <v>254</v>
      </c>
      <c r="F1007" s="4" t="s">
        <v>4573</v>
      </c>
      <c r="G1007" s="4" t="s">
        <v>4574</v>
      </c>
      <c r="H1007" s="4" t="s">
        <v>69</v>
      </c>
      <c r="I1007" s="4" t="s">
        <v>94</v>
      </c>
      <c r="J1007" s="4" t="s">
        <v>28</v>
      </c>
      <c r="K1007" s="4" t="s">
        <v>27</v>
      </c>
      <c r="L1007" s="4" t="s">
        <v>28</v>
      </c>
      <c r="M1007" s="4" t="s">
        <v>34</v>
      </c>
      <c r="N1007" s="4" t="s">
        <v>27</v>
      </c>
    </row>
    <row r="1008" spans="1:14" ht="14.4" thickBot="1" x14ac:dyDescent="0.35">
      <c r="A1008" s="4" t="s">
        <v>19</v>
      </c>
      <c r="B1008" s="4" t="s">
        <v>666</v>
      </c>
      <c r="C1008" s="4" t="s">
        <v>667</v>
      </c>
      <c r="D1008" s="4" t="s">
        <v>668</v>
      </c>
      <c r="E1008" s="4" t="s">
        <v>254</v>
      </c>
      <c r="F1008" s="4" t="s">
        <v>4575</v>
      </c>
      <c r="G1008" s="4" t="s">
        <v>4576</v>
      </c>
      <c r="H1008" s="4" t="s">
        <v>69</v>
      </c>
      <c r="I1008" s="4" t="s">
        <v>94</v>
      </c>
      <c r="J1008" s="4" t="s">
        <v>28</v>
      </c>
      <c r="K1008" s="4" t="s">
        <v>27</v>
      </c>
      <c r="L1008" s="4" t="s">
        <v>28</v>
      </c>
      <c r="M1008" s="4" t="s">
        <v>34</v>
      </c>
      <c r="N1008" s="4" t="s">
        <v>27</v>
      </c>
    </row>
    <row r="1009" spans="1:14" ht="14.4" thickBot="1" x14ac:dyDescent="0.35">
      <c r="A1009" s="4" t="s">
        <v>19</v>
      </c>
      <c r="B1009" s="4" t="s">
        <v>666</v>
      </c>
      <c r="C1009" s="4" t="s">
        <v>667</v>
      </c>
      <c r="D1009" s="4" t="s">
        <v>668</v>
      </c>
      <c r="E1009" s="4" t="s">
        <v>254</v>
      </c>
      <c r="F1009" s="4" t="s">
        <v>4577</v>
      </c>
      <c r="G1009" s="4" t="s">
        <v>4578</v>
      </c>
      <c r="H1009" s="4" t="s">
        <v>69</v>
      </c>
      <c r="I1009" s="4" t="s">
        <v>94</v>
      </c>
      <c r="J1009" s="4" t="s">
        <v>28</v>
      </c>
      <c r="K1009" s="4" t="s">
        <v>27</v>
      </c>
      <c r="L1009" s="4" t="s">
        <v>28</v>
      </c>
      <c r="M1009" s="4" t="s">
        <v>34</v>
      </c>
      <c r="N1009" s="4" t="s">
        <v>27</v>
      </c>
    </row>
    <row r="1010" spans="1:14" ht="14.4" thickBot="1" x14ac:dyDescent="0.35">
      <c r="A1010" s="4" t="s">
        <v>19</v>
      </c>
      <c r="B1010" s="4" t="s">
        <v>666</v>
      </c>
      <c r="C1010" s="4" t="s">
        <v>667</v>
      </c>
      <c r="D1010" s="4" t="s">
        <v>668</v>
      </c>
      <c r="E1010" s="4" t="s">
        <v>254</v>
      </c>
      <c r="F1010" s="4" t="s">
        <v>4579</v>
      </c>
      <c r="G1010" s="4" t="s">
        <v>4580</v>
      </c>
      <c r="H1010" s="4" t="s">
        <v>69</v>
      </c>
      <c r="I1010" s="4" t="s">
        <v>38</v>
      </c>
      <c r="J1010" s="4" t="s">
        <v>28</v>
      </c>
      <c r="K1010" s="4" t="s">
        <v>28</v>
      </c>
      <c r="L1010" s="4" t="s">
        <v>27</v>
      </c>
      <c r="M1010" s="4" t="s">
        <v>34</v>
      </c>
      <c r="N1010" s="4" t="s">
        <v>28</v>
      </c>
    </row>
    <row r="1011" spans="1:14" ht="14.4" thickBot="1" x14ac:dyDescent="0.35">
      <c r="A1011" s="4" t="s">
        <v>19</v>
      </c>
      <c r="B1011" s="4" t="s">
        <v>666</v>
      </c>
      <c r="C1011" s="4" t="s">
        <v>667</v>
      </c>
      <c r="D1011" s="4" t="s">
        <v>668</v>
      </c>
      <c r="E1011" s="4" t="s">
        <v>254</v>
      </c>
      <c r="F1011" s="4" t="s">
        <v>4581</v>
      </c>
      <c r="G1011" s="4" t="s">
        <v>4582</v>
      </c>
      <c r="H1011" s="4" t="s">
        <v>69</v>
      </c>
      <c r="I1011" s="4" t="s">
        <v>38</v>
      </c>
      <c r="J1011" s="4" t="s">
        <v>28</v>
      </c>
      <c r="K1011" s="4" t="s">
        <v>28</v>
      </c>
      <c r="L1011" s="4" t="s">
        <v>27</v>
      </c>
      <c r="M1011" s="4" t="s">
        <v>34</v>
      </c>
      <c r="N1011" s="4" t="s">
        <v>28</v>
      </c>
    </row>
    <row r="1012" spans="1:14" ht="14.4" thickBot="1" x14ac:dyDescent="0.35">
      <c r="A1012" s="4" t="s">
        <v>19</v>
      </c>
      <c r="B1012" s="4" t="s">
        <v>666</v>
      </c>
      <c r="C1012" s="4" t="s">
        <v>667</v>
      </c>
      <c r="D1012" s="4" t="s">
        <v>668</v>
      </c>
      <c r="E1012" s="4" t="s">
        <v>254</v>
      </c>
      <c r="F1012" s="4" t="s">
        <v>4583</v>
      </c>
      <c r="G1012" s="4" t="s">
        <v>4584</v>
      </c>
      <c r="H1012" s="4" t="s">
        <v>69</v>
      </c>
      <c r="I1012" s="4" t="s">
        <v>38</v>
      </c>
      <c r="J1012" s="4" t="s">
        <v>28</v>
      </c>
      <c r="K1012" s="4" t="s">
        <v>28</v>
      </c>
      <c r="L1012" s="4" t="s">
        <v>27</v>
      </c>
      <c r="M1012" s="4" t="s">
        <v>34</v>
      </c>
      <c r="N1012" s="4" t="s">
        <v>28</v>
      </c>
    </row>
    <row r="1013" spans="1:14" ht="14.4" thickBot="1" x14ac:dyDescent="0.35">
      <c r="A1013" s="4" t="s">
        <v>19</v>
      </c>
      <c r="B1013" s="4" t="s">
        <v>666</v>
      </c>
      <c r="C1013" s="4" t="s">
        <v>667</v>
      </c>
      <c r="D1013" s="4" t="s">
        <v>668</v>
      </c>
      <c r="E1013" s="4" t="s">
        <v>254</v>
      </c>
      <c r="F1013" s="4" t="s">
        <v>4585</v>
      </c>
      <c r="G1013" s="4" t="s">
        <v>4586</v>
      </c>
      <c r="H1013" s="4" t="s">
        <v>26</v>
      </c>
      <c r="I1013" s="4" t="s">
        <v>33</v>
      </c>
      <c r="J1013" s="4" t="s">
        <v>27</v>
      </c>
      <c r="K1013" s="4" t="s">
        <v>28</v>
      </c>
      <c r="L1013" s="4" t="s">
        <v>28</v>
      </c>
      <c r="M1013" s="4" t="s">
        <v>34</v>
      </c>
      <c r="N1013" s="4" t="s">
        <v>28</v>
      </c>
    </row>
    <row r="1014" spans="1:14" ht="14.4" thickBot="1" x14ac:dyDescent="0.35">
      <c r="A1014" s="4" t="s">
        <v>19</v>
      </c>
      <c r="B1014" s="4" t="s">
        <v>666</v>
      </c>
      <c r="C1014" s="4" t="s">
        <v>667</v>
      </c>
      <c r="D1014" s="4" t="s">
        <v>668</v>
      </c>
      <c r="E1014" s="4" t="s">
        <v>254</v>
      </c>
      <c r="F1014" s="4" t="s">
        <v>4587</v>
      </c>
      <c r="G1014" s="4" t="s">
        <v>4588</v>
      </c>
      <c r="H1014" s="4" t="s">
        <v>37</v>
      </c>
      <c r="I1014" s="4" t="s">
        <v>38</v>
      </c>
      <c r="J1014" s="4" t="s">
        <v>28</v>
      </c>
      <c r="K1014" s="4" t="s">
        <v>28</v>
      </c>
      <c r="L1014" s="4" t="s">
        <v>27</v>
      </c>
      <c r="M1014" s="4" t="s">
        <v>34</v>
      </c>
      <c r="N1014" s="4" t="s">
        <v>28</v>
      </c>
    </row>
    <row r="1015" spans="1:14" ht="14.4" thickBot="1" x14ac:dyDescent="0.35">
      <c r="A1015" s="4" t="s">
        <v>19</v>
      </c>
      <c r="B1015" s="4" t="s">
        <v>666</v>
      </c>
      <c r="C1015" s="4" t="s">
        <v>667</v>
      </c>
      <c r="D1015" s="4" t="s">
        <v>668</v>
      </c>
      <c r="E1015" s="4" t="s">
        <v>254</v>
      </c>
      <c r="F1015" s="4" t="s">
        <v>4589</v>
      </c>
      <c r="G1015" s="4" t="s">
        <v>4590</v>
      </c>
      <c r="H1015" s="4" t="s">
        <v>135</v>
      </c>
      <c r="I1015" s="4" t="s">
        <v>94</v>
      </c>
      <c r="J1015" s="4" t="s">
        <v>27</v>
      </c>
      <c r="K1015" s="4" t="s">
        <v>28</v>
      </c>
      <c r="L1015" s="4" t="s">
        <v>28</v>
      </c>
      <c r="M1015" s="4" t="s">
        <v>34</v>
      </c>
      <c r="N1015" s="4" t="s">
        <v>27</v>
      </c>
    </row>
    <row r="1016" spans="1:14" ht="14.4" thickBot="1" x14ac:dyDescent="0.35">
      <c r="A1016" s="4" t="s">
        <v>19</v>
      </c>
      <c r="B1016" s="4" t="s">
        <v>666</v>
      </c>
      <c r="C1016" s="4" t="s">
        <v>667</v>
      </c>
      <c r="D1016" s="4" t="s">
        <v>668</v>
      </c>
      <c r="E1016" s="4" t="s">
        <v>254</v>
      </c>
      <c r="F1016" s="4" t="s">
        <v>4591</v>
      </c>
      <c r="G1016" s="4" t="s">
        <v>4592</v>
      </c>
      <c r="H1016" s="4" t="s">
        <v>26</v>
      </c>
      <c r="I1016" s="4" t="s">
        <v>33</v>
      </c>
      <c r="J1016" s="4" t="s">
        <v>27</v>
      </c>
      <c r="K1016" s="4" t="s">
        <v>28</v>
      </c>
      <c r="L1016" s="4" t="s">
        <v>28</v>
      </c>
      <c r="M1016" s="4" t="s">
        <v>34</v>
      </c>
      <c r="N1016" s="4" t="s">
        <v>28</v>
      </c>
    </row>
    <row r="1017" spans="1:14" ht="14.4" thickBot="1" x14ac:dyDescent="0.35">
      <c r="A1017" s="4" t="s">
        <v>19</v>
      </c>
      <c r="B1017" s="4" t="s">
        <v>666</v>
      </c>
      <c r="C1017" s="4" t="s">
        <v>667</v>
      </c>
      <c r="D1017" s="4" t="s">
        <v>668</v>
      </c>
      <c r="E1017" s="4" t="s">
        <v>254</v>
      </c>
      <c r="F1017" s="4" t="s">
        <v>4593</v>
      </c>
      <c r="G1017" s="4" t="s">
        <v>4594</v>
      </c>
      <c r="H1017" s="4" t="s">
        <v>69</v>
      </c>
      <c r="I1017" s="4" t="s">
        <v>38</v>
      </c>
      <c r="J1017" s="4" t="s">
        <v>28</v>
      </c>
      <c r="K1017" s="4" t="s">
        <v>28</v>
      </c>
      <c r="L1017" s="4" t="s">
        <v>27</v>
      </c>
      <c r="M1017" s="4" t="s">
        <v>34</v>
      </c>
      <c r="N1017" s="4" t="s">
        <v>28</v>
      </c>
    </row>
    <row r="1018" spans="1:14" ht="14.4" thickBot="1" x14ac:dyDescent="0.35">
      <c r="A1018" s="4" t="s">
        <v>19</v>
      </c>
      <c r="B1018" s="4" t="s">
        <v>666</v>
      </c>
      <c r="C1018" s="4" t="s">
        <v>667</v>
      </c>
      <c r="D1018" s="4" t="s">
        <v>668</v>
      </c>
      <c r="E1018" s="4" t="s">
        <v>254</v>
      </c>
      <c r="F1018" s="4" t="s">
        <v>450</v>
      </c>
      <c r="G1018" s="4" t="s">
        <v>4595</v>
      </c>
      <c r="H1018" s="4" t="s">
        <v>26</v>
      </c>
      <c r="I1018" s="4" t="s">
        <v>33</v>
      </c>
      <c r="J1018" s="4" t="s">
        <v>27</v>
      </c>
      <c r="K1018" s="4" t="s">
        <v>28</v>
      </c>
      <c r="L1018" s="4" t="s">
        <v>28</v>
      </c>
      <c r="M1018" s="4" t="s">
        <v>34</v>
      </c>
      <c r="N1018" s="4" t="s">
        <v>28</v>
      </c>
    </row>
    <row r="1019" spans="1:14" ht="14.4" thickBot="1" x14ac:dyDescent="0.35">
      <c r="A1019" s="4" t="s">
        <v>19</v>
      </c>
      <c r="B1019" s="4" t="s">
        <v>666</v>
      </c>
      <c r="C1019" s="4" t="s">
        <v>667</v>
      </c>
      <c r="D1019" s="4" t="s">
        <v>668</v>
      </c>
      <c r="E1019" s="4" t="s">
        <v>254</v>
      </c>
      <c r="F1019" s="4" t="s">
        <v>4596</v>
      </c>
      <c r="G1019" s="4" t="s">
        <v>98</v>
      </c>
      <c r="H1019" s="4" t="s">
        <v>26</v>
      </c>
      <c r="I1019" s="4" t="s">
        <v>33</v>
      </c>
      <c r="J1019" s="4" t="s">
        <v>27</v>
      </c>
      <c r="K1019" s="4" t="s">
        <v>28</v>
      </c>
      <c r="L1019" s="4" t="s">
        <v>28</v>
      </c>
      <c r="M1019" s="4" t="s">
        <v>34</v>
      </c>
      <c r="N1019" s="4" t="s">
        <v>28</v>
      </c>
    </row>
    <row r="1020" spans="1:14" ht="14.4" thickBot="1" x14ac:dyDescent="0.35">
      <c r="A1020" s="4" t="s">
        <v>19</v>
      </c>
      <c r="B1020" s="4" t="s">
        <v>666</v>
      </c>
      <c r="C1020" s="4" t="s">
        <v>667</v>
      </c>
      <c r="D1020" s="4" t="s">
        <v>668</v>
      </c>
      <c r="E1020" s="4" t="s">
        <v>254</v>
      </c>
      <c r="F1020" s="4" t="s">
        <v>4597</v>
      </c>
      <c r="G1020" s="4" t="s">
        <v>4598</v>
      </c>
      <c r="H1020" s="4" t="s">
        <v>26</v>
      </c>
      <c r="I1020" s="4" t="s">
        <v>33</v>
      </c>
      <c r="J1020" s="4" t="s">
        <v>27</v>
      </c>
      <c r="K1020" s="4" t="s">
        <v>28</v>
      </c>
      <c r="L1020" s="4" t="s">
        <v>28</v>
      </c>
      <c r="M1020" s="4" t="s">
        <v>34</v>
      </c>
      <c r="N1020" s="4" t="s">
        <v>28</v>
      </c>
    </row>
    <row r="1021" spans="1:14" ht="14.4" thickBot="1" x14ac:dyDescent="0.35">
      <c r="A1021" s="4" t="s">
        <v>19</v>
      </c>
      <c r="B1021" s="4" t="s">
        <v>666</v>
      </c>
      <c r="C1021" s="4" t="s">
        <v>667</v>
      </c>
      <c r="D1021" s="4" t="s">
        <v>668</v>
      </c>
      <c r="E1021" s="4" t="s">
        <v>254</v>
      </c>
      <c r="F1021" s="4" t="s">
        <v>4599</v>
      </c>
      <c r="G1021" s="4" t="s">
        <v>4600</v>
      </c>
      <c r="H1021" s="4" t="s">
        <v>26</v>
      </c>
      <c r="I1021" s="4" t="s">
        <v>33</v>
      </c>
      <c r="J1021" s="4" t="s">
        <v>27</v>
      </c>
      <c r="K1021" s="4" t="s">
        <v>28</v>
      </c>
      <c r="L1021" s="4" t="s">
        <v>28</v>
      </c>
      <c r="M1021" s="4" t="s">
        <v>34</v>
      </c>
      <c r="N1021" s="4" t="s">
        <v>28</v>
      </c>
    </row>
    <row r="1022" spans="1:14" ht="14.4" thickBot="1" x14ac:dyDescent="0.35">
      <c r="A1022" s="4" t="s">
        <v>19</v>
      </c>
      <c r="B1022" s="4" t="s">
        <v>666</v>
      </c>
      <c r="C1022" s="4" t="s">
        <v>667</v>
      </c>
      <c r="D1022" s="4" t="s">
        <v>668</v>
      </c>
      <c r="E1022" s="4" t="s">
        <v>254</v>
      </c>
      <c r="F1022" s="4" t="s">
        <v>4601</v>
      </c>
      <c r="G1022" s="4" t="s">
        <v>4602</v>
      </c>
      <c r="H1022" s="4" t="s">
        <v>69</v>
      </c>
      <c r="I1022" s="4" t="s">
        <v>38</v>
      </c>
      <c r="J1022" s="4" t="s">
        <v>28</v>
      </c>
      <c r="K1022" s="4" t="s">
        <v>28</v>
      </c>
      <c r="L1022" s="4" t="s">
        <v>27</v>
      </c>
      <c r="M1022" s="4" t="s">
        <v>34</v>
      </c>
      <c r="N1022" s="4" t="s">
        <v>28</v>
      </c>
    </row>
    <row r="1023" spans="1:14" ht="14.4" thickBot="1" x14ac:dyDescent="0.35">
      <c r="A1023" s="4" t="s">
        <v>19</v>
      </c>
      <c r="B1023" s="4" t="s">
        <v>666</v>
      </c>
      <c r="C1023" s="4" t="s">
        <v>667</v>
      </c>
      <c r="D1023" s="4" t="s">
        <v>668</v>
      </c>
      <c r="E1023" s="4" t="s">
        <v>254</v>
      </c>
      <c r="F1023" s="4" t="s">
        <v>4603</v>
      </c>
      <c r="G1023" s="4" t="s">
        <v>228</v>
      </c>
      <c r="H1023" s="4" t="s">
        <v>26</v>
      </c>
      <c r="I1023" s="4" t="s">
        <v>33</v>
      </c>
      <c r="J1023" s="4" t="s">
        <v>27</v>
      </c>
      <c r="K1023" s="4" t="s">
        <v>28</v>
      </c>
      <c r="L1023" s="4" t="s">
        <v>28</v>
      </c>
      <c r="M1023" s="4" t="s">
        <v>34</v>
      </c>
      <c r="N1023" s="4" t="s">
        <v>28</v>
      </c>
    </row>
    <row r="1024" spans="1:14" ht="14.4" thickBot="1" x14ac:dyDescent="0.35">
      <c r="A1024" s="4" t="s">
        <v>19</v>
      </c>
      <c r="B1024" s="4" t="s">
        <v>666</v>
      </c>
      <c r="C1024" s="4" t="s">
        <v>667</v>
      </c>
      <c r="D1024" s="4" t="s">
        <v>668</v>
      </c>
      <c r="E1024" s="4" t="s">
        <v>254</v>
      </c>
      <c r="F1024" s="4" t="s">
        <v>4604</v>
      </c>
      <c r="G1024" s="4" t="s">
        <v>4605</v>
      </c>
      <c r="H1024" s="4" t="s">
        <v>69</v>
      </c>
      <c r="I1024" s="4" t="s">
        <v>94</v>
      </c>
      <c r="J1024" s="4" t="s">
        <v>28</v>
      </c>
      <c r="K1024" s="4" t="s">
        <v>27</v>
      </c>
      <c r="L1024" s="4" t="s">
        <v>28</v>
      </c>
      <c r="M1024" s="4" t="s">
        <v>34</v>
      </c>
      <c r="N1024" s="4" t="s">
        <v>28</v>
      </c>
    </row>
    <row r="1025" spans="1:14" ht="14.4" thickBot="1" x14ac:dyDescent="0.35">
      <c r="A1025" s="4" t="s">
        <v>19</v>
      </c>
      <c r="B1025" s="4" t="s">
        <v>666</v>
      </c>
      <c r="C1025" s="4" t="s">
        <v>667</v>
      </c>
      <c r="D1025" s="4" t="s">
        <v>668</v>
      </c>
      <c r="E1025" s="4" t="s">
        <v>254</v>
      </c>
      <c r="F1025" s="4" t="s">
        <v>4606</v>
      </c>
      <c r="G1025" s="4" t="s">
        <v>4607</v>
      </c>
      <c r="H1025" s="4" t="s">
        <v>26</v>
      </c>
      <c r="I1025" s="4" t="s">
        <v>94</v>
      </c>
      <c r="J1025" s="4" t="s">
        <v>27</v>
      </c>
      <c r="K1025" s="4" t="s">
        <v>28</v>
      </c>
      <c r="L1025" s="4" t="s">
        <v>28</v>
      </c>
      <c r="M1025" s="4" t="s">
        <v>34</v>
      </c>
      <c r="N1025" s="4" t="s">
        <v>28</v>
      </c>
    </row>
    <row r="1026" spans="1:14" ht="14.4" thickBot="1" x14ac:dyDescent="0.35">
      <c r="A1026" s="4" t="s">
        <v>19</v>
      </c>
      <c r="B1026" s="4" t="s">
        <v>666</v>
      </c>
      <c r="C1026" s="4" t="s">
        <v>667</v>
      </c>
      <c r="D1026" s="4" t="s">
        <v>668</v>
      </c>
      <c r="E1026" s="4" t="s">
        <v>254</v>
      </c>
      <c r="F1026" s="4" t="s">
        <v>3297</v>
      </c>
      <c r="G1026" s="4" t="s">
        <v>4608</v>
      </c>
      <c r="H1026" s="4" t="s">
        <v>26</v>
      </c>
      <c r="I1026" s="4" t="s">
        <v>33</v>
      </c>
      <c r="J1026" s="4" t="s">
        <v>27</v>
      </c>
      <c r="K1026" s="4" t="s">
        <v>28</v>
      </c>
      <c r="L1026" s="4" t="s">
        <v>28</v>
      </c>
      <c r="M1026" s="4" t="s">
        <v>34</v>
      </c>
      <c r="N1026" s="4" t="s">
        <v>28</v>
      </c>
    </row>
    <row r="1027" spans="1:14" ht="14.4" thickBot="1" x14ac:dyDescent="0.35">
      <c r="A1027" s="4" t="s">
        <v>19</v>
      </c>
      <c r="B1027" s="4" t="s">
        <v>666</v>
      </c>
      <c r="C1027" s="4" t="s">
        <v>667</v>
      </c>
      <c r="D1027" s="4" t="s">
        <v>668</v>
      </c>
      <c r="E1027" s="4" t="s">
        <v>254</v>
      </c>
      <c r="F1027" s="4" t="s">
        <v>4609</v>
      </c>
      <c r="G1027" s="4" t="s">
        <v>4610</v>
      </c>
      <c r="H1027" s="4" t="s">
        <v>26</v>
      </c>
      <c r="I1027" s="4" t="s">
        <v>33</v>
      </c>
      <c r="J1027" s="4" t="s">
        <v>27</v>
      </c>
      <c r="K1027" s="4" t="s">
        <v>28</v>
      </c>
      <c r="L1027" s="4" t="s">
        <v>28</v>
      </c>
      <c r="M1027" s="4" t="s">
        <v>34</v>
      </c>
      <c r="N1027" s="4" t="s">
        <v>28</v>
      </c>
    </row>
    <row r="1028" spans="1:14" ht="14.4" thickBot="1" x14ac:dyDescent="0.35">
      <c r="A1028" s="4" t="s">
        <v>19</v>
      </c>
      <c r="B1028" s="4" t="s">
        <v>666</v>
      </c>
      <c r="C1028" s="4" t="s">
        <v>667</v>
      </c>
      <c r="D1028" s="4" t="s">
        <v>668</v>
      </c>
      <c r="E1028" s="4" t="s">
        <v>254</v>
      </c>
      <c r="F1028" s="4" t="s">
        <v>4611</v>
      </c>
      <c r="G1028" s="4" t="s">
        <v>651</v>
      </c>
      <c r="H1028" s="4" t="s">
        <v>135</v>
      </c>
      <c r="I1028" s="4" t="s">
        <v>33</v>
      </c>
      <c r="J1028" s="4" t="s">
        <v>27</v>
      </c>
      <c r="K1028" s="4" t="s">
        <v>28</v>
      </c>
      <c r="L1028" s="4" t="s">
        <v>28</v>
      </c>
      <c r="M1028" s="4" t="s">
        <v>34</v>
      </c>
      <c r="N1028" s="4" t="s">
        <v>28</v>
      </c>
    </row>
    <row r="1029" spans="1:14" ht="14.4" thickBot="1" x14ac:dyDescent="0.35">
      <c r="A1029" s="4" t="s">
        <v>19</v>
      </c>
      <c r="B1029" s="4" t="s">
        <v>666</v>
      </c>
      <c r="C1029" s="4" t="s">
        <v>667</v>
      </c>
      <c r="D1029" s="4" t="s">
        <v>668</v>
      </c>
      <c r="E1029" s="4" t="s">
        <v>254</v>
      </c>
      <c r="F1029" s="4" t="s">
        <v>4612</v>
      </c>
      <c r="G1029" s="4" t="s">
        <v>96</v>
      </c>
      <c r="H1029" s="4" t="s">
        <v>37</v>
      </c>
      <c r="I1029" s="4" t="s">
        <v>38</v>
      </c>
      <c r="J1029" s="4" t="s">
        <v>28</v>
      </c>
      <c r="K1029" s="4" t="s">
        <v>28</v>
      </c>
      <c r="L1029" s="4" t="s">
        <v>27</v>
      </c>
      <c r="M1029" s="4" t="s">
        <v>34</v>
      </c>
      <c r="N1029" s="4" t="s">
        <v>28</v>
      </c>
    </row>
    <row r="1030" spans="1:14" ht="14.4" thickBot="1" x14ac:dyDescent="0.35">
      <c r="A1030" s="4" t="s">
        <v>19</v>
      </c>
      <c r="B1030" s="4" t="s">
        <v>666</v>
      </c>
      <c r="C1030" s="4" t="s">
        <v>667</v>
      </c>
      <c r="D1030" s="4" t="s">
        <v>668</v>
      </c>
      <c r="E1030" s="4" t="s">
        <v>254</v>
      </c>
      <c r="F1030" s="4" t="s">
        <v>4708</v>
      </c>
      <c r="G1030" s="4" t="s">
        <v>4709</v>
      </c>
      <c r="H1030" s="4" t="s">
        <v>26</v>
      </c>
      <c r="I1030" s="4" t="s">
        <v>26</v>
      </c>
      <c r="J1030" s="4" t="s">
        <v>27</v>
      </c>
      <c r="K1030" s="4" t="s">
        <v>28</v>
      </c>
      <c r="L1030" s="4" t="s">
        <v>28</v>
      </c>
      <c r="M1030" s="4" t="s">
        <v>29</v>
      </c>
      <c r="N1030" s="4" t="s">
        <v>28</v>
      </c>
    </row>
    <row r="1031" spans="1:14" ht="14.4" thickBot="1" x14ac:dyDescent="0.35">
      <c r="A1031" s="4" t="s">
        <v>19</v>
      </c>
      <c r="B1031" s="4" t="s">
        <v>666</v>
      </c>
      <c r="C1031" s="4" t="s">
        <v>667</v>
      </c>
      <c r="D1031" s="4" t="s">
        <v>668</v>
      </c>
      <c r="E1031" s="4" t="s">
        <v>254</v>
      </c>
      <c r="F1031" s="4" t="s">
        <v>4710</v>
      </c>
      <c r="G1031" s="4" t="s">
        <v>4711</v>
      </c>
      <c r="H1031" s="4" t="s">
        <v>190</v>
      </c>
      <c r="I1031" s="4" t="s">
        <v>135</v>
      </c>
      <c r="J1031" s="4" t="s">
        <v>27</v>
      </c>
      <c r="K1031" s="4" t="s">
        <v>28</v>
      </c>
      <c r="L1031" s="4" t="s">
        <v>28</v>
      </c>
      <c r="M1031" s="4" t="s">
        <v>29</v>
      </c>
      <c r="N1031" s="4" t="s">
        <v>28</v>
      </c>
    </row>
    <row r="1032" spans="1:14" ht="14.4" thickBot="1" x14ac:dyDescent="0.35">
      <c r="A1032" s="4" t="s">
        <v>19</v>
      </c>
      <c r="B1032" s="4" t="s">
        <v>666</v>
      </c>
      <c r="C1032" s="4" t="s">
        <v>667</v>
      </c>
      <c r="D1032" s="4" t="s">
        <v>668</v>
      </c>
      <c r="E1032" s="4" t="s">
        <v>254</v>
      </c>
      <c r="F1032" s="4" t="s">
        <v>4712</v>
      </c>
      <c r="G1032" s="4" t="s">
        <v>4713</v>
      </c>
      <c r="H1032" s="4" t="s">
        <v>26</v>
      </c>
      <c r="I1032" s="4" t="s">
        <v>94</v>
      </c>
      <c r="J1032" s="4" t="s">
        <v>27</v>
      </c>
      <c r="K1032" s="4" t="s">
        <v>28</v>
      </c>
      <c r="L1032" s="4" t="s">
        <v>28</v>
      </c>
      <c r="M1032" s="4" t="s">
        <v>29</v>
      </c>
      <c r="N1032" s="4" t="s">
        <v>28</v>
      </c>
    </row>
    <row r="1033" spans="1:14" ht="14.4" thickBot="1" x14ac:dyDescent="0.35">
      <c r="A1033" s="4" t="s">
        <v>19</v>
      </c>
      <c r="B1033" s="4" t="s">
        <v>666</v>
      </c>
      <c r="C1033" s="4" t="s">
        <v>667</v>
      </c>
      <c r="D1033" s="4" t="s">
        <v>668</v>
      </c>
      <c r="E1033" s="4" t="s">
        <v>254</v>
      </c>
      <c r="F1033" s="4" t="s">
        <v>4714</v>
      </c>
      <c r="G1033" s="4" t="s">
        <v>4715</v>
      </c>
      <c r="H1033" s="4" t="s">
        <v>135</v>
      </c>
      <c r="I1033" s="4" t="s">
        <v>94</v>
      </c>
      <c r="J1033" s="4" t="s">
        <v>27</v>
      </c>
      <c r="K1033" s="4" t="s">
        <v>28</v>
      </c>
      <c r="L1033" s="4" t="s">
        <v>28</v>
      </c>
      <c r="M1033" s="4" t="s">
        <v>29</v>
      </c>
      <c r="N1033" s="4" t="s">
        <v>28</v>
      </c>
    </row>
    <row r="1034" spans="1:14" ht="14.4" thickBot="1" x14ac:dyDescent="0.35">
      <c r="A1034" s="4" t="s">
        <v>19</v>
      </c>
      <c r="B1034" s="4" t="s">
        <v>666</v>
      </c>
      <c r="C1034" s="4" t="s">
        <v>667</v>
      </c>
      <c r="D1034" s="4" t="s">
        <v>668</v>
      </c>
      <c r="E1034" s="4" t="s">
        <v>254</v>
      </c>
      <c r="F1034" s="4" t="s">
        <v>4716</v>
      </c>
      <c r="G1034" s="4" t="s">
        <v>4717</v>
      </c>
      <c r="H1034" s="4" t="s">
        <v>26</v>
      </c>
      <c r="I1034" s="4" t="s">
        <v>26</v>
      </c>
      <c r="J1034" s="4" t="s">
        <v>27</v>
      </c>
      <c r="K1034" s="4" t="s">
        <v>28</v>
      </c>
      <c r="L1034" s="4" t="s">
        <v>28</v>
      </c>
      <c r="M1034" s="4" t="s">
        <v>130</v>
      </c>
      <c r="N1034" s="4" t="s">
        <v>28</v>
      </c>
    </row>
    <row r="1035" spans="1:14" ht="14.4" thickBot="1" x14ac:dyDescent="0.35">
      <c r="A1035" s="4" t="s">
        <v>19</v>
      </c>
      <c r="B1035" s="4" t="s">
        <v>666</v>
      </c>
      <c r="C1035" s="4" t="s">
        <v>667</v>
      </c>
      <c r="D1035" s="4" t="s">
        <v>668</v>
      </c>
      <c r="E1035" s="4" t="s">
        <v>254</v>
      </c>
      <c r="F1035" s="4" t="s">
        <v>4718</v>
      </c>
      <c r="G1035" s="4" t="s">
        <v>4719</v>
      </c>
      <c r="H1035" s="4" t="s">
        <v>37</v>
      </c>
      <c r="I1035" s="4" t="s">
        <v>38</v>
      </c>
      <c r="J1035" s="5"/>
      <c r="K1035" s="5"/>
      <c r="L1035" s="5"/>
      <c r="M1035" s="4" t="s">
        <v>29</v>
      </c>
      <c r="N1035" s="5"/>
    </row>
    <row r="1036" spans="1:14" ht="14.4" thickBot="1" x14ac:dyDescent="0.35">
      <c r="A1036" s="4" t="s">
        <v>19</v>
      </c>
      <c r="B1036" s="4" t="s">
        <v>666</v>
      </c>
      <c r="C1036" s="4" t="s">
        <v>667</v>
      </c>
      <c r="D1036" s="4" t="s">
        <v>668</v>
      </c>
      <c r="E1036" s="4" t="s">
        <v>254</v>
      </c>
      <c r="F1036" s="4" t="s">
        <v>4720</v>
      </c>
      <c r="G1036" s="4" t="s">
        <v>4721</v>
      </c>
      <c r="H1036" s="4" t="s">
        <v>26</v>
      </c>
      <c r="I1036" s="4" t="s">
        <v>26</v>
      </c>
      <c r="J1036" s="5"/>
      <c r="K1036" s="5"/>
      <c r="L1036" s="5"/>
      <c r="M1036" s="4" t="s">
        <v>130</v>
      </c>
      <c r="N1036" s="5"/>
    </row>
    <row r="1037" spans="1:14" ht="14.4" thickBot="1" x14ac:dyDescent="0.35">
      <c r="A1037" s="4" t="s">
        <v>19</v>
      </c>
      <c r="B1037" s="4" t="s">
        <v>666</v>
      </c>
      <c r="C1037" s="4" t="s">
        <v>667</v>
      </c>
      <c r="D1037" s="4" t="s">
        <v>668</v>
      </c>
      <c r="E1037" s="4" t="s">
        <v>254</v>
      </c>
      <c r="F1037" s="4" t="s">
        <v>4722</v>
      </c>
      <c r="G1037" s="4" t="s">
        <v>4723</v>
      </c>
      <c r="H1037" s="4" t="s">
        <v>26</v>
      </c>
      <c r="I1037" s="4" t="s">
        <v>33</v>
      </c>
      <c r="J1037" s="4" t="s">
        <v>27</v>
      </c>
      <c r="K1037" s="4" t="s">
        <v>28</v>
      </c>
      <c r="L1037" s="4" t="s">
        <v>28</v>
      </c>
      <c r="M1037" s="4" t="s">
        <v>29</v>
      </c>
      <c r="N1037" s="4" t="s">
        <v>28</v>
      </c>
    </row>
    <row r="1038" spans="1:14" ht="14.4" thickBot="1" x14ac:dyDescent="0.35">
      <c r="A1038" s="4" t="s">
        <v>19</v>
      </c>
      <c r="B1038" s="4" t="s">
        <v>666</v>
      </c>
      <c r="C1038" s="4" t="s">
        <v>667</v>
      </c>
      <c r="D1038" s="4" t="s">
        <v>668</v>
      </c>
      <c r="E1038" s="4" t="s">
        <v>254</v>
      </c>
      <c r="F1038" s="4" t="s">
        <v>4724</v>
      </c>
      <c r="G1038" s="4" t="s">
        <v>4725</v>
      </c>
      <c r="H1038" s="4" t="s">
        <v>26</v>
      </c>
      <c r="I1038" s="4" t="s">
        <v>26</v>
      </c>
      <c r="J1038" s="4" t="s">
        <v>27</v>
      </c>
      <c r="K1038" s="4" t="s">
        <v>28</v>
      </c>
      <c r="L1038" s="4" t="s">
        <v>28</v>
      </c>
      <c r="M1038" s="4" t="s">
        <v>130</v>
      </c>
      <c r="N1038" s="5"/>
    </row>
    <row r="1039" spans="1:14" ht="14.4" thickBot="1" x14ac:dyDescent="0.35">
      <c r="A1039" s="4" t="s">
        <v>19</v>
      </c>
      <c r="B1039" s="4" t="s">
        <v>666</v>
      </c>
      <c r="C1039" s="4" t="s">
        <v>667</v>
      </c>
      <c r="D1039" s="4" t="s">
        <v>668</v>
      </c>
      <c r="E1039" s="4" t="s">
        <v>254</v>
      </c>
      <c r="F1039" s="4" t="s">
        <v>4726</v>
      </c>
      <c r="G1039" s="4" t="s">
        <v>4727</v>
      </c>
      <c r="H1039" s="4" t="s">
        <v>26</v>
      </c>
      <c r="I1039" s="4" t="s">
        <v>26</v>
      </c>
      <c r="J1039" s="5"/>
      <c r="K1039" s="5"/>
      <c r="L1039" s="5"/>
      <c r="M1039" s="4" t="s">
        <v>130</v>
      </c>
      <c r="N1039" s="5"/>
    </row>
    <row r="1040" spans="1:14" ht="14.4" thickBot="1" x14ac:dyDescent="0.35">
      <c r="A1040" s="4" t="s">
        <v>19</v>
      </c>
      <c r="B1040" s="4" t="s">
        <v>666</v>
      </c>
      <c r="C1040" s="4" t="s">
        <v>667</v>
      </c>
      <c r="D1040" s="4" t="s">
        <v>668</v>
      </c>
      <c r="E1040" s="4" t="s">
        <v>254</v>
      </c>
      <c r="F1040" s="4" t="s">
        <v>4728</v>
      </c>
      <c r="G1040" s="4" t="s">
        <v>4729</v>
      </c>
      <c r="H1040" s="4" t="s">
        <v>26</v>
      </c>
      <c r="I1040" s="4" t="s">
        <v>26</v>
      </c>
      <c r="J1040" s="5"/>
      <c r="K1040" s="5"/>
      <c r="L1040" s="5"/>
      <c r="M1040" s="4" t="s">
        <v>130</v>
      </c>
      <c r="N1040" s="5"/>
    </row>
    <row r="1041" spans="1:14" ht="14.4" thickBot="1" x14ac:dyDescent="0.35">
      <c r="A1041" s="4" t="s">
        <v>19</v>
      </c>
      <c r="B1041" s="4" t="s">
        <v>666</v>
      </c>
      <c r="C1041" s="4" t="s">
        <v>667</v>
      </c>
      <c r="D1041" s="4" t="s">
        <v>668</v>
      </c>
      <c r="E1041" s="4" t="s">
        <v>254</v>
      </c>
      <c r="F1041" s="4" t="s">
        <v>4730</v>
      </c>
      <c r="G1041" s="4" t="s">
        <v>4731</v>
      </c>
      <c r="H1041" s="4" t="s">
        <v>26</v>
      </c>
      <c r="I1041" s="4" t="s">
        <v>26</v>
      </c>
      <c r="J1041" s="4" t="s">
        <v>27</v>
      </c>
      <c r="K1041" s="4" t="s">
        <v>28</v>
      </c>
      <c r="L1041" s="4" t="s">
        <v>28</v>
      </c>
      <c r="M1041" s="4" t="s">
        <v>130</v>
      </c>
      <c r="N1041" s="4" t="s">
        <v>28</v>
      </c>
    </row>
    <row r="1042" spans="1:14" ht="14.4" thickBot="1" x14ac:dyDescent="0.35">
      <c r="A1042" s="4" t="s">
        <v>19</v>
      </c>
      <c r="B1042" s="4" t="s">
        <v>666</v>
      </c>
      <c r="C1042" s="4" t="s">
        <v>667</v>
      </c>
      <c r="D1042" s="4" t="s">
        <v>668</v>
      </c>
      <c r="E1042" s="4" t="s">
        <v>254</v>
      </c>
      <c r="F1042" s="4" t="s">
        <v>4732</v>
      </c>
      <c r="G1042" s="4" t="s">
        <v>4733</v>
      </c>
      <c r="H1042" s="4" t="s">
        <v>26</v>
      </c>
      <c r="I1042" s="4" t="s">
        <v>26</v>
      </c>
      <c r="J1042" s="4" t="s">
        <v>27</v>
      </c>
      <c r="K1042" s="4" t="s">
        <v>28</v>
      </c>
      <c r="L1042" s="4" t="s">
        <v>28</v>
      </c>
      <c r="M1042" s="4" t="s">
        <v>29</v>
      </c>
      <c r="N1042" s="4" t="s">
        <v>28</v>
      </c>
    </row>
    <row r="1043" spans="1:14" ht="14.4" thickBot="1" x14ac:dyDescent="0.35">
      <c r="A1043" s="4" t="s">
        <v>19</v>
      </c>
      <c r="B1043" s="4" t="s">
        <v>666</v>
      </c>
      <c r="C1043" s="4" t="s">
        <v>667</v>
      </c>
      <c r="D1043" s="4" t="s">
        <v>668</v>
      </c>
      <c r="E1043" s="4" t="s">
        <v>254</v>
      </c>
      <c r="F1043" s="4" t="s">
        <v>4734</v>
      </c>
      <c r="G1043" s="4" t="s">
        <v>4735</v>
      </c>
      <c r="H1043" s="4" t="s">
        <v>26</v>
      </c>
      <c r="I1043" s="4" t="s">
        <v>26</v>
      </c>
      <c r="J1043" s="4" t="s">
        <v>27</v>
      </c>
      <c r="K1043" s="4" t="s">
        <v>28</v>
      </c>
      <c r="L1043" s="4" t="s">
        <v>28</v>
      </c>
      <c r="M1043" s="4" t="s">
        <v>29</v>
      </c>
      <c r="N1043" s="4" t="s">
        <v>28</v>
      </c>
    </row>
    <row r="1044" spans="1:14" ht="14.4" thickBot="1" x14ac:dyDescent="0.35">
      <c r="A1044" s="4" t="s">
        <v>19</v>
      </c>
      <c r="B1044" s="4" t="s">
        <v>666</v>
      </c>
      <c r="C1044" s="4" t="s">
        <v>667</v>
      </c>
      <c r="D1044" s="4" t="s">
        <v>668</v>
      </c>
      <c r="E1044" s="4" t="s">
        <v>254</v>
      </c>
      <c r="F1044" s="4" t="s">
        <v>4736</v>
      </c>
      <c r="G1044" s="4" t="s">
        <v>4737</v>
      </c>
      <c r="H1044" s="4" t="s">
        <v>26</v>
      </c>
      <c r="I1044" s="4" t="s">
        <v>94</v>
      </c>
      <c r="J1044" s="5"/>
      <c r="K1044" s="5"/>
      <c r="L1044" s="5"/>
      <c r="M1044" s="4" t="s">
        <v>29</v>
      </c>
      <c r="N1044" s="5"/>
    </row>
    <row r="1045" spans="1:14" ht="14.4" thickBot="1" x14ac:dyDescent="0.35">
      <c r="A1045" s="4" t="s">
        <v>19</v>
      </c>
      <c r="B1045" s="4" t="s">
        <v>666</v>
      </c>
      <c r="C1045" s="4" t="s">
        <v>667</v>
      </c>
      <c r="D1045" s="4" t="s">
        <v>668</v>
      </c>
      <c r="E1045" s="4" t="s">
        <v>254</v>
      </c>
      <c r="F1045" s="4" t="s">
        <v>4738</v>
      </c>
      <c r="G1045" s="4" t="s">
        <v>4739</v>
      </c>
      <c r="H1045" s="4" t="s">
        <v>37</v>
      </c>
      <c r="I1045" s="4" t="s">
        <v>38</v>
      </c>
      <c r="J1045" s="5"/>
      <c r="K1045" s="5"/>
      <c r="L1045" s="5"/>
      <c r="M1045" s="4" t="s">
        <v>29</v>
      </c>
      <c r="N1045" s="5"/>
    </row>
    <row r="1046" spans="1:14" ht="14.4" thickBot="1" x14ac:dyDescent="0.35">
      <c r="A1046" s="4" t="s">
        <v>19</v>
      </c>
      <c r="B1046" s="4" t="s">
        <v>666</v>
      </c>
      <c r="C1046" s="4" t="s">
        <v>667</v>
      </c>
      <c r="D1046" s="4" t="s">
        <v>668</v>
      </c>
      <c r="E1046" s="4" t="s">
        <v>254</v>
      </c>
      <c r="F1046" s="4" t="s">
        <v>5254</v>
      </c>
      <c r="G1046" s="4" t="s">
        <v>5255</v>
      </c>
      <c r="H1046" s="4" t="s">
        <v>135</v>
      </c>
      <c r="I1046" s="4" t="s">
        <v>94</v>
      </c>
      <c r="J1046" s="4" t="s">
        <v>27</v>
      </c>
      <c r="K1046" s="4" t="s">
        <v>28</v>
      </c>
      <c r="L1046" s="4" t="s">
        <v>28</v>
      </c>
      <c r="M1046" s="4" t="s">
        <v>34</v>
      </c>
      <c r="N1046" s="4" t="s">
        <v>28</v>
      </c>
    </row>
    <row r="1047" spans="1:14" ht="14.4" thickBot="1" x14ac:dyDescent="0.35">
      <c r="A1047" s="4" t="s">
        <v>19</v>
      </c>
      <c r="B1047" s="4" t="s">
        <v>666</v>
      </c>
      <c r="C1047" s="4" t="s">
        <v>667</v>
      </c>
      <c r="D1047" s="4" t="s">
        <v>668</v>
      </c>
      <c r="E1047" s="4" t="s">
        <v>254</v>
      </c>
      <c r="F1047" s="4" t="s">
        <v>5256</v>
      </c>
      <c r="G1047" s="4" t="s">
        <v>5257</v>
      </c>
      <c r="H1047" s="4" t="s">
        <v>37</v>
      </c>
      <c r="I1047" s="4" t="s">
        <v>38</v>
      </c>
      <c r="J1047" s="4" t="s">
        <v>28</v>
      </c>
      <c r="K1047" s="4" t="s">
        <v>28</v>
      </c>
      <c r="L1047" s="4" t="s">
        <v>27</v>
      </c>
      <c r="M1047" s="4" t="s">
        <v>34</v>
      </c>
      <c r="N1047" s="4" t="s">
        <v>27</v>
      </c>
    </row>
    <row r="1048" spans="1:14" ht="14.4" thickBot="1" x14ac:dyDescent="0.35">
      <c r="A1048" s="4" t="s">
        <v>19</v>
      </c>
      <c r="B1048" s="4" t="s">
        <v>666</v>
      </c>
      <c r="C1048" s="4" t="s">
        <v>667</v>
      </c>
      <c r="D1048" s="4" t="s">
        <v>668</v>
      </c>
      <c r="E1048" s="4" t="s">
        <v>254</v>
      </c>
      <c r="F1048" s="4" t="s">
        <v>5258</v>
      </c>
      <c r="G1048" s="4" t="s">
        <v>5259</v>
      </c>
      <c r="H1048" s="4" t="s">
        <v>135</v>
      </c>
      <c r="I1048" s="4" t="s">
        <v>33</v>
      </c>
      <c r="J1048" s="4" t="s">
        <v>27</v>
      </c>
      <c r="K1048" s="4" t="s">
        <v>28</v>
      </c>
      <c r="L1048" s="4" t="s">
        <v>28</v>
      </c>
      <c r="M1048" s="4" t="s">
        <v>34</v>
      </c>
      <c r="N1048" s="4" t="s">
        <v>27</v>
      </c>
    </row>
    <row r="1049" spans="1:14" ht="14.4" thickBot="1" x14ac:dyDescent="0.35">
      <c r="A1049" s="4" t="s">
        <v>19</v>
      </c>
      <c r="B1049" s="4" t="s">
        <v>666</v>
      </c>
      <c r="C1049" s="4" t="s">
        <v>667</v>
      </c>
      <c r="D1049" s="4" t="s">
        <v>668</v>
      </c>
      <c r="E1049" s="4" t="s">
        <v>254</v>
      </c>
      <c r="F1049" s="4" t="s">
        <v>5260</v>
      </c>
      <c r="G1049" s="4" t="s">
        <v>5261</v>
      </c>
      <c r="H1049" s="4" t="s">
        <v>33</v>
      </c>
      <c r="I1049" s="4" t="s">
        <v>94</v>
      </c>
      <c r="J1049" s="4" t="s">
        <v>28</v>
      </c>
      <c r="K1049" s="4" t="s">
        <v>27</v>
      </c>
      <c r="L1049" s="4" t="s">
        <v>28</v>
      </c>
      <c r="M1049" s="4" t="s">
        <v>34</v>
      </c>
      <c r="N1049" s="4" t="s">
        <v>27</v>
      </c>
    </row>
    <row r="1050" spans="1:14" ht="14.4" thickBot="1" x14ac:dyDescent="0.35">
      <c r="A1050" s="4" t="s">
        <v>19</v>
      </c>
      <c r="B1050" s="4" t="s">
        <v>666</v>
      </c>
      <c r="C1050" s="4" t="s">
        <v>667</v>
      </c>
      <c r="D1050" s="4" t="s">
        <v>668</v>
      </c>
      <c r="E1050" s="4" t="s">
        <v>254</v>
      </c>
      <c r="F1050" s="4" t="s">
        <v>5262</v>
      </c>
      <c r="G1050" s="4" t="s">
        <v>5263</v>
      </c>
      <c r="H1050" s="4" t="s">
        <v>37</v>
      </c>
      <c r="I1050" s="4" t="s">
        <v>1005</v>
      </c>
      <c r="J1050" s="4" t="s">
        <v>28</v>
      </c>
      <c r="K1050" s="4" t="s">
        <v>28</v>
      </c>
      <c r="L1050" s="4" t="s">
        <v>27</v>
      </c>
      <c r="M1050" s="4" t="s">
        <v>34</v>
      </c>
      <c r="N1050" s="4" t="s">
        <v>27</v>
      </c>
    </row>
    <row r="1051" spans="1:14" ht="14.4" thickBot="1" x14ac:dyDescent="0.35">
      <c r="A1051" s="4" t="s">
        <v>19</v>
      </c>
      <c r="B1051" s="4" t="s">
        <v>666</v>
      </c>
      <c r="C1051" s="4" t="s">
        <v>667</v>
      </c>
      <c r="D1051" s="4" t="s">
        <v>668</v>
      </c>
      <c r="E1051" s="4" t="s">
        <v>254</v>
      </c>
      <c r="F1051" s="4" t="s">
        <v>5264</v>
      </c>
      <c r="G1051" s="4" t="s">
        <v>5265</v>
      </c>
      <c r="H1051" s="4" t="s">
        <v>26</v>
      </c>
      <c r="I1051" s="4" t="s">
        <v>33</v>
      </c>
      <c r="J1051" s="4" t="s">
        <v>27</v>
      </c>
      <c r="K1051" s="4" t="s">
        <v>28</v>
      </c>
      <c r="L1051" s="4" t="s">
        <v>28</v>
      </c>
      <c r="M1051" s="4" t="s">
        <v>34</v>
      </c>
      <c r="N1051" s="4" t="s">
        <v>27</v>
      </c>
    </row>
    <row r="1052" spans="1:14" ht="14.4" thickBot="1" x14ac:dyDescent="0.35">
      <c r="A1052" s="4" t="s">
        <v>19</v>
      </c>
      <c r="B1052" s="4" t="s">
        <v>666</v>
      </c>
      <c r="C1052" s="4" t="s">
        <v>667</v>
      </c>
      <c r="D1052" s="4" t="s">
        <v>668</v>
      </c>
      <c r="E1052" s="4" t="s">
        <v>254</v>
      </c>
      <c r="F1052" s="4" t="s">
        <v>5266</v>
      </c>
      <c r="G1052" s="4" t="s">
        <v>5267</v>
      </c>
      <c r="H1052" s="4" t="s">
        <v>37</v>
      </c>
      <c r="I1052" s="4" t="s">
        <v>38</v>
      </c>
      <c r="J1052" s="4" t="s">
        <v>28</v>
      </c>
      <c r="K1052" s="4" t="s">
        <v>28</v>
      </c>
      <c r="L1052" s="4" t="s">
        <v>27</v>
      </c>
      <c r="M1052" s="4" t="s">
        <v>34</v>
      </c>
      <c r="N1052" s="4" t="s">
        <v>28</v>
      </c>
    </row>
    <row r="1053" spans="1:14" ht="14.4" thickBot="1" x14ac:dyDescent="0.35">
      <c r="A1053" s="4" t="s">
        <v>19</v>
      </c>
      <c r="B1053" s="4" t="s">
        <v>666</v>
      </c>
      <c r="C1053" s="4" t="s">
        <v>667</v>
      </c>
      <c r="D1053" s="4" t="s">
        <v>668</v>
      </c>
      <c r="E1053" s="4" t="s">
        <v>254</v>
      </c>
      <c r="F1053" s="4" t="s">
        <v>5268</v>
      </c>
      <c r="G1053" s="4" t="s">
        <v>5269</v>
      </c>
      <c r="H1053" s="4" t="s">
        <v>37</v>
      </c>
      <c r="I1053" s="4" t="s">
        <v>38</v>
      </c>
      <c r="J1053" s="4" t="s">
        <v>28</v>
      </c>
      <c r="K1053" s="4" t="s">
        <v>28</v>
      </c>
      <c r="L1053" s="4" t="s">
        <v>27</v>
      </c>
      <c r="M1053" s="4" t="s">
        <v>34</v>
      </c>
      <c r="N1053" s="4" t="s">
        <v>28</v>
      </c>
    </row>
    <row r="1054" spans="1:14" ht="14.4" thickBot="1" x14ac:dyDescent="0.35">
      <c r="A1054" s="4" t="s">
        <v>19</v>
      </c>
      <c r="B1054" s="4" t="s">
        <v>666</v>
      </c>
      <c r="C1054" s="4" t="s">
        <v>667</v>
      </c>
      <c r="D1054" s="4" t="s">
        <v>668</v>
      </c>
      <c r="E1054" s="4" t="s">
        <v>254</v>
      </c>
      <c r="F1054" s="4" t="s">
        <v>5270</v>
      </c>
      <c r="G1054" s="4" t="s">
        <v>5271</v>
      </c>
      <c r="H1054" s="4" t="s">
        <v>26</v>
      </c>
      <c r="I1054" s="4" t="s">
        <v>33</v>
      </c>
      <c r="J1054" s="4" t="s">
        <v>27</v>
      </c>
      <c r="K1054" s="4" t="s">
        <v>28</v>
      </c>
      <c r="L1054" s="4" t="s">
        <v>28</v>
      </c>
      <c r="M1054" s="4" t="s">
        <v>34</v>
      </c>
      <c r="N1054" s="4" t="s">
        <v>28</v>
      </c>
    </row>
    <row r="1055" spans="1:14" ht="14.4" thickBot="1" x14ac:dyDescent="0.35">
      <c r="A1055" s="4" t="s">
        <v>19</v>
      </c>
      <c r="B1055" s="4" t="s">
        <v>666</v>
      </c>
      <c r="C1055" s="4" t="s">
        <v>667</v>
      </c>
      <c r="D1055" s="4" t="s">
        <v>668</v>
      </c>
      <c r="E1055" s="4" t="s">
        <v>254</v>
      </c>
      <c r="F1055" s="4" t="s">
        <v>5272</v>
      </c>
      <c r="G1055" s="4" t="s">
        <v>5273</v>
      </c>
      <c r="H1055" s="4" t="s">
        <v>69</v>
      </c>
      <c r="I1055" s="4" t="s">
        <v>38</v>
      </c>
      <c r="J1055" s="4" t="s">
        <v>28</v>
      </c>
      <c r="K1055" s="4" t="s">
        <v>28</v>
      </c>
      <c r="L1055" s="4" t="s">
        <v>27</v>
      </c>
      <c r="M1055" s="4" t="s">
        <v>34</v>
      </c>
      <c r="N1055" s="4" t="s">
        <v>28</v>
      </c>
    </row>
    <row r="1056" spans="1:14" ht="14.4" thickBot="1" x14ac:dyDescent="0.35">
      <c r="A1056" s="4" t="s">
        <v>19</v>
      </c>
      <c r="B1056" s="4" t="s">
        <v>666</v>
      </c>
      <c r="C1056" s="4" t="s">
        <v>667</v>
      </c>
      <c r="D1056" s="4" t="s">
        <v>668</v>
      </c>
      <c r="E1056" s="4" t="s">
        <v>254</v>
      </c>
      <c r="F1056" s="4" t="s">
        <v>5274</v>
      </c>
      <c r="G1056" s="4" t="s">
        <v>5275</v>
      </c>
      <c r="H1056" s="4" t="s">
        <v>26</v>
      </c>
      <c r="I1056" s="4" t="s">
        <v>33</v>
      </c>
      <c r="J1056" s="4" t="s">
        <v>27</v>
      </c>
      <c r="K1056" s="4" t="s">
        <v>28</v>
      </c>
      <c r="L1056" s="4" t="s">
        <v>28</v>
      </c>
      <c r="M1056" s="4" t="s">
        <v>34</v>
      </c>
      <c r="N1056" s="4" t="s">
        <v>27</v>
      </c>
    </row>
    <row r="1057" spans="1:14" ht="14.4" thickBot="1" x14ac:dyDescent="0.35">
      <c r="A1057" s="4" t="s">
        <v>19</v>
      </c>
      <c r="B1057" s="4" t="s">
        <v>666</v>
      </c>
      <c r="C1057" s="4" t="s">
        <v>667</v>
      </c>
      <c r="D1057" s="4" t="s">
        <v>668</v>
      </c>
      <c r="E1057" s="4" t="s">
        <v>254</v>
      </c>
      <c r="F1057" s="4" t="s">
        <v>5276</v>
      </c>
      <c r="G1057" s="4" t="s">
        <v>5277</v>
      </c>
      <c r="H1057" s="4" t="s">
        <v>37</v>
      </c>
      <c r="I1057" s="4" t="s">
        <v>38</v>
      </c>
      <c r="J1057" s="4" t="s">
        <v>28</v>
      </c>
      <c r="K1057" s="4" t="s">
        <v>28</v>
      </c>
      <c r="L1057" s="4" t="s">
        <v>27</v>
      </c>
      <c r="M1057" s="4" t="s">
        <v>34</v>
      </c>
      <c r="N1057" s="4" t="s">
        <v>27</v>
      </c>
    </row>
    <row r="1058" spans="1:14" ht="14.4" thickBot="1" x14ac:dyDescent="0.35">
      <c r="A1058" s="4" t="s">
        <v>19</v>
      </c>
      <c r="B1058" s="4" t="s">
        <v>666</v>
      </c>
      <c r="C1058" s="4" t="s">
        <v>667</v>
      </c>
      <c r="D1058" s="4" t="s">
        <v>668</v>
      </c>
      <c r="E1058" s="4" t="s">
        <v>254</v>
      </c>
      <c r="F1058" s="4" t="s">
        <v>5278</v>
      </c>
      <c r="G1058" s="4" t="s">
        <v>5279</v>
      </c>
      <c r="H1058" s="4" t="s">
        <v>26</v>
      </c>
      <c r="I1058" s="4" t="s">
        <v>33</v>
      </c>
      <c r="J1058" s="4" t="s">
        <v>27</v>
      </c>
      <c r="K1058" s="4" t="s">
        <v>28</v>
      </c>
      <c r="L1058" s="4" t="s">
        <v>28</v>
      </c>
      <c r="M1058" s="4" t="s">
        <v>34</v>
      </c>
      <c r="N1058" s="4" t="s">
        <v>28</v>
      </c>
    </row>
    <row r="1059" spans="1:14" ht="14.4" thickBot="1" x14ac:dyDescent="0.35">
      <c r="A1059" s="4" t="s">
        <v>19</v>
      </c>
      <c r="B1059" s="4" t="s">
        <v>666</v>
      </c>
      <c r="C1059" s="4" t="s">
        <v>667</v>
      </c>
      <c r="D1059" s="4" t="s">
        <v>668</v>
      </c>
      <c r="E1059" s="4" t="s">
        <v>254</v>
      </c>
      <c r="F1059" s="4" t="s">
        <v>5280</v>
      </c>
      <c r="G1059" s="4" t="s">
        <v>5281</v>
      </c>
      <c r="H1059" s="4" t="s">
        <v>37</v>
      </c>
      <c r="I1059" s="4" t="s">
        <v>38</v>
      </c>
      <c r="J1059" s="4" t="s">
        <v>28</v>
      </c>
      <c r="K1059" s="4" t="s">
        <v>28</v>
      </c>
      <c r="L1059" s="4" t="s">
        <v>27</v>
      </c>
      <c r="M1059" s="4" t="s">
        <v>34</v>
      </c>
      <c r="N1059" s="4" t="s">
        <v>27</v>
      </c>
    </row>
    <row r="1060" spans="1:14" ht="14.4" thickBot="1" x14ac:dyDescent="0.35">
      <c r="A1060" s="4" t="s">
        <v>19</v>
      </c>
      <c r="B1060" s="4" t="s">
        <v>666</v>
      </c>
      <c r="C1060" s="4" t="s">
        <v>667</v>
      </c>
      <c r="D1060" s="4" t="s">
        <v>668</v>
      </c>
      <c r="E1060" s="4" t="s">
        <v>254</v>
      </c>
      <c r="F1060" s="4" t="s">
        <v>5282</v>
      </c>
      <c r="G1060" s="4" t="s">
        <v>5283</v>
      </c>
      <c r="H1060" s="4" t="s">
        <v>26</v>
      </c>
      <c r="I1060" s="4" t="s">
        <v>33</v>
      </c>
      <c r="J1060" s="4" t="s">
        <v>27</v>
      </c>
      <c r="K1060" s="4" t="s">
        <v>28</v>
      </c>
      <c r="L1060" s="4" t="s">
        <v>28</v>
      </c>
      <c r="M1060" s="4" t="s">
        <v>34</v>
      </c>
      <c r="N1060" s="4" t="s">
        <v>28</v>
      </c>
    </row>
    <row r="1061" spans="1:14" ht="14.4" thickBot="1" x14ac:dyDescent="0.35">
      <c r="A1061" s="4" t="s">
        <v>19</v>
      </c>
      <c r="B1061" s="4" t="s">
        <v>666</v>
      </c>
      <c r="C1061" s="4" t="s">
        <v>667</v>
      </c>
      <c r="D1061" s="4" t="s">
        <v>668</v>
      </c>
      <c r="E1061" s="4" t="s">
        <v>254</v>
      </c>
      <c r="F1061" s="4" t="s">
        <v>5284</v>
      </c>
      <c r="G1061" s="4" t="s">
        <v>1313</v>
      </c>
      <c r="H1061" s="4" t="s">
        <v>26</v>
      </c>
      <c r="I1061" s="4" t="s">
        <v>33</v>
      </c>
      <c r="J1061" s="4" t="s">
        <v>27</v>
      </c>
      <c r="K1061" s="4" t="s">
        <v>28</v>
      </c>
      <c r="L1061" s="4" t="s">
        <v>28</v>
      </c>
      <c r="M1061" s="4" t="s">
        <v>34</v>
      </c>
      <c r="N1061" s="4" t="s">
        <v>28</v>
      </c>
    </row>
    <row r="1062" spans="1:14" ht="14.4" thickBot="1" x14ac:dyDescent="0.35">
      <c r="A1062" s="4" t="s">
        <v>19</v>
      </c>
      <c r="B1062" s="4" t="s">
        <v>666</v>
      </c>
      <c r="C1062" s="4" t="s">
        <v>667</v>
      </c>
      <c r="D1062" s="4" t="s">
        <v>668</v>
      </c>
      <c r="E1062" s="4" t="s">
        <v>254</v>
      </c>
      <c r="F1062" s="4" t="s">
        <v>2405</v>
      </c>
      <c r="G1062" s="4" t="s">
        <v>5285</v>
      </c>
      <c r="H1062" s="4" t="s">
        <v>26</v>
      </c>
      <c r="I1062" s="4" t="s">
        <v>33</v>
      </c>
      <c r="J1062" s="4" t="s">
        <v>27</v>
      </c>
      <c r="K1062" s="4" t="s">
        <v>28</v>
      </c>
      <c r="L1062" s="4" t="s">
        <v>28</v>
      </c>
      <c r="M1062" s="4" t="s">
        <v>34</v>
      </c>
      <c r="N1062" s="4" t="s">
        <v>28</v>
      </c>
    </row>
    <row r="1063" spans="1:14" ht="14.4" thickBot="1" x14ac:dyDescent="0.35">
      <c r="A1063" s="4" t="s">
        <v>19</v>
      </c>
      <c r="B1063" s="4" t="s">
        <v>666</v>
      </c>
      <c r="C1063" s="4" t="s">
        <v>667</v>
      </c>
      <c r="D1063" s="4" t="s">
        <v>668</v>
      </c>
      <c r="E1063" s="4" t="s">
        <v>254</v>
      </c>
      <c r="F1063" s="4" t="s">
        <v>1020</v>
      </c>
      <c r="G1063" s="4" t="s">
        <v>5286</v>
      </c>
      <c r="H1063" s="4" t="s">
        <v>37</v>
      </c>
      <c r="I1063" s="4" t="s">
        <v>38</v>
      </c>
      <c r="J1063" s="4" t="s">
        <v>28</v>
      </c>
      <c r="K1063" s="4" t="s">
        <v>28</v>
      </c>
      <c r="L1063" s="4" t="s">
        <v>27</v>
      </c>
      <c r="M1063" s="4" t="s">
        <v>34</v>
      </c>
      <c r="N1063" s="4" t="s">
        <v>28</v>
      </c>
    </row>
    <row r="1064" spans="1:14" ht="14.4" thickBot="1" x14ac:dyDescent="0.35">
      <c r="A1064" s="4" t="s">
        <v>19</v>
      </c>
      <c r="B1064" s="4" t="s">
        <v>666</v>
      </c>
      <c r="C1064" s="4" t="s">
        <v>667</v>
      </c>
      <c r="D1064" s="4" t="s">
        <v>668</v>
      </c>
      <c r="E1064" s="4" t="s">
        <v>254</v>
      </c>
      <c r="F1064" s="4" t="s">
        <v>5287</v>
      </c>
      <c r="G1064" s="4" t="s">
        <v>3359</v>
      </c>
      <c r="H1064" s="4" t="s">
        <v>37</v>
      </c>
      <c r="I1064" s="4" t="s">
        <v>38</v>
      </c>
      <c r="J1064" s="4" t="s">
        <v>28</v>
      </c>
      <c r="K1064" s="4" t="s">
        <v>28</v>
      </c>
      <c r="L1064" s="4" t="s">
        <v>27</v>
      </c>
      <c r="M1064" s="4" t="s">
        <v>34</v>
      </c>
      <c r="N1064" s="4" t="s">
        <v>28</v>
      </c>
    </row>
    <row r="1065" spans="1:14" ht="14.4" thickBot="1" x14ac:dyDescent="0.35">
      <c r="A1065" s="4" t="s">
        <v>19</v>
      </c>
      <c r="B1065" s="4" t="s">
        <v>666</v>
      </c>
      <c r="C1065" s="4" t="s">
        <v>667</v>
      </c>
      <c r="D1065" s="4" t="s">
        <v>668</v>
      </c>
      <c r="E1065" s="4" t="s">
        <v>254</v>
      </c>
      <c r="F1065" s="4" t="s">
        <v>5288</v>
      </c>
      <c r="G1065" s="4" t="s">
        <v>5289</v>
      </c>
      <c r="H1065" s="4" t="s">
        <v>158</v>
      </c>
      <c r="I1065" s="4" t="s">
        <v>33</v>
      </c>
      <c r="J1065" s="4" t="s">
        <v>27</v>
      </c>
      <c r="K1065" s="4" t="s">
        <v>28</v>
      </c>
      <c r="L1065" s="4" t="s">
        <v>28</v>
      </c>
      <c r="M1065" s="4" t="s">
        <v>34</v>
      </c>
      <c r="N1065" s="4" t="s">
        <v>28</v>
      </c>
    </row>
    <row r="1066" spans="1:14" ht="14.4" thickBot="1" x14ac:dyDescent="0.35">
      <c r="A1066" s="4" t="s">
        <v>19</v>
      </c>
      <c r="B1066" s="4" t="s">
        <v>666</v>
      </c>
      <c r="C1066" s="4" t="s">
        <v>667</v>
      </c>
      <c r="D1066" s="4" t="s">
        <v>668</v>
      </c>
      <c r="E1066" s="4" t="s">
        <v>254</v>
      </c>
      <c r="F1066" s="4" t="s">
        <v>767</v>
      </c>
      <c r="G1066" s="4" t="s">
        <v>5290</v>
      </c>
      <c r="H1066" s="4" t="s">
        <v>26</v>
      </c>
      <c r="I1066" s="4" t="s">
        <v>33</v>
      </c>
      <c r="J1066" s="4" t="s">
        <v>27</v>
      </c>
      <c r="K1066" s="4" t="s">
        <v>28</v>
      </c>
      <c r="L1066" s="4" t="s">
        <v>28</v>
      </c>
      <c r="M1066" s="4" t="s">
        <v>34</v>
      </c>
      <c r="N1066" s="4" t="s">
        <v>28</v>
      </c>
    </row>
    <row r="1067" spans="1:14" ht="14.4" thickBot="1" x14ac:dyDescent="0.35">
      <c r="A1067" s="4" t="s">
        <v>19</v>
      </c>
      <c r="B1067" s="4" t="s">
        <v>666</v>
      </c>
      <c r="C1067" s="4" t="s">
        <v>667</v>
      </c>
      <c r="D1067" s="4" t="s">
        <v>668</v>
      </c>
      <c r="E1067" s="4" t="s">
        <v>254</v>
      </c>
      <c r="F1067" s="4" t="s">
        <v>5291</v>
      </c>
      <c r="G1067" s="4" t="s">
        <v>5292</v>
      </c>
      <c r="H1067" s="4" t="s">
        <v>26</v>
      </c>
      <c r="I1067" s="4" t="s">
        <v>33</v>
      </c>
      <c r="J1067" s="4" t="s">
        <v>27</v>
      </c>
      <c r="K1067" s="4" t="s">
        <v>28</v>
      </c>
      <c r="L1067" s="4" t="s">
        <v>28</v>
      </c>
      <c r="M1067" s="4" t="s">
        <v>34</v>
      </c>
      <c r="N1067" s="4" t="s">
        <v>28</v>
      </c>
    </row>
    <row r="1068" spans="1:14" ht="14.4" thickBot="1" x14ac:dyDescent="0.35">
      <c r="A1068" s="4" t="s">
        <v>19</v>
      </c>
      <c r="B1068" s="4" t="s">
        <v>666</v>
      </c>
      <c r="C1068" s="4" t="s">
        <v>667</v>
      </c>
      <c r="D1068" s="4" t="s">
        <v>668</v>
      </c>
      <c r="E1068" s="4" t="s">
        <v>254</v>
      </c>
      <c r="F1068" s="4" t="s">
        <v>5293</v>
      </c>
      <c r="G1068" s="4" t="s">
        <v>5294</v>
      </c>
      <c r="H1068" s="4" t="s">
        <v>26</v>
      </c>
      <c r="I1068" s="4" t="s">
        <v>94</v>
      </c>
      <c r="J1068" s="4" t="s">
        <v>27</v>
      </c>
      <c r="K1068" s="4" t="s">
        <v>28</v>
      </c>
      <c r="L1068" s="4" t="s">
        <v>28</v>
      </c>
      <c r="M1068" s="4" t="s">
        <v>34</v>
      </c>
      <c r="N1068" s="4" t="s">
        <v>28</v>
      </c>
    </row>
    <row r="1069" spans="1:14" ht="14.4" thickBot="1" x14ac:dyDescent="0.35">
      <c r="A1069" s="4" t="s">
        <v>19</v>
      </c>
      <c r="B1069" s="4" t="s">
        <v>666</v>
      </c>
      <c r="C1069" s="4" t="s">
        <v>667</v>
      </c>
      <c r="D1069" s="4" t="s">
        <v>668</v>
      </c>
      <c r="E1069" s="4" t="s">
        <v>254</v>
      </c>
      <c r="F1069" s="4" t="s">
        <v>5405</v>
      </c>
      <c r="G1069" s="4" t="s">
        <v>5406</v>
      </c>
      <c r="H1069" s="4" t="s">
        <v>26</v>
      </c>
      <c r="I1069" s="4" t="s">
        <v>26</v>
      </c>
      <c r="J1069" s="4" t="s">
        <v>27</v>
      </c>
      <c r="K1069" s="4" t="s">
        <v>28</v>
      </c>
      <c r="L1069" s="4" t="s">
        <v>28</v>
      </c>
      <c r="M1069" s="4" t="s">
        <v>29</v>
      </c>
      <c r="N1069" s="4" t="s">
        <v>28</v>
      </c>
    </row>
    <row r="1070" spans="1:14" ht="14.4" thickBot="1" x14ac:dyDescent="0.35">
      <c r="A1070" s="4" t="s">
        <v>19</v>
      </c>
      <c r="B1070" s="4" t="s">
        <v>666</v>
      </c>
      <c r="C1070" s="4" t="s">
        <v>667</v>
      </c>
      <c r="D1070" s="4" t="s">
        <v>668</v>
      </c>
      <c r="E1070" s="4" t="s">
        <v>254</v>
      </c>
      <c r="F1070" s="4" t="s">
        <v>5407</v>
      </c>
      <c r="G1070" s="4" t="s">
        <v>5408</v>
      </c>
      <c r="H1070" s="4" t="s">
        <v>26</v>
      </c>
      <c r="I1070" s="4" t="s">
        <v>26</v>
      </c>
      <c r="J1070" s="4" t="s">
        <v>27</v>
      </c>
      <c r="K1070" s="4" t="s">
        <v>28</v>
      </c>
      <c r="L1070" s="4" t="s">
        <v>28</v>
      </c>
      <c r="M1070" s="4" t="s">
        <v>29</v>
      </c>
      <c r="N1070" s="4" t="s">
        <v>28</v>
      </c>
    </row>
    <row r="1071" spans="1:14" ht="14.4" thickBot="1" x14ac:dyDescent="0.35">
      <c r="A1071" s="4" t="s">
        <v>19</v>
      </c>
      <c r="B1071" s="4" t="s">
        <v>666</v>
      </c>
      <c r="C1071" s="4" t="s">
        <v>667</v>
      </c>
      <c r="D1071" s="4" t="s">
        <v>668</v>
      </c>
      <c r="E1071" s="4" t="s">
        <v>254</v>
      </c>
      <c r="F1071" s="4" t="s">
        <v>5409</v>
      </c>
      <c r="G1071" s="4" t="s">
        <v>5410</v>
      </c>
      <c r="H1071" s="4" t="s">
        <v>190</v>
      </c>
      <c r="I1071" s="4" t="s">
        <v>26</v>
      </c>
      <c r="J1071" s="4" t="s">
        <v>27</v>
      </c>
      <c r="K1071" s="4" t="s">
        <v>28</v>
      </c>
      <c r="L1071" s="4" t="s">
        <v>28</v>
      </c>
      <c r="M1071" s="4" t="s">
        <v>29</v>
      </c>
      <c r="N1071" s="4" t="s">
        <v>28</v>
      </c>
    </row>
    <row r="1072" spans="1:14" ht="14.4" thickBot="1" x14ac:dyDescent="0.35">
      <c r="A1072" s="4" t="s">
        <v>19</v>
      </c>
      <c r="B1072" s="4" t="s">
        <v>666</v>
      </c>
      <c r="C1072" s="4" t="s">
        <v>667</v>
      </c>
      <c r="D1072" s="4" t="s">
        <v>668</v>
      </c>
      <c r="E1072" s="4" t="s">
        <v>254</v>
      </c>
      <c r="F1072" s="4" t="s">
        <v>40</v>
      </c>
      <c r="G1072" s="4" t="s">
        <v>5411</v>
      </c>
      <c r="H1072" s="4" t="s">
        <v>26</v>
      </c>
      <c r="I1072" s="4" t="s">
        <v>26</v>
      </c>
      <c r="J1072" s="4" t="s">
        <v>27</v>
      </c>
      <c r="K1072" s="4" t="s">
        <v>28</v>
      </c>
      <c r="L1072" s="4" t="s">
        <v>28</v>
      </c>
      <c r="M1072" s="4" t="s">
        <v>29</v>
      </c>
      <c r="N1072" s="4" t="s">
        <v>28</v>
      </c>
    </row>
    <row r="1073" spans="1:14" ht="14.4" thickBot="1" x14ac:dyDescent="0.35">
      <c r="A1073" s="4" t="s">
        <v>19</v>
      </c>
      <c r="B1073" s="4" t="s">
        <v>666</v>
      </c>
      <c r="C1073" s="4" t="s">
        <v>667</v>
      </c>
      <c r="D1073" s="4" t="s">
        <v>668</v>
      </c>
      <c r="E1073" s="4" t="s">
        <v>254</v>
      </c>
      <c r="F1073" s="4" t="s">
        <v>5412</v>
      </c>
      <c r="G1073" s="4" t="s">
        <v>5413</v>
      </c>
      <c r="H1073" s="4" t="s">
        <v>26</v>
      </c>
      <c r="I1073" s="4" t="s">
        <v>26</v>
      </c>
      <c r="J1073" s="4" t="s">
        <v>27</v>
      </c>
      <c r="K1073" s="4" t="s">
        <v>28</v>
      </c>
      <c r="L1073" s="4" t="s">
        <v>28</v>
      </c>
      <c r="M1073" s="4" t="s">
        <v>29</v>
      </c>
      <c r="N1073" s="4" t="s">
        <v>28</v>
      </c>
    </row>
    <row r="1074" spans="1:14" ht="14.4" thickBot="1" x14ac:dyDescent="0.35">
      <c r="A1074" s="4" t="s">
        <v>19</v>
      </c>
      <c r="B1074" s="4" t="s">
        <v>666</v>
      </c>
      <c r="C1074" s="4" t="s">
        <v>667</v>
      </c>
      <c r="D1074" s="4" t="s">
        <v>668</v>
      </c>
      <c r="E1074" s="4" t="s">
        <v>254</v>
      </c>
      <c r="F1074" s="4" t="s">
        <v>5414</v>
      </c>
      <c r="G1074" s="4" t="s">
        <v>5415</v>
      </c>
      <c r="H1074" s="4" t="s">
        <v>26</v>
      </c>
      <c r="I1074" s="4" t="s">
        <v>26</v>
      </c>
      <c r="J1074" s="4" t="s">
        <v>27</v>
      </c>
      <c r="K1074" s="4" t="s">
        <v>28</v>
      </c>
      <c r="L1074" s="4" t="s">
        <v>28</v>
      </c>
      <c r="M1074" s="4" t="s">
        <v>29</v>
      </c>
      <c r="N1074" s="4" t="s">
        <v>28</v>
      </c>
    </row>
    <row r="1075" spans="1:14" ht="14.4" thickBot="1" x14ac:dyDescent="0.35">
      <c r="A1075" s="4" t="s">
        <v>19</v>
      </c>
      <c r="B1075" s="4" t="s">
        <v>666</v>
      </c>
      <c r="C1075" s="4" t="s">
        <v>667</v>
      </c>
      <c r="D1075" s="4" t="s">
        <v>668</v>
      </c>
      <c r="E1075" s="4" t="s">
        <v>254</v>
      </c>
      <c r="F1075" s="4" t="s">
        <v>5416</v>
      </c>
      <c r="G1075" s="4" t="s">
        <v>5417</v>
      </c>
      <c r="H1075" s="4" t="s">
        <v>26</v>
      </c>
      <c r="I1075" s="4" t="s">
        <v>26</v>
      </c>
      <c r="J1075" s="4" t="s">
        <v>27</v>
      </c>
      <c r="K1075" s="4" t="s">
        <v>28</v>
      </c>
      <c r="L1075" s="4" t="s">
        <v>28</v>
      </c>
      <c r="M1075" s="4" t="s">
        <v>29</v>
      </c>
      <c r="N1075" s="4" t="s">
        <v>28</v>
      </c>
    </row>
    <row r="1076" spans="1:14" ht="14.4" thickBot="1" x14ac:dyDescent="0.35">
      <c r="A1076" s="4" t="s">
        <v>19</v>
      </c>
      <c r="B1076" s="4" t="s">
        <v>666</v>
      </c>
      <c r="C1076" s="4" t="s">
        <v>667</v>
      </c>
      <c r="D1076" s="4" t="s">
        <v>668</v>
      </c>
      <c r="E1076" s="4" t="s">
        <v>254</v>
      </c>
      <c r="F1076" s="4" t="s">
        <v>5418</v>
      </c>
      <c r="G1076" s="4" t="s">
        <v>5419</v>
      </c>
      <c r="H1076" s="4" t="s">
        <v>26</v>
      </c>
      <c r="I1076" s="4" t="s">
        <v>26</v>
      </c>
      <c r="J1076" s="5"/>
      <c r="K1076" s="5"/>
      <c r="L1076" s="5"/>
      <c r="M1076" s="4" t="s">
        <v>130</v>
      </c>
      <c r="N1076" s="5"/>
    </row>
    <row r="1077" spans="1:14" ht="14.4" thickBot="1" x14ac:dyDescent="0.35">
      <c r="A1077" s="4" t="s">
        <v>19</v>
      </c>
      <c r="B1077" s="4" t="s">
        <v>666</v>
      </c>
      <c r="C1077" s="4" t="s">
        <v>667</v>
      </c>
      <c r="D1077" s="4" t="s">
        <v>668</v>
      </c>
      <c r="E1077" s="4" t="s">
        <v>254</v>
      </c>
      <c r="F1077" s="4" t="s">
        <v>5420</v>
      </c>
      <c r="G1077" s="4" t="s">
        <v>5421</v>
      </c>
      <c r="H1077" s="4" t="s">
        <v>26</v>
      </c>
      <c r="I1077" s="4" t="s">
        <v>26</v>
      </c>
      <c r="J1077" s="5"/>
      <c r="K1077" s="5"/>
      <c r="L1077" s="5"/>
      <c r="M1077" s="4" t="s">
        <v>130</v>
      </c>
      <c r="N1077" s="5"/>
    </row>
    <row r="1078" spans="1:14" ht="14.4" thickBot="1" x14ac:dyDescent="0.35">
      <c r="A1078" s="4" t="s">
        <v>19</v>
      </c>
      <c r="B1078" s="4" t="s">
        <v>666</v>
      </c>
      <c r="C1078" s="4" t="s">
        <v>667</v>
      </c>
      <c r="D1078" s="4" t="s">
        <v>668</v>
      </c>
      <c r="E1078" s="4" t="s">
        <v>254</v>
      </c>
      <c r="F1078" s="4" t="s">
        <v>5422</v>
      </c>
      <c r="G1078" s="4" t="s">
        <v>5423</v>
      </c>
      <c r="H1078" s="4" t="s">
        <v>26</v>
      </c>
      <c r="I1078" s="4" t="s">
        <v>26</v>
      </c>
      <c r="J1078" s="5"/>
      <c r="K1078" s="5"/>
      <c r="L1078" s="5"/>
      <c r="M1078" s="4" t="s">
        <v>130</v>
      </c>
      <c r="N1078" s="5"/>
    </row>
    <row r="1079" spans="1:14" ht="14.4" thickBot="1" x14ac:dyDescent="0.35">
      <c r="A1079" s="4" t="s">
        <v>19</v>
      </c>
      <c r="B1079" s="4" t="s">
        <v>666</v>
      </c>
      <c r="C1079" s="4" t="s">
        <v>667</v>
      </c>
      <c r="D1079" s="4" t="s">
        <v>668</v>
      </c>
      <c r="E1079" s="4" t="s">
        <v>254</v>
      </c>
      <c r="F1079" s="4" t="s">
        <v>5424</v>
      </c>
      <c r="G1079" s="4" t="s">
        <v>5425</v>
      </c>
      <c r="H1079" s="4" t="s">
        <v>26</v>
      </c>
      <c r="I1079" s="4" t="s">
        <v>26</v>
      </c>
      <c r="J1079" s="4" t="s">
        <v>27</v>
      </c>
      <c r="K1079" s="4" t="s">
        <v>28</v>
      </c>
      <c r="L1079" s="4" t="s">
        <v>28</v>
      </c>
      <c r="M1079" s="4" t="s">
        <v>130</v>
      </c>
      <c r="N1079" s="5"/>
    </row>
    <row r="1080" spans="1:14" ht="14.4" thickBot="1" x14ac:dyDescent="0.35">
      <c r="A1080" s="4" t="s">
        <v>19</v>
      </c>
      <c r="B1080" s="4" t="s">
        <v>666</v>
      </c>
      <c r="C1080" s="4" t="s">
        <v>667</v>
      </c>
      <c r="D1080" s="4" t="s">
        <v>668</v>
      </c>
      <c r="E1080" s="4" t="s">
        <v>254</v>
      </c>
      <c r="F1080" s="4" t="s">
        <v>5426</v>
      </c>
      <c r="G1080" s="4" t="s">
        <v>5427</v>
      </c>
      <c r="H1080" s="4" t="s">
        <v>26</v>
      </c>
      <c r="I1080" s="4" t="s">
        <v>94</v>
      </c>
      <c r="J1080" s="5"/>
      <c r="K1080" s="5"/>
      <c r="L1080" s="5"/>
      <c r="M1080" s="4" t="s">
        <v>29</v>
      </c>
      <c r="N1080" s="5"/>
    </row>
    <row r="1081" spans="1:14" ht="14.4" thickBot="1" x14ac:dyDescent="0.35">
      <c r="A1081" s="4" t="s">
        <v>19</v>
      </c>
      <c r="B1081" s="4" t="s">
        <v>666</v>
      </c>
      <c r="C1081" s="4" t="s">
        <v>667</v>
      </c>
      <c r="D1081" s="4" t="s">
        <v>668</v>
      </c>
      <c r="E1081" s="4" t="s">
        <v>254</v>
      </c>
      <c r="F1081" s="4" t="s">
        <v>5428</v>
      </c>
      <c r="G1081" s="4" t="s">
        <v>5429</v>
      </c>
      <c r="H1081" s="4" t="s">
        <v>135</v>
      </c>
      <c r="I1081" s="4" t="s">
        <v>94</v>
      </c>
      <c r="J1081" s="5"/>
      <c r="K1081" s="5"/>
      <c r="L1081" s="5"/>
      <c r="M1081" s="4" t="s">
        <v>29</v>
      </c>
      <c r="N1081" s="5"/>
    </row>
    <row r="1082" spans="1:14" ht="14.4" thickBot="1" x14ac:dyDescent="0.35">
      <c r="A1082" s="4" t="s">
        <v>19</v>
      </c>
      <c r="B1082" s="4" t="s">
        <v>666</v>
      </c>
      <c r="C1082" s="4" t="s">
        <v>667</v>
      </c>
      <c r="D1082" s="4" t="s">
        <v>668</v>
      </c>
      <c r="E1082" s="4" t="s">
        <v>254</v>
      </c>
      <c r="F1082" s="4" t="s">
        <v>5430</v>
      </c>
      <c r="G1082" s="4" t="s">
        <v>5431</v>
      </c>
      <c r="H1082" s="4" t="s">
        <v>135</v>
      </c>
      <c r="I1082" s="4" t="s">
        <v>94</v>
      </c>
      <c r="J1082" s="5"/>
      <c r="K1082" s="5"/>
      <c r="L1082" s="5"/>
      <c r="M1082" s="4" t="s">
        <v>29</v>
      </c>
      <c r="N1082" s="5"/>
    </row>
    <row r="1083" spans="1:14" ht="14.4" thickBot="1" x14ac:dyDescent="0.35">
      <c r="A1083" s="4" t="s">
        <v>19</v>
      </c>
      <c r="B1083" s="4" t="s">
        <v>666</v>
      </c>
      <c r="C1083" s="4" t="s">
        <v>667</v>
      </c>
      <c r="D1083" s="4" t="s">
        <v>668</v>
      </c>
      <c r="E1083" s="4" t="s">
        <v>254</v>
      </c>
      <c r="F1083" s="4" t="s">
        <v>5432</v>
      </c>
      <c r="G1083" s="4" t="s">
        <v>5433</v>
      </c>
      <c r="H1083" s="4" t="s">
        <v>26</v>
      </c>
      <c r="I1083" s="4" t="s">
        <v>94</v>
      </c>
      <c r="J1083" s="5"/>
      <c r="K1083" s="5"/>
      <c r="L1083" s="5"/>
      <c r="M1083" s="4" t="s">
        <v>29</v>
      </c>
      <c r="N1083" s="5"/>
    </row>
    <row r="1084" spans="1:14" ht="14.4" thickBot="1" x14ac:dyDescent="0.35">
      <c r="A1084" s="4" t="s">
        <v>19</v>
      </c>
      <c r="B1084" s="4" t="s">
        <v>666</v>
      </c>
      <c r="C1084" s="4" t="s">
        <v>667</v>
      </c>
      <c r="D1084" s="4" t="s">
        <v>668</v>
      </c>
      <c r="E1084" s="4" t="s">
        <v>254</v>
      </c>
      <c r="F1084" s="4" t="s">
        <v>5434</v>
      </c>
      <c r="G1084" s="4" t="s">
        <v>5435</v>
      </c>
      <c r="H1084" s="4" t="s">
        <v>26</v>
      </c>
      <c r="I1084" s="4" t="s">
        <v>94</v>
      </c>
      <c r="J1084" s="4" t="s">
        <v>27</v>
      </c>
      <c r="K1084" s="4" t="s">
        <v>28</v>
      </c>
      <c r="L1084" s="4" t="s">
        <v>28</v>
      </c>
      <c r="M1084" s="4" t="s">
        <v>29</v>
      </c>
      <c r="N1084" s="4" t="s">
        <v>28</v>
      </c>
    </row>
    <row r="1085" spans="1:14" ht="14.4" thickBot="1" x14ac:dyDescent="0.35">
      <c r="A1085" s="4" t="s">
        <v>19</v>
      </c>
      <c r="B1085" s="4" t="s">
        <v>666</v>
      </c>
      <c r="C1085" s="4" t="s">
        <v>667</v>
      </c>
      <c r="D1085" s="4" t="s">
        <v>668</v>
      </c>
      <c r="E1085" s="4" t="s">
        <v>254</v>
      </c>
      <c r="F1085" s="4" t="s">
        <v>5436</v>
      </c>
      <c r="G1085" s="4" t="s">
        <v>5437</v>
      </c>
      <c r="H1085" s="4" t="s">
        <v>26</v>
      </c>
      <c r="I1085" s="4" t="s">
        <v>135</v>
      </c>
      <c r="J1085" s="5"/>
      <c r="K1085" s="5"/>
      <c r="L1085" s="5"/>
      <c r="M1085" s="4" t="s">
        <v>29</v>
      </c>
      <c r="N1085" s="5"/>
    </row>
    <row r="1086" spans="1:14" ht="14.4" thickBot="1" x14ac:dyDescent="0.35">
      <c r="A1086" s="4" t="s">
        <v>19</v>
      </c>
      <c r="B1086" s="4" t="s">
        <v>666</v>
      </c>
      <c r="C1086" s="4" t="s">
        <v>667</v>
      </c>
      <c r="D1086" s="4" t="s">
        <v>668</v>
      </c>
      <c r="E1086" s="4" t="s">
        <v>254</v>
      </c>
      <c r="F1086" s="4" t="s">
        <v>5935</v>
      </c>
      <c r="G1086" s="4" t="s">
        <v>781</v>
      </c>
      <c r="H1086" s="4" t="s">
        <v>37</v>
      </c>
      <c r="I1086" s="4" t="s">
        <v>38</v>
      </c>
      <c r="J1086" s="4" t="s">
        <v>28</v>
      </c>
      <c r="K1086" s="4" t="s">
        <v>28</v>
      </c>
      <c r="L1086" s="4" t="s">
        <v>27</v>
      </c>
      <c r="M1086" s="4" t="s">
        <v>34</v>
      </c>
      <c r="N1086" s="4" t="s">
        <v>28</v>
      </c>
    </row>
    <row r="1087" spans="1:14" ht="14.4" thickBot="1" x14ac:dyDescent="0.35">
      <c r="A1087" s="4" t="s">
        <v>19</v>
      </c>
      <c r="B1087" s="4" t="s">
        <v>666</v>
      </c>
      <c r="C1087" s="4" t="s">
        <v>667</v>
      </c>
      <c r="D1087" s="4" t="s">
        <v>668</v>
      </c>
      <c r="E1087" s="4" t="s">
        <v>254</v>
      </c>
      <c r="F1087" s="4" t="s">
        <v>5936</v>
      </c>
      <c r="G1087" s="4" t="s">
        <v>5937</v>
      </c>
      <c r="H1087" s="4" t="s">
        <v>26</v>
      </c>
      <c r="I1087" s="4" t="s">
        <v>33</v>
      </c>
      <c r="J1087" s="4" t="s">
        <v>27</v>
      </c>
      <c r="K1087" s="4" t="s">
        <v>28</v>
      </c>
      <c r="L1087" s="4" t="s">
        <v>28</v>
      </c>
      <c r="M1087" s="4" t="s">
        <v>34</v>
      </c>
      <c r="N1087" s="4" t="s">
        <v>28</v>
      </c>
    </row>
    <row r="1088" spans="1:14" ht="14.4" thickBot="1" x14ac:dyDescent="0.35">
      <c r="A1088" s="4" t="s">
        <v>19</v>
      </c>
      <c r="B1088" s="4" t="s">
        <v>666</v>
      </c>
      <c r="C1088" s="4" t="s">
        <v>667</v>
      </c>
      <c r="D1088" s="4" t="s">
        <v>668</v>
      </c>
      <c r="E1088" s="4" t="s">
        <v>254</v>
      </c>
      <c r="F1088" s="4" t="s">
        <v>5938</v>
      </c>
      <c r="G1088" s="4" t="s">
        <v>5939</v>
      </c>
      <c r="H1088" s="4" t="s">
        <v>69</v>
      </c>
      <c r="I1088" s="4" t="s">
        <v>94</v>
      </c>
      <c r="J1088" s="4" t="s">
        <v>28</v>
      </c>
      <c r="K1088" s="4" t="s">
        <v>27</v>
      </c>
      <c r="L1088" s="4" t="s">
        <v>28</v>
      </c>
      <c r="M1088" s="4" t="s">
        <v>34</v>
      </c>
      <c r="N1088" s="4" t="s">
        <v>27</v>
      </c>
    </row>
    <row r="1089" spans="1:14" ht="14.4" thickBot="1" x14ac:dyDescent="0.35">
      <c r="A1089" s="4" t="s">
        <v>19</v>
      </c>
      <c r="B1089" s="4" t="s">
        <v>666</v>
      </c>
      <c r="C1089" s="4" t="s">
        <v>667</v>
      </c>
      <c r="D1089" s="4" t="s">
        <v>668</v>
      </c>
      <c r="E1089" s="4" t="s">
        <v>254</v>
      </c>
      <c r="F1089" s="4" t="s">
        <v>5940</v>
      </c>
      <c r="G1089" s="4" t="s">
        <v>5941</v>
      </c>
      <c r="H1089" s="4" t="s">
        <v>69</v>
      </c>
      <c r="I1089" s="4" t="s">
        <v>94</v>
      </c>
      <c r="J1089" s="4" t="s">
        <v>28</v>
      </c>
      <c r="K1089" s="4" t="s">
        <v>27</v>
      </c>
      <c r="L1089" s="4" t="s">
        <v>28</v>
      </c>
      <c r="M1089" s="4" t="s">
        <v>34</v>
      </c>
      <c r="N1089" s="4" t="s">
        <v>28</v>
      </c>
    </row>
    <row r="1090" spans="1:14" ht="14.4" thickBot="1" x14ac:dyDescent="0.35">
      <c r="A1090" s="4" t="s">
        <v>19</v>
      </c>
      <c r="B1090" s="4" t="s">
        <v>666</v>
      </c>
      <c r="C1090" s="4" t="s">
        <v>667</v>
      </c>
      <c r="D1090" s="4" t="s">
        <v>668</v>
      </c>
      <c r="E1090" s="4" t="s">
        <v>254</v>
      </c>
      <c r="F1090" s="4" t="s">
        <v>5942</v>
      </c>
      <c r="G1090" s="4" t="s">
        <v>5943</v>
      </c>
      <c r="H1090" s="4" t="s">
        <v>135</v>
      </c>
      <c r="I1090" s="4" t="s">
        <v>33</v>
      </c>
      <c r="J1090" s="4" t="s">
        <v>27</v>
      </c>
      <c r="K1090" s="4" t="s">
        <v>28</v>
      </c>
      <c r="L1090" s="4" t="s">
        <v>28</v>
      </c>
      <c r="M1090" s="4" t="s">
        <v>34</v>
      </c>
      <c r="N1090" s="4" t="s">
        <v>27</v>
      </c>
    </row>
    <row r="1091" spans="1:14" ht="14.4" thickBot="1" x14ac:dyDescent="0.35">
      <c r="A1091" s="4" t="s">
        <v>19</v>
      </c>
      <c r="B1091" s="4" t="s">
        <v>666</v>
      </c>
      <c r="C1091" s="4" t="s">
        <v>667</v>
      </c>
      <c r="D1091" s="4" t="s">
        <v>668</v>
      </c>
      <c r="E1091" s="4" t="s">
        <v>254</v>
      </c>
      <c r="F1091" s="4" t="s">
        <v>5944</v>
      </c>
      <c r="G1091" s="4" t="s">
        <v>5945</v>
      </c>
      <c r="H1091" s="4" t="s">
        <v>26</v>
      </c>
      <c r="I1091" s="4" t="s">
        <v>33</v>
      </c>
      <c r="J1091" s="4" t="s">
        <v>27</v>
      </c>
      <c r="K1091" s="4" t="s">
        <v>28</v>
      </c>
      <c r="L1091" s="4" t="s">
        <v>28</v>
      </c>
      <c r="M1091" s="4" t="s">
        <v>34</v>
      </c>
      <c r="N1091" s="4" t="s">
        <v>27</v>
      </c>
    </row>
    <row r="1092" spans="1:14" ht="14.4" thickBot="1" x14ac:dyDescent="0.35">
      <c r="A1092" s="4" t="s">
        <v>19</v>
      </c>
      <c r="B1092" s="4" t="s">
        <v>666</v>
      </c>
      <c r="C1092" s="4" t="s">
        <v>667</v>
      </c>
      <c r="D1092" s="4" t="s">
        <v>668</v>
      </c>
      <c r="E1092" s="4" t="s">
        <v>254</v>
      </c>
      <c r="F1092" s="4" t="s">
        <v>5946</v>
      </c>
      <c r="G1092" s="4" t="s">
        <v>5947</v>
      </c>
      <c r="H1092" s="4" t="s">
        <v>135</v>
      </c>
      <c r="I1092" s="4" t="s">
        <v>33</v>
      </c>
      <c r="J1092" s="4" t="s">
        <v>27</v>
      </c>
      <c r="K1092" s="4" t="s">
        <v>28</v>
      </c>
      <c r="L1092" s="4" t="s">
        <v>28</v>
      </c>
      <c r="M1092" s="4" t="s">
        <v>34</v>
      </c>
      <c r="N1092" s="4" t="s">
        <v>27</v>
      </c>
    </row>
    <row r="1093" spans="1:14" ht="14.4" thickBot="1" x14ac:dyDescent="0.35">
      <c r="A1093" s="4" t="s">
        <v>19</v>
      </c>
      <c r="B1093" s="4" t="s">
        <v>666</v>
      </c>
      <c r="C1093" s="4" t="s">
        <v>667</v>
      </c>
      <c r="D1093" s="4" t="s">
        <v>668</v>
      </c>
      <c r="E1093" s="4" t="s">
        <v>254</v>
      </c>
      <c r="F1093" s="4" t="s">
        <v>5948</v>
      </c>
      <c r="G1093" s="4" t="s">
        <v>5949</v>
      </c>
      <c r="H1093" s="4" t="s">
        <v>37</v>
      </c>
      <c r="I1093" s="4" t="s">
        <v>38</v>
      </c>
      <c r="J1093" s="4" t="s">
        <v>28</v>
      </c>
      <c r="K1093" s="4" t="s">
        <v>28</v>
      </c>
      <c r="L1093" s="4" t="s">
        <v>27</v>
      </c>
      <c r="M1093" s="4" t="s">
        <v>34</v>
      </c>
      <c r="N1093" s="4" t="s">
        <v>27</v>
      </c>
    </row>
    <row r="1094" spans="1:14" ht="14.4" thickBot="1" x14ac:dyDescent="0.35">
      <c r="A1094" s="4" t="s">
        <v>19</v>
      </c>
      <c r="B1094" s="4" t="s">
        <v>666</v>
      </c>
      <c r="C1094" s="4" t="s">
        <v>667</v>
      </c>
      <c r="D1094" s="4" t="s">
        <v>668</v>
      </c>
      <c r="E1094" s="4" t="s">
        <v>254</v>
      </c>
      <c r="F1094" s="4" t="s">
        <v>5950</v>
      </c>
      <c r="G1094" s="4" t="s">
        <v>5951</v>
      </c>
      <c r="H1094" s="4" t="s">
        <v>26</v>
      </c>
      <c r="I1094" s="4" t="s">
        <v>33</v>
      </c>
      <c r="J1094" s="4" t="s">
        <v>27</v>
      </c>
      <c r="K1094" s="4" t="s">
        <v>28</v>
      </c>
      <c r="L1094" s="4" t="s">
        <v>28</v>
      </c>
      <c r="M1094" s="4" t="s">
        <v>34</v>
      </c>
      <c r="N1094" s="4" t="s">
        <v>27</v>
      </c>
    </row>
    <row r="1095" spans="1:14" ht="14.4" thickBot="1" x14ac:dyDescent="0.35">
      <c r="A1095" s="4" t="s">
        <v>19</v>
      </c>
      <c r="B1095" s="4" t="s">
        <v>666</v>
      </c>
      <c r="C1095" s="4" t="s">
        <v>667</v>
      </c>
      <c r="D1095" s="4" t="s">
        <v>668</v>
      </c>
      <c r="E1095" s="4" t="s">
        <v>254</v>
      </c>
      <c r="F1095" s="4" t="s">
        <v>5952</v>
      </c>
      <c r="G1095" s="4" t="s">
        <v>5953</v>
      </c>
      <c r="H1095" s="4" t="s">
        <v>37</v>
      </c>
      <c r="I1095" s="4" t="s">
        <v>38</v>
      </c>
      <c r="J1095" s="4" t="s">
        <v>28</v>
      </c>
      <c r="K1095" s="4" t="s">
        <v>28</v>
      </c>
      <c r="L1095" s="4" t="s">
        <v>27</v>
      </c>
      <c r="M1095" s="4" t="s">
        <v>34</v>
      </c>
      <c r="N1095" s="4" t="s">
        <v>27</v>
      </c>
    </row>
    <row r="1096" spans="1:14" ht="14.4" thickBot="1" x14ac:dyDescent="0.35">
      <c r="A1096" s="4" t="s">
        <v>19</v>
      </c>
      <c r="B1096" s="4" t="s">
        <v>666</v>
      </c>
      <c r="C1096" s="4" t="s">
        <v>667</v>
      </c>
      <c r="D1096" s="4" t="s">
        <v>668</v>
      </c>
      <c r="E1096" s="4" t="s">
        <v>254</v>
      </c>
      <c r="F1096" s="4" t="s">
        <v>5954</v>
      </c>
      <c r="G1096" s="4" t="s">
        <v>5955</v>
      </c>
      <c r="H1096" s="4" t="s">
        <v>37</v>
      </c>
      <c r="I1096" s="4" t="s">
        <v>38</v>
      </c>
      <c r="J1096" s="4" t="s">
        <v>28</v>
      </c>
      <c r="K1096" s="4" t="s">
        <v>28</v>
      </c>
      <c r="L1096" s="4" t="s">
        <v>27</v>
      </c>
      <c r="M1096" s="4" t="s">
        <v>34</v>
      </c>
      <c r="N1096" s="4" t="s">
        <v>27</v>
      </c>
    </row>
    <row r="1097" spans="1:14" ht="14.4" thickBot="1" x14ac:dyDescent="0.35">
      <c r="A1097" s="4" t="s">
        <v>19</v>
      </c>
      <c r="B1097" s="4" t="s">
        <v>666</v>
      </c>
      <c r="C1097" s="4" t="s">
        <v>667</v>
      </c>
      <c r="D1097" s="4" t="s">
        <v>668</v>
      </c>
      <c r="E1097" s="4" t="s">
        <v>254</v>
      </c>
      <c r="F1097" s="4" t="s">
        <v>5956</v>
      </c>
      <c r="G1097" s="4" t="s">
        <v>5957</v>
      </c>
      <c r="H1097" s="4" t="s">
        <v>26</v>
      </c>
      <c r="I1097" s="4" t="s">
        <v>33</v>
      </c>
      <c r="J1097" s="4" t="s">
        <v>27</v>
      </c>
      <c r="K1097" s="4" t="s">
        <v>28</v>
      </c>
      <c r="L1097" s="4" t="s">
        <v>28</v>
      </c>
      <c r="M1097" s="4" t="s">
        <v>34</v>
      </c>
      <c r="N1097" s="4" t="s">
        <v>28</v>
      </c>
    </row>
    <row r="1098" spans="1:14" ht="14.4" thickBot="1" x14ac:dyDescent="0.35">
      <c r="A1098" s="4" t="s">
        <v>19</v>
      </c>
      <c r="B1098" s="4" t="s">
        <v>666</v>
      </c>
      <c r="C1098" s="4" t="s">
        <v>667</v>
      </c>
      <c r="D1098" s="4" t="s">
        <v>668</v>
      </c>
      <c r="E1098" s="4" t="s">
        <v>254</v>
      </c>
      <c r="F1098" s="4" t="s">
        <v>5958</v>
      </c>
      <c r="G1098" s="4" t="s">
        <v>5959</v>
      </c>
      <c r="H1098" s="4" t="s">
        <v>135</v>
      </c>
      <c r="I1098" s="4" t="s">
        <v>33</v>
      </c>
      <c r="J1098" s="4" t="s">
        <v>27</v>
      </c>
      <c r="K1098" s="4" t="s">
        <v>28</v>
      </c>
      <c r="L1098" s="4" t="s">
        <v>28</v>
      </c>
      <c r="M1098" s="4" t="s">
        <v>34</v>
      </c>
      <c r="N1098" s="4" t="s">
        <v>27</v>
      </c>
    </row>
    <row r="1099" spans="1:14" ht="14.4" thickBot="1" x14ac:dyDescent="0.35">
      <c r="A1099" s="4" t="s">
        <v>19</v>
      </c>
      <c r="B1099" s="4" t="s">
        <v>666</v>
      </c>
      <c r="C1099" s="4" t="s">
        <v>667</v>
      </c>
      <c r="D1099" s="4" t="s">
        <v>668</v>
      </c>
      <c r="E1099" s="4" t="s">
        <v>254</v>
      </c>
      <c r="F1099" s="4" t="s">
        <v>5960</v>
      </c>
      <c r="G1099" s="4" t="s">
        <v>5961</v>
      </c>
      <c r="H1099" s="4" t="s">
        <v>69</v>
      </c>
      <c r="I1099" s="4" t="s">
        <v>38</v>
      </c>
      <c r="J1099" s="4" t="s">
        <v>28</v>
      </c>
      <c r="K1099" s="4" t="s">
        <v>28</v>
      </c>
      <c r="L1099" s="4" t="s">
        <v>27</v>
      </c>
      <c r="M1099" s="4" t="s">
        <v>34</v>
      </c>
      <c r="N1099" s="4" t="s">
        <v>28</v>
      </c>
    </row>
    <row r="1100" spans="1:14" ht="14.4" thickBot="1" x14ac:dyDescent="0.35">
      <c r="A1100" s="4" t="s">
        <v>19</v>
      </c>
      <c r="B1100" s="4" t="s">
        <v>666</v>
      </c>
      <c r="C1100" s="4" t="s">
        <v>667</v>
      </c>
      <c r="D1100" s="4" t="s">
        <v>668</v>
      </c>
      <c r="E1100" s="4" t="s">
        <v>254</v>
      </c>
      <c r="F1100" s="4" t="s">
        <v>5962</v>
      </c>
      <c r="G1100" s="4" t="s">
        <v>5963</v>
      </c>
      <c r="H1100" s="4" t="s">
        <v>69</v>
      </c>
      <c r="I1100" s="4" t="s">
        <v>38</v>
      </c>
      <c r="J1100" s="4" t="s">
        <v>28</v>
      </c>
      <c r="K1100" s="4" t="s">
        <v>28</v>
      </c>
      <c r="L1100" s="4" t="s">
        <v>27</v>
      </c>
      <c r="M1100" s="4" t="s">
        <v>34</v>
      </c>
      <c r="N1100" s="4" t="s">
        <v>28</v>
      </c>
    </row>
    <row r="1101" spans="1:14" ht="14.4" thickBot="1" x14ac:dyDescent="0.35">
      <c r="A1101" s="4" t="s">
        <v>19</v>
      </c>
      <c r="B1101" s="4" t="s">
        <v>666</v>
      </c>
      <c r="C1101" s="4" t="s">
        <v>667</v>
      </c>
      <c r="D1101" s="4" t="s">
        <v>668</v>
      </c>
      <c r="E1101" s="4" t="s">
        <v>254</v>
      </c>
      <c r="F1101" s="4" t="s">
        <v>5964</v>
      </c>
      <c r="G1101" s="4" t="s">
        <v>5965</v>
      </c>
      <c r="H1101" s="4" t="s">
        <v>69</v>
      </c>
      <c r="I1101" s="4" t="s">
        <v>94</v>
      </c>
      <c r="J1101" s="4" t="s">
        <v>28</v>
      </c>
      <c r="K1101" s="4" t="s">
        <v>27</v>
      </c>
      <c r="L1101" s="4" t="s">
        <v>28</v>
      </c>
      <c r="M1101" s="4" t="s">
        <v>34</v>
      </c>
      <c r="N1101" s="4" t="s">
        <v>27</v>
      </c>
    </row>
    <row r="1102" spans="1:14" ht="14.4" thickBot="1" x14ac:dyDescent="0.35">
      <c r="A1102" s="4" t="s">
        <v>19</v>
      </c>
      <c r="B1102" s="4" t="s">
        <v>666</v>
      </c>
      <c r="C1102" s="4" t="s">
        <v>667</v>
      </c>
      <c r="D1102" s="4" t="s">
        <v>668</v>
      </c>
      <c r="E1102" s="4" t="s">
        <v>254</v>
      </c>
      <c r="F1102" s="4" t="s">
        <v>5966</v>
      </c>
      <c r="G1102" s="4" t="s">
        <v>5967</v>
      </c>
      <c r="H1102" s="4" t="s">
        <v>26</v>
      </c>
      <c r="I1102" s="4" t="s">
        <v>94</v>
      </c>
      <c r="J1102" s="4" t="s">
        <v>27</v>
      </c>
      <c r="K1102" s="4" t="s">
        <v>28</v>
      </c>
      <c r="L1102" s="4" t="s">
        <v>28</v>
      </c>
      <c r="M1102" s="4" t="s">
        <v>34</v>
      </c>
      <c r="N1102" s="4" t="s">
        <v>28</v>
      </c>
    </row>
    <row r="1103" spans="1:14" ht="14.4" thickBot="1" x14ac:dyDescent="0.35">
      <c r="A1103" s="4" t="s">
        <v>19</v>
      </c>
      <c r="B1103" s="4" t="s">
        <v>666</v>
      </c>
      <c r="C1103" s="4" t="s">
        <v>667</v>
      </c>
      <c r="D1103" s="4" t="s">
        <v>668</v>
      </c>
      <c r="E1103" s="4" t="s">
        <v>254</v>
      </c>
      <c r="F1103" s="4" t="s">
        <v>5968</v>
      </c>
      <c r="G1103" s="4" t="s">
        <v>5969</v>
      </c>
      <c r="H1103" s="4" t="s">
        <v>69</v>
      </c>
      <c r="I1103" s="4" t="s">
        <v>94</v>
      </c>
      <c r="J1103" s="4" t="s">
        <v>28</v>
      </c>
      <c r="K1103" s="4" t="s">
        <v>27</v>
      </c>
      <c r="L1103" s="4" t="s">
        <v>28</v>
      </c>
      <c r="M1103" s="4" t="s">
        <v>34</v>
      </c>
      <c r="N1103" s="4" t="s">
        <v>27</v>
      </c>
    </row>
    <row r="1104" spans="1:14" ht="14.4" thickBot="1" x14ac:dyDescent="0.35">
      <c r="A1104" s="4" t="s">
        <v>19</v>
      </c>
      <c r="B1104" s="4" t="s">
        <v>666</v>
      </c>
      <c r="C1104" s="4" t="s">
        <v>667</v>
      </c>
      <c r="D1104" s="4" t="s">
        <v>668</v>
      </c>
      <c r="E1104" s="4" t="s">
        <v>254</v>
      </c>
      <c r="F1104" s="4" t="s">
        <v>473</v>
      </c>
      <c r="G1104" s="4" t="s">
        <v>5970</v>
      </c>
      <c r="H1104" s="4" t="s">
        <v>122</v>
      </c>
      <c r="I1104" s="4" t="s">
        <v>38</v>
      </c>
      <c r="J1104" s="4" t="s">
        <v>28</v>
      </c>
      <c r="K1104" s="4" t="s">
        <v>28</v>
      </c>
      <c r="L1104" s="4" t="s">
        <v>27</v>
      </c>
      <c r="M1104" s="4" t="s">
        <v>34</v>
      </c>
      <c r="N1104" s="4" t="s">
        <v>27</v>
      </c>
    </row>
    <row r="1105" spans="1:14" ht="14.4" thickBot="1" x14ac:dyDescent="0.35">
      <c r="A1105" s="4" t="s">
        <v>19</v>
      </c>
      <c r="B1105" s="4" t="s">
        <v>666</v>
      </c>
      <c r="C1105" s="4" t="s">
        <v>667</v>
      </c>
      <c r="D1105" s="4" t="s">
        <v>668</v>
      </c>
      <c r="E1105" s="4" t="s">
        <v>254</v>
      </c>
      <c r="F1105" s="4" t="s">
        <v>5971</v>
      </c>
      <c r="G1105" s="4" t="s">
        <v>5972</v>
      </c>
      <c r="H1105" s="4" t="s">
        <v>69</v>
      </c>
      <c r="I1105" s="4" t="s">
        <v>38</v>
      </c>
      <c r="J1105" s="4" t="s">
        <v>28</v>
      </c>
      <c r="K1105" s="4" t="s">
        <v>28</v>
      </c>
      <c r="L1105" s="4" t="s">
        <v>27</v>
      </c>
      <c r="M1105" s="4" t="s">
        <v>34</v>
      </c>
      <c r="N1105" s="4" t="s">
        <v>28</v>
      </c>
    </row>
    <row r="1106" spans="1:14" ht="14.4" thickBot="1" x14ac:dyDescent="0.35">
      <c r="A1106" s="4" t="s">
        <v>19</v>
      </c>
      <c r="B1106" s="4" t="s">
        <v>666</v>
      </c>
      <c r="C1106" s="4" t="s">
        <v>667</v>
      </c>
      <c r="D1106" s="4" t="s">
        <v>668</v>
      </c>
      <c r="E1106" s="4" t="s">
        <v>254</v>
      </c>
      <c r="F1106" s="4" t="s">
        <v>5973</v>
      </c>
      <c r="G1106" s="4" t="s">
        <v>5974</v>
      </c>
      <c r="H1106" s="4" t="s">
        <v>69</v>
      </c>
      <c r="I1106" s="4" t="s">
        <v>94</v>
      </c>
      <c r="J1106" s="4" t="s">
        <v>28</v>
      </c>
      <c r="K1106" s="4" t="s">
        <v>27</v>
      </c>
      <c r="L1106" s="4" t="s">
        <v>28</v>
      </c>
      <c r="M1106" s="4" t="s">
        <v>34</v>
      </c>
      <c r="N1106" s="4" t="s">
        <v>27</v>
      </c>
    </row>
    <row r="1107" spans="1:14" ht="14.4" thickBot="1" x14ac:dyDescent="0.35">
      <c r="A1107" s="4" t="s">
        <v>19</v>
      </c>
      <c r="B1107" s="4" t="s">
        <v>666</v>
      </c>
      <c r="C1107" s="4" t="s">
        <v>667</v>
      </c>
      <c r="D1107" s="4" t="s">
        <v>668</v>
      </c>
      <c r="E1107" s="4" t="s">
        <v>254</v>
      </c>
      <c r="F1107" s="4" t="s">
        <v>5975</v>
      </c>
      <c r="G1107" s="4" t="s">
        <v>5976</v>
      </c>
      <c r="H1107" s="4" t="s">
        <v>26</v>
      </c>
      <c r="I1107" s="4" t="s">
        <v>94</v>
      </c>
      <c r="J1107" s="4" t="s">
        <v>27</v>
      </c>
      <c r="K1107" s="4" t="s">
        <v>28</v>
      </c>
      <c r="L1107" s="4" t="s">
        <v>28</v>
      </c>
      <c r="M1107" s="4" t="s">
        <v>34</v>
      </c>
      <c r="N1107" s="4" t="s">
        <v>28</v>
      </c>
    </row>
    <row r="1108" spans="1:14" ht="14.4" thickBot="1" x14ac:dyDescent="0.35">
      <c r="A1108" s="4" t="s">
        <v>19</v>
      </c>
      <c r="B1108" s="4" t="s">
        <v>666</v>
      </c>
      <c r="C1108" s="4" t="s">
        <v>667</v>
      </c>
      <c r="D1108" s="4" t="s">
        <v>668</v>
      </c>
      <c r="E1108" s="4" t="s">
        <v>254</v>
      </c>
      <c r="F1108" s="4" t="s">
        <v>5977</v>
      </c>
      <c r="G1108" s="4" t="s">
        <v>5978</v>
      </c>
      <c r="H1108" s="4" t="s">
        <v>26</v>
      </c>
      <c r="I1108" s="4" t="s">
        <v>33</v>
      </c>
      <c r="J1108" s="4" t="s">
        <v>27</v>
      </c>
      <c r="K1108" s="4" t="s">
        <v>28</v>
      </c>
      <c r="L1108" s="4" t="s">
        <v>28</v>
      </c>
      <c r="M1108" s="4" t="s">
        <v>34</v>
      </c>
      <c r="N1108" s="4" t="s">
        <v>28</v>
      </c>
    </row>
    <row r="1109" spans="1:14" ht="14.4" thickBot="1" x14ac:dyDescent="0.35">
      <c r="A1109" s="4" t="s">
        <v>19</v>
      </c>
      <c r="B1109" s="4" t="s">
        <v>666</v>
      </c>
      <c r="C1109" s="4" t="s">
        <v>667</v>
      </c>
      <c r="D1109" s="4" t="s">
        <v>668</v>
      </c>
      <c r="E1109" s="4" t="s">
        <v>254</v>
      </c>
      <c r="F1109" s="4" t="s">
        <v>5979</v>
      </c>
      <c r="G1109" s="4" t="s">
        <v>5980</v>
      </c>
      <c r="H1109" s="4" t="s">
        <v>26</v>
      </c>
      <c r="I1109" s="4" t="s">
        <v>33</v>
      </c>
      <c r="J1109" s="4" t="s">
        <v>27</v>
      </c>
      <c r="K1109" s="4" t="s">
        <v>28</v>
      </c>
      <c r="L1109" s="4" t="s">
        <v>28</v>
      </c>
      <c r="M1109" s="4" t="s">
        <v>34</v>
      </c>
      <c r="N1109" s="4" t="s">
        <v>28</v>
      </c>
    </row>
    <row r="1110" spans="1:14" ht="14.4" thickBot="1" x14ac:dyDescent="0.35">
      <c r="A1110" s="4" t="s">
        <v>19</v>
      </c>
      <c r="B1110" s="4" t="s">
        <v>666</v>
      </c>
      <c r="C1110" s="4" t="s">
        <v>667</v>
      </c>
      <c r="D1110" s="4" t="s">
        <v>668</v>
      </c>
      <c r="E1110" s="4" t="s">
        <v>254</v>
      </c>
      <c r="F1110" s="4" t="s">
        <v>5981</v>
      </c>
      <c r="G1110" s="4" t="s">
        <v>5982</v>
      </c>
      <c r="H1110" s="4" t="s">
        <v>37</v>
      </c>
      <c r="I1110" s="4" t="s">
        <v>38</v>
      </c>
      <c r="J1110" s="4" t="s">
        <v>28</v>
      </c>
      <c r="K1110" s="4" t="s">
        <v>28</v>
      </c>
      <c r="L1110" s="4" t="s">
        <v>27</v>
      </c>
      <c r="M1110" s="4" t="s">
        <v>34</v>
      </c>
      <c r="N1110" s="4" t="s">
        <v>28</v>
      </c>
    </row>
    <row r="1111" spans="1:14" ht="14.4" thickBot="1" x14ac:dyDescent="0.35">
      <c r="A1111" s="4" t="s">
        <v>19</v>
      </c>
      <c r="B1111" s="4" t="s">
        <v>666</v>
      </c>
      <c r="C1111" s="4" t="s">
        <v>667</v>
      </c>
      <c r="D1111" s="4" t="s">
        <v>668</v>
      </c>
      <c r="E1111" s="4" t="s">
        <v>254</v>
      </c>
      <c r="F1111" s="4" t="s">
        <v>5983</v>
      </c>
      <c r="G1111" s="4" t="s">
        <v>5984</v>
      </c>
      <c r="H1111" s="4" t="s">
        <v>26</v>
      </c>
      <c r="I1111" s="4" t="s">
        <v>33</v>
      </c>
      <c r="J1111" s="4" t="s">
        <v>27</v>
      </c>
      <c r="K1111" s="4" t="s">
        <v>28</v>
      </c>
      <c r="L1111" s="4" t="s">
        <v>28</v>
      </c>
      <c r="M1111" s="4" t="s">
        <v>34</v>
      </c>
      <c r="N1111" s="4" t="s">
        <v>28</v>
      </c>
    </row>
    <row r="1112" spans="1:14" ht="14.4" thickBot="1" x14ac:dyDescent="0.35">
      <c r="A1112" s="4" t="s">
        <v>19</v>
      </c>
      <c r="B1112" s="4" t="s">
        <v>666</v>
      </c>
      <c r="C1112" s="4" t="s">
        <v>667</v>
      </c>
      <c r="D1112" s="4" t="s">
        <v>668</v>
      </c>
      <c r="E1112" s="4" t="s">
        <v>254</v>
      </c>
      <c r="F1112" s="4" t="s">
        <v>5985</v>
      </c>
      <c r="G1112" s="4" t="s">
        <v>5986</v>
      </c>
      <c r="H1112" s="4" t="s">
        <v>135</v>
      </c>
      <c r="I1112" s="4" t="s">
        <v>33</v>
      </c>
      <c r="J1112" s="4" t="s">
        <v>27</v>
      </c>
      <c r="K1112" s="4" t="s">
        <v>28</v>
      </c>
      <c r="L1112" s="4" t="s">
        <v>28</v>
      </c>
      <c r="M1112" s="4" t="s">
        <v>34</v>
      </c>
      <c r="N1112" s="4" t="s">
        <v>28</v>
      </c>
    </row>
    <row r="1113" spans="1:14" ht="14.4" thickBot="1" x14ac:dyDescent="0.35">
      <c r="A1113" s="4" t="s">
        <v>19</v>
      </c>
      <c r="B1113" s="4" t="s">
        <v>666</v>
      </c>
      <c r="C1113" s="4" t="s">
        <v>667</v>
      </c>
      <c r="D1113" s="4" t="s">
        <v>668</v>
      </c>
      <c r="E1113" s="4" t="s">
        <v>254</v>
      </c>
      <c r="F1113" s="4" t="s">
        <v>5987</v>
      </c>
      <c r="G1113" s="4" t="s">
        <v>5988</v>
      </c>
      <c r="H1113" s="4" t="s">
        <v>26</v>
      </c>
      <c r="I1113" s="4" t="s">
        <v>33</v>
      </c>
      <c r="J1113" s="4" t="s">
        <v>27</v>
      </c>
      <c r="K1113" s="4" t="s">
        <v>28</v>
      </c>
      <c r="L1113" s="4" t="s">
        <v>28</v>
      </c>
      <c r="M1113" s="4" t="s">
        <v>34</v>
      </c>
      <c r="N1113" s="4" t="s">
        <v>28</v>
      </c>
    </row>
    <row r="1114" spans="1:14" ht="14.4" thickBot="1" x14ac:dyDescent="0.35">
      <c r="A1114" s="4" t="s">
        <v>19</v>
      </c>
      <c r="B1114" s="4" t="s">
        <v>666</v>
      </c>
      <c r="C1114" s="4" t="s">
        <v>667</v>
      </c>
      <c r="D1114" s="4" t="s">
        <v>668</v>
      </c>
      <c r="E1114" s="4" t="s">
        <v>254</v>
      </c>
      <c r="F1114" s="4" t="s">
        <v>5989</v>
      </c>
      <c r="G1114" s="4" t="s">
        <v>5990</v>
      </c>
      <c r="H1114" s="4" t="s">
        <v>69</v>
      </c>
      <c r="I1114" s="4" t="s">
        <v>94</v>
      </c>
      <c r="J1114" s="4" t="s">
        <v>28</v>
      </c>
      <c r="K1114" s="4" t="s">
        <v>27</v>
      </c>
      <c r="L1114" s="4" t="s">
        <v>28</v>
      </c>
      <c r="M1114" s="4" t="s">
        <v>34</v>
      </c>
      <c r="N1114" s="4" t="s">
        <v>28</v>
      </c>
    </row>
    <row r="1115" spans="1:14" ht="14.4" thickBot="1" x14ac:dyDescent="0.35">
      <c r="A1115" s="4" t="s">
        <v>19</v>
      </c>
      <c r="B1115" s="4" t="s">
        <v>666</v>
      </c>
      <c r="C1115" s="4" t="s">
        <v>667</v>
      </c>
      <c r="D1115" s="4" t="s">
        <v>668</v>
      </c>
      <c r="E1115" s="4" t="s">
        <v>254</v>
      </c>
      <c r="F1115" s="4" t="s">
        <v>6094</v>
      </c>
      <c r="G1115" s="4" t="s">
        <v>6095</v>
      </c>
      <c r="H1115" s="4" t="s">
        <v>26</v>
      </c>
      <c r="I1115" s="4" t="s">
        <v>26</v>
      </c>
      <c r="J1115" s="5"/>
      <c r="K1115" s="5"/>
      <c r="L1115" s="5"/>
      <c r="M1115" s="4" t="s">
        <v>130</v>
      </c>
      <c r="N1115" s="5"/>
    </row>
    <row r="1116" spans="1:14" ht="14.4" thickBot="1" x14ac:dyDescent="0.35">
      <c r="A1116" s="4" t="s">
        <v>19</v>
      </c>
      <c r="B1116" s="4" t="s">
        <v>666</v>
      </c>
      <c r="C1116" s="4" t="s">
        <v>667</v>
      </c>
      <c r="D1116" s="4" t="s">
        <v>668</v>
      </c>
      <c r="E1116" s="4" t="s">
        <v>254</v>
      </c>
      <c r="F1116" s="4" t="s">
        <v>6096</v>
      </c>
      <c r="G1116" s="4" t="s">
        <v>6097</v>
      </c>
      <c r="H1116" s="4" t="s">
        <v>26</v>
      </c>
      <c r="I1116" s="4" t="s">
        <v>26</v>
      </c>
      <c r="J1116" s="4" t="s">
        <v>27</v>
      </c>
      <c r="K1116" s="4" t="s">
        <v>28</v>
      </c>
      <c r="L1116" s="4" t="s">
        <v>28</v>
      </c>
      <c r="M1116" s="4" t="s">
        <v>29</v>
      </c>
      <c r="N1116" s="4" t="s">
        <v>28</v>
      </c>
    </row>
    <row r="1117" spans="1:14" ht="14.4" thickBot="1" x14ac:dyDescent="0.35">
      <c r="A1117" s="4" t="s">
        <v>19</v>
      </c>
      <c r="B1117" s="4" t="s">
        <v>666</v>
      </c>
      <c r="C1117" s="4" t="s">
        <v>667</v>
      </c>
      <c r="D1117" s="4" t="s">
        <v>668</v>
      </c>
      <c r="E1117" s="4" t="s">
        <v>254</v>
      </c>
      <c r="F1117" s="4" t="s">
        <v>6098</v>
      </c>
      <c r="G1117" s="4" t="s">
        <v>6099</v>
      </c>
      <c r="H1117" s="4" t="s">
        <v>37</v>
      </c>
      <c r="I1117" s="4" t="s">
        <v>38</v>
      </c>
      <c r="J1117" s="4" t="s">
        <v>28</v>
      </c>
      <c r="K1117" s="4" t="s">
        <v>28</v>
      </c>
      <c r="L1117" s="4" t="s">
        <v>27</v>
      </c>
      <c r="M1117" s="4" t="s">
        <v>29</v>
      </c>
      <c r="N1117" s="4" t="s">
        <v>28</v>
      </c>
    </row>
    <row r="1118" spans="1:14" ht="14.4" thickBot="1" x14ac:dyDescent="0.35">
      <c r="A1118" s="4" t="s">
        <v>19</v>
      </c>
      <c r="B1118" s="4" t="s">
        <v>666</v>
      </c>
      <c r="C1118" s="4" t="s">
        <v>667</v>
      </c>
      <c r="D1118" s="4" t="s">
        <v>668</v>
      </c>
      <c r="E1118" s="4" t="s">
        <v>254</v>
      </c>
      <c r="F1118" s="4" t="s">
        <v>6100</v>
      </c>
      <c r="G1118" s="4" t="s">
        <v>6101</v>
      </c>
      <c r="H1118" s="4" t="s">
        <v>135</v>
      </c>
      <c r="I1118" s="4" t="s">
        <v>94</v>
      </c>
      <c r="J1118" s="5"/>
      <c r="K1118" s="5"/>
      <c r="L1118" s="5"/>
      <c r="M1118" s="4" t="s">
        <v>29</v>
      </c>
      <c r="N1118" s="5"/>
    </row>
    <row r="1119" spans="1:14" ht="14.4" thickBot="1" x14ac:dyDescent="0.35">
      <c r="A1119" s="4" t="s">
        <v>19</v>
      </c>
      <c r="B1119" s="4" t="s">
        <v>666</v>
      </c>
      <c r="C1119" s="4" t="s">
        <v>667</v>
      </c>
      <c r="D1119" s="4" t="s">
        <v>668</v>
      </c>
      <c r="E1119" s="4" t="s">
        <v>254</v>
      </c>
      <c r="F1119" s="4" t="s">
        <v>6102</v>
      </c>
      <c r="G1119" s="4" t="s">
        <v>6103</v>
      </c>
      <c r="H1119" s="4" t="s">
        <v>190</v>
      </c>
      <c r="I1119" s="4" t="s">
        <v>33</v>
      </c>
      <c r="J1119" s="4" t="s">
        <v>27</v>
      </c>
      <c r="K1119" s="4" t="s">
        <v>28</v>
      </c>
      <c r="L1119" s="4" t="s">
        <v>28</v>
      </c>
      <c r="M1119" s="4" t="s">
        <v>29</v>
      </c>
      <c r="N1119" s="4" t="s">
        <v>28</v>
      </c>
    </row>
    <row r="1120" spans="1:14" ht="14.4" thickBot="1" x14ac:dyDescent="0.35">
      <c r="A1120" s="4" t="s">
        <v>19</v>
      </c>
      <c r="B1120" s="4" t="s">
        <v>666</v>
      </c>
      <c r="C1120" s="4" t="s">
        <v>667</v>
      </c>
      <c r="D1120" s="4" t="s">
        <v>668</v>
      </c>
      <c r="E1120" s="4" t="s">
        <v>254</v>
      </c>
      <c r="F1120" s="4" t="s">
        <v>6104</v>
      </c>
      <c r="G1120" s="4" t="s">
        <v>6105</v>
      </c>
      <c r="H1120" s="4" t="s">
        <v>26</v>
      </c>
      <c r="I1120" s="4" t="s">
        <v>26</v>
      </c>
      <c r="J1120" s="4" t="s">
        <v>27</v>
      </c>
      <c r="K1120" s="4" t="s">
        <v>28</v>
      </c>
      <c r="L1120" s="4" t="s">
        <v>28</v>
      </c>
      <c r="M1120" s="4" t="s">
        <v>130</v>
      </c>
      <c r="N1120" s="4" t="s">
        <v>28</v>
      </c>
    </row>
    <row r="1121" spans="1:14" ht="14.4" thickBot="1" x14ac:dyDescent="0.35">
      <c r="A1121" s="4" t="s">
        <v>19</v>
      </c>
      <c r="B1121" s="4" t="s">
        <v>666</v>
      </c>
      <c r="C1121" s="4" t="s">
        <v>667</v>
      </c>
      <c r="D1121" s="4" t="s">
        <v>668</v>
      </c>
      <c r="E1121" s="4" t="s">
        <v>254</v>
      </c>
      <c r="F1121" s="4" t="s">
        <v>6106</v>
      </c>
      <c r="G1121" s="4" t="s">
        <v>6107</v>
      </c>
      <c r="H1121" s="4" t="s">
        <v>26</v>
      </c>
      <c r="I1121" s="4" t="s">
        <v>26</v>
      </c>
      <c r="J1121" s="4" t="s">
        <v>27</v>
      </c>
      <c r="K1121" s="4" t="s">
        <v>28</v>
      </c>
      <c r="L1121" s="4" t="s">
        <v>28</v>
      </c>
      <c r="M1121" s="4" t="s">
        <v>130</v>
      </c>
      <c r="N1121" s="4" t="s">
        <v>28</v>
      </c>
    </row>
    <row r="1122" spans="1:14" ht="14.4" thickBot="1" x14ac:dyDescent="0.35">
      <c r="A1122" s="4" t="s">
        <v>19</v>
      </c>
      <c r="B1122" s="4" t="s">
        <v>666</v>
      </c>
      <c r="C1122" s="4" t="s">
        <v>667</v>
      </c>
      <c r="D1122" s="4" t="s">
        <v>668</v>
      </c>
      <c r="E1122" s="4" t="s">
        <v>254</v>
      </c>
      <c r="F1122" s="4" t="s">
        <v>6108</v>
      </c>
      <c r="G1122" s="4" t="s">
        <v>6109</v>
      </c>
      <c r="H1122" s="4" t="s">
        <v>135</v>
      </c>
      <c r="I1122" s="4" t="s">
        <v>38</v>
      </c>
      <c r="J1122" s="5"/>
      <c r="K1122" s="5"/>
      <c r="L1122" s="5"/>
      <c r="M1122" s="4" t="s">
        <v>29</v>
      </c>
      <c r="N1122" s="5"/>
    </row>
    <row r="1123" spans="1:14" ht="14.4" thickBot="1" x14ac:dyDescent="0.35">
      <c r="A1123" s="4" t="s">
        <v>19</v>
      </c>
      <c r="B1123" s="4" t="s">
        <v>666</v>
      </c>
      <c r="C1123" s="4" t="s">
        <v>667</v>
      </c>
      <c r="D1123" s="4" t="s">
        <v>668</v>
      </c>
      <c r="E1123" s="4" t="s">
        <v>254</v>
      </c>
      <c r="F1123" s="4" t="s">
        <v>6110</v>
      </c>
      <c r="G1123" s="4" t="s">
        <v>6111</v>
      </c>
      <c r="H1123" s="4" t="s">
        <v>26</v>
      </c>
      <c r="I1123" s="4" t="s">
        <v>26</v>
      </c>
      <c r="J1123" s="5"/>
      <c r="K1123" s="5"/>
      <c r="L1123" s="5"/>
      <c r="M1123" s="4" t="s">
        <v>29</v>
      </c>
      <c r="N1123" s="5"/>
    </row>
    <row r="1124" spans="1:14" ht="14.4" thickBot="1" x14ac:dyDescent="0.35">
      <c r="A1124" s="4" t="s">
        <v>19</v>
      </c>
      <c r="B1124" s="4" t="s">
        <v>666</v>
      </c>
      <c r="C1124" s="4" t="s">
        <v>667</v>
      </c>
      <c r="D1124" s="4" t="s">
        <v>668</v>
      </c>
      <c r="E1124" s="4" t="s">
        <v>254</v>
      </c>
      <c r="F1124" s="4" t="s">
        <v>6112</v>
      </c>
      <c r="G1124" s="4" t="s">
        <v>6113</v>
      </c>
      <c r="H1124" s="4" t="s">
        <v>26</v>
      </c>
      <c r="I1124" s="4" t="s">
        <v>26</v>
      </c>
      <c r="J1124" s="5"/>
      <c r="K1124" s="5"/>
      <c r="L1124" s="5"/>
      <c r="M1124" s="4" t="s">
        <v>130</v>
      </c>
      <c r="N1124" s="5"/>
    </row>
    <row r="1125" spans="1:14" ht="14.4" thickBot="1" x14ac:dyDescent="0.35">
      <c r="A1125" s="4" t="s">
        <v>19</v>
      </c>
      <c r="B1125" s="4" t="s">
        <v>666</v>
      </c>
      <c r="C1125" s="4" t="s">
        <v>667</v>
      </c>
      <c r="D1125" s="4" t="s">
        <v>668</v>
      </c>
      <c r="E1125" s="4" t="s">
        <v>254</v>
      </c>
      <c r="F1125" s="4" t="s">
        <v>6114</v>
      </c>
      <c r="G1125" s="4" t="s">
        <v>6115</v>
      </c>
      <c r="H1125" s="4" t="s">
        <v>26</v>
      </c>
      <c r="I1125" s="4" t="s">
        <v>26</v>
      </c>
      <c r="J1125" s="4" t="s">
        <v>27</v>
      </c>
      <c r="K1125" s="4" t="s">
        <v>28</v>
      </c>
      <c r="L1125" s="4" t="s">
        <v>28</v>
      </c>
      <c r="M1125" s="4" t="s">
        <v>29</v>
      </c>
      <c r="N1125" s="4" t="s">
        <v>28</v>
      </c>
    </row>
    <row r="1126" spans="1:14" ht="14.4" thickBot="1" x14ac:dyDescent="0.35">
      <c r="A1126" s="4" t="s">
        <v>19</v>
      </c>
      <c r="B1126" s="4" t="s">
        <v>666</v>
      </c>
      <c r="C1126" s="4" t="s">
        <v>667</v>
      </c>
      <c r="D1126" s="4" t="s">
        <v>668</v>
      </c>
      <c r="E1126" s="4" t="s">
        <v>254</v>
      </c>
      <c r="F1126" s="4" t="s">
        <v>6116</v>
      </c>
      <c r="G1126" s="4" t="s">
        <v>6117</v>
      </c>
      <c r="H1126" s="4" t="s">
        <v>26</v>
      </c>
      <c r="I1126" s="4" t="s">
        <v>26</v>
      </c>
      <c r="J1126" s="5"/>
      <c r="K1126" s="5"/>
      <c r="L1126" s="5"/>
      <c r="M1126" s="4" t="s">
        <v>130</v>
      </c>
      <c r="N1126" s="5"/>
    </row>
    <row r="1127" spans="1:14" ht="14.4" thickBot="1" x14ac:dyDescent="0.35">
      <c r="A1127" s="4" t="s">
        <v>19</v>
      </c>
      <c r="B1127" s="4" t="s">
        <v>666</v>
      </c>
      <c r="C1127" s="4" t="s">
        <v>667</v>
      </c>
      <c r="D1127" s="4" t="s">
        <v>668</v>
      </c>
      <c r="E1127" s="4" t="s">
        <v>254</v>
      </c>
      <c r="F1127" s="4" t="s">
        <v>6118</v>
      </c>
      <c r="G1127" s="4" t="s">
        <v>6119</v>
      </c>
      <c r="H1127" s="4" t="s">
        <v>26</v>
      </c>
      <c r="I1127" s="4" t="s">
        <v>26</v>
      </c>
      <c r="J1127" s="5"/>
      <c r="K1127" s="5"/>
      <c r="L1127" s="5"/>
      <c r="M1127" s="4" t="s">
        <v>130</v>
      </c>
      <c r="N1127" s="5"/>
    </row>
    <row r="1128" spans="1:14" ht="14.4" thickBot="1" x14ac:dyDescent="0.35">
      <c r="A1128" s="4" t="s">
        <v>19</v>
      </c>
      <c r="B1128" s="4" t="s">
        <v>666</v>
      </c>
      <c r="C1128" s="4" t="s">
        <v>667</v>
      </c>
      <c r="D1128" s="4" t="s">
        <v>668</v>
      </c>
      <c r="E1128" s="4" t="s">
        <v>254</v>
      </c>
      <c r="F1128" s="4" t="s">
        <v>6120</v>
      </c>
      <c r="G1128" s="4" t="s">
        <v>6121</v>
      </c>
      <c r="H1128" s="4" t="s">
        <v>26</v>
      </c>
      <c r="I1128" s="4" t="s">
        <v>26</v>
      </c>
      <c r="J1128" s="4" t="s">
        <v>27</v>
      </c>
      <c r="K1128" s="4" t="s">
        <v>28</v>
      </c>
      <c r="L1128" s="4" t="s">
        <v>28</v>
      </c>
      <c r="M1128" s="4" t="s">
        <v>29</v>
      </c>
      <c r="N1128" s="5"/>
    </row>
    <row r="1129" spans="1:14" ht="14.4" thickBot="1" x14ac:dyDescent="0.35">
      <c r="A1129" s="4" t="s">
        <v>19</v>
      </c>
      <c r="B1129" s="4" t="s">
        <v>666</v>
      </c>
      <c r="C1129" s="4" t="s">
        <v>667</v>
      </c>
      <c r="D1129" s="4" t="s">
        <v>668</v>
      </c>
      <c r="E1129" s="4" t="s">
        <v>254</v>
      </c>
      <c r="F1129" s="4" t="s">
        <v>6122</v>
      </c>
      <c r="G1129" s="4" t="s">
        <v>6123</v>
      </c>
      <c r="H1129" s="4" t="s">
        <v>26</v>
      </c>
      <c r="I1129" s="4" t="s">
        <v>26</v>
      </c>
      <c r="J1129" s="5"/>
      <c r="K1129" s="5"/>
      <c r="L1129" s="5"/>
      <c r="M1129" s="4" t="s">
        <v>130</v>
      </c>
      <c r="N1129" s="5"/>
    </row>
    <row r="1130" spans="1:14" ht="14.4" thickBot="1" x14ac:dyDescent="0.35">
      <c r="A1130" s="4" t="s">
        <v>19</v>
      </c>
      <c r="B1130" s="4" t="s">
        <v>666</v>
      </c>
      <c r="C1130" s="4" t="s">
        <v>667</v>
      </c>
      <c r="D1130" s="4" t="s">
        <v>668</v>
      </c>
      <c r="E1130" s="4" t="s">
        <v>254</v>
      </c>
      <c r="F1130" s="4" t="s">
        <v>6124</v>
      </c>
      <c r="G1130" s="4" t="s">
        <v>6125</v>
      </c>
      <c r="H1130" s="4" t="s">
        <v>26</v>
      </c>
      <c r="I1130" s="4" t="s">
        <v>26</v>
      </c>
      <c r="J1130" s="4" t="s">
        <v>27</v>
      </c>
      <c r="K1130" s="4" t="s">
        <v>28</v>
      </c>
      <c r="L1130" s="4" t="s">
        <v>28</v>
      </c>
      <c r="M1130" s="4" t="s">
        <v>130</v>
      </c>
      <c r="N1130" s="4" t="s">
        <v>28</v>
      </c>
    </row>
    <row r="1131" spans="1:14" ht="14.4" thickBot="1" x14ac:dyDescent="0.35">
      <c r="A1131" s="4" t="s">
        <v>19</v>
      </c>
      <c r="B1131" s="4" t="s">
        <v>666</v>
      </c>
      <c r="C1131" s="4" t="s">
        <v>667</v>
      </c>
      <c r="D1131" s="4" t="s">
        <v>668</v>
      </c>
      <c r="E1131" s="4" t="s">
        <v>254</v>
      </c>
      <c r="F1131" s="4" t="s">
        <v>6126</v>
      </c>
      <c r="G1131" s="4" t="s">
        <v>6127</v>
      </c>
      <c r="H1131" s="4" t="s">
        <v>26</v>
      </c>
      <c r="I1131" s="4" t="s">
        <v>94</v>
      </c>
      <c r="J1131" s="5"/>
      <c r="K1131" s="5"/>
      <c r="L1131" s="5"/>
      <c r="M1131" s="4" t="s">
        <v>29</v>
      </c>
      <c r="N1131" s="5"/>
    </row>
    <row r="1132" spans="1:14" ht="14.4" thickBot="1" x14ac:dyDescent="0.35">
      <c r="A1132" s="4" t="s">
        <v>19</v>
      </c>
      <c r="B1132" s="4" t="s">
        <v>666</v>
      </c>
      <c r="C1132" s="4" t="s">
        <v>667</v>
      </c>
      <c r="D1132" s="4" t="s">
        <v>668</v>
      </c>
      <c r="E1132" s="4" t="s">
        <v>254</v>
      </c>
      <c r="F1132" s="4" t="s">
        <v>6128</v>
      </c>
      <c r="G1132" s="4" t="s">
        <v>6129</v>
      </c>
      <c r="H1132" s="4" t="s">
        <v>26</v>
      </c>
      <c r="I1132" s="4" t="s">
        <v>135</v>
      </c>
      <c r="J1132" s="5"/>
      <c r="K1132" s="5"/>
      <c r="L1132" s="5"/>
      <c r="M1132" s="4" t="s">
        <v>29</v>
      </c>
      <c r="N1132" s="5"/>
    </row>
    <row r="1133" spans="1:14" ht="14.4" thickBot="1" x14ac:dyDescent="0.35">
      <c r="A1133" s="4" t="s">
        <v>19</v>
      </c>
      <c r="B1133" s="4" t="s">
        <v>666</v>
      </c>
      <c r="C1133" s="4" t="s">
        <v>667</v>
      </c>
      <c r="D1133" s="4" t="s">
        <v>668</v>
      </c>
      <c r="E1133" s="4" t="s">
        <v>254</v>
      </c>
      <c r="F1133" s="4" t="s">
        <v>6130</v>
      </c>
      <c r="G1133" s="4" t="s">
        <v>6131</v>
      </c>
      <c r="H1133" s="4" t="s">
        <v>26</v>
      </c>
      <c r="I1133" s="4" t="s">
        <v>94</v>
      </c>
      <c r="J1133" s="5"/>
      <c r="K1133" s="5"/>
      <c r="L1133" s="5"/>
      <c r="M1133" s="4" t="s">
        <v>29</v>
      </c>
      <c r="N1133" s="5"/>
    </row>
    <row r="1134" spans="1:14" ht="14.4" thickBot="1" x14ac:dyDescent="0.35">
      <c r="A1134" s="4" t="s">
        <v>19</v>
      </c>
      <c r="B1134" s="4" t="s">
        <v>1627</v>
      </c>
      <c r="C1134" s="4" t="s">
        <v>1628</v>
      </c>
      <c r="D1134" s="4" t="s">
        <v>1629</v>
      </c>
      <c r="E1134" s="4" t="s">
        <v>48</v>
      </c>
      <c r="F1134" s="4" t="s">
        <v>1630</v>
      </c>
      <c r="G1134" s="4" t="s">
        <v>1631</v>
      </c>
      <c r="H1134" s="4" t="s">
        <v>26</v>
      </c>
      <c r="I1134" s="4" t="s">
        <v>33</v>
      </c>
      <c r="J1134" s="4" t="s">
        <v>27</v>
      </c>
      <c r="K1134" s="4" t="s">
        <v>28</v>
      </c>
      <c r="L1134" s="4" t="s">
        <v>28</v>
      </c>
      <c r="M1134" s="4" t="s">
        <v>34</v>
      </c>
      <c r="N1134" s="4" t="s">
        <v>28</v>
      </c>
    </row>
    <row r="1135" spans="1:14" ht="14.4" thickBot="1" x14ac:dyDescent="0.35">
      <c r="A1135" s="4" t="s">
        <v>19</v>
      </c>
      <c r="B1135" s="4" t="s">
        <v>1627</v>
      </c>
      <c r="C1135" s="4" t="s">
        <v>1628</v>
      </c>
      <c r="D1135" s="4" t="s">
        <v>1629</v>
      </c>
      <c r="E1135" s="4" t="s">
        <v>48</v>
      </c>
      <c r="F1135" s="4" t="s">
        <v>5438</v>
      </c>
      <c r="G1135" s="4" t="s">
        <v>5439</v>
      </c>
      <c r="H1135" s="4" t="s">
        <v>26</v>
      </c>
      <c r="I1135" s="4" t="s">
        <v>26</v>
      </c>
      <c r="J1135" s="5"/>
      <c r="K1135" s="5"/>
      <c r="L1135" s="5"/>
      <c r="M1135" s="4" t="s">
        <v>29</v>
      </c>
      <c r="N1135" s="5"/>
    </row>
    <row r="1136" spans="1:14" ht="14.4" thickBot="1" x14ac:dyDescent="0.35">
      <c r="A1136" s="4" t="s">
        <v>19</v>
      </c>
      <c r="B1136" s="4" t="s">
        <v>1627</v>
      </c>
      <c r="C1136" s="4" t="s">
        <v>1628</v>
      </c>
      <c r="D1136" s="4" t="s">
        <v>1629</v>
      </c>
      <c r="E1136" s="4" t="s">
        <v>48</v>
      </c>
      <c r="F1136" s="4" t="s">
        <v>5991</v>
      </c>
      <c r="G1136" s="4" t="s">
        <v>5992</v>
      </c>
      <c r="H1136" s="4" t="s">
        <v>69</v>
      </c>
      <c r="I1136" s="4" t="s">
        <v>38</v>
      </c>
      <c r="J1136" s="4" t="s">
        <v>28</v>
      </c>
      <c r="K1136" s="4" t="s">
        <v>28</v>
      </c>
      <c r="L1136" s="4" t="s">
        <v>27</v>
      </c>
      <c r="M1136" s="4" t="s">
        <v>34</v>
      </c>
      <c r="N1136" s="4" t="s">
        <v>28</v>
      </c>
    </row>
    <row r="1137" spans="1:14" ht="14.4" thickBot="1" x14ac:dyDescent="0.35">
      <c r="A1137" s="4" t="s">
        <v>19</v>
      </c>
      <c r="B1137" s="4" t="s">
        <v>782</v>
      </c>
      <c r="C1137" s="4" t="s">
        <v>783</v>
      </c>
      <c r="D1137" s="4" t="s">
        <v>784</v>
      </c>
      <c r="E1137" s="4" t="s">
        <v>254</v>
      </c>
      <c r="F1137" s="4" t="s">
        <v>785</v>
      </c>
      <c r="G1137" s="4" t="s">
        <v>786</v>
      </c>
      <c r="H1137" s="4" t="s">
        <v>26</v>
      </c>
      <c r="I1137" s="4" t="s">
        <v>94</v>
      </c>
      <c r="J1137" s="4" t="s">
        <v>27</v>
      </c>
      <c r="K1137" s="4" t="s">
        <v>28</v>
      </c>
      <c r="L1137" s="4" t="s">
        <v>28</v>
      </c>
      <c r="M1137" s="4" t="s">
        <v>34</v>
      </c>
      <c r="N1137" s="4" t="s">
        <v>27</v>
      </c>
    </row>
    <row r="1138" spans="1:14" ht="14.4" thickBot="1" x14ac:dyDescent="0.35">
      <c r="A1138" s="4" t="s">
        <v>19</v>
      </c>
      <c r="B1138" s="4" t="s">
        <v>782</v>
      </c>
      <c r="C1138" s="4" t="s">
        <v>783</v>
      </c>
      <c r="D1138" s="4" t="s">
        <v>784</v>
      </c>
      <c r="E1138" s="4" t="s">
        <v>254</v>
      </c>
      <c r="F1138" s="4" t="s">
        <v>787</v>
      </c>
      <c r="G1138" s="4" t="s">
        <v>788</v>
      </c>
      <c r="H1138" s="4" t="s">
        <v>26</v>
      </c>
      <c r="I1138" s="4" t="s">
        <v>38</v>
      </c>
      <c r="J1138" s="4" t="s">
        <v>28</v>
      </c>
      <c r="K1138" s="4" t="s">
        <v>28</v>
      </c>
      <c r="L1138" s="4" t="s">
        <v>27</v>
      </c>
      <c r="M1138" s="4" t="s">
        <v>34</v>
      </c>
      <c r="N1138" s="4" t="s">
        <v>27</v>
      </c>
    </row>
    <row r="1139" spans="1:14" ht="14.4" thickBot="1" x14ac:dyDescent="0.35">
      <c r="A1139" s="4" t="s">
        <v>19</v>
      </c>
      <c r="B1139" s="4" t="s">
        <v>782</v>
      </c>
      <c r="C1139" s="4" t="s">
        <v>783</v>
      </c>
      <c r="D1139" s="4" t="s">
        <v>784</v>
      </c>
      <c r="E1139" s="4" t="s">
        <v>254</v>
      </c>
      <c r="F1139" s="4" t="s">
        <v>789</v>
      </c>
      <c r="G1139" s="4" t="s">
        <v>790</v>
      </c>
      <c r="H1139" s="4" t="s">
        <v>26</v>
      </c>
      <c r="I1139" s="4" t="s">
        <v>33</v>
      </c>
      <c r="J1139" s="4" t="s">
        <v>27</v>
      </c>
      <c r="K1139" s="4" t="s">
        <v>28</v>
      </c>
      <c r="L1139" s="4" t="s">
        <v>28</v>
      </c>
      <c r="M1139" s="4" t="s">
        <v>34</v>
      </c>
      <c r="N1139" s="4" t="s">
        <v>28</v>
      </c>
    </row>
    <row r="1140" spans="1:14" ht="14.4" thickBot="1" x14ac:dyDescent="0.35">
      <c r="A1140" s="4" t="s">
        <v>19</v>
      </c>
      <c r="B1140" s="4" t="s">
        <v>782</v>
      </c>
      <c r="C1140" s="4" t="s">
        <v>783</v>
      </c>
      <c r="D1140" s="4" t="s">
        <v>784</v>
      </c>
      <c r="E1140" s="4" t="s">
        <v>254</v>
      </c>
      <c r="F1140" s="4" t="s">
        <v>791</v>
      </c>
      <c r="G1140" s="4" t="s">
        <v>792</v>
      </c>
      <c r="H1140" s="4" t="s">
        <v>135</v>
      </c>
      <c r="I1140" s="4" t="s">
        <v>33</v>
      </c>
      <c r="J1140" s="4" t="s">
        <v>27</v>
      </c>
      <c r="K1140" s="4" t="s">
        <v>28</v>
      </c>
      <c r="L1140" s="4" t="s">
        <v>28</v>
      </c>
      <c r="M1140" s="4" t="s">
        <v>34</v>
      </c>
      <c r="N1140" s="4" t="s">
        <v>28</v>
      </c>
    </row>
    <row r="1141" spans="1:14" ht="14.4" thickBot="1" x14ac:dyDescent="0.35">
      <c r="A1141" s="4" t="s">
        <v>19</v>
      </c>
      <c r="B1141" s="4" t="s">
        <v>782</v>
      </c>
      <c r="C1141" s="4" t="s">
        <v>783</v>
      </c>
      <c r="D1141" s="4" t="s">
        <v>784</v>
      </c>
      <c r="E1141" s="4" t="s">
        <v>254</v>
      </c>
      <c r="F1141" s="4" t="s">
        <v>793</v>
      </c>
      <c r="G1141" s="4" t="s">
        <v>794</v>
      </c>
      <c r="H1141" s="4" t="s">
        <v>26</v>
      </c>
      <c r="I1141" s="4" t="s">
        <v>69</v>
      </c>
      <c r="J1141" s="4" t="s">
        <v>27</v>
      </c>
      <c r="K1141" s="4" t="s">
        <v>28</v>
      </c>
      <c r="L1141" s="4" t="s">
        <v>28</v>
      </c>
      <c r="M1141" s="4" t="s">
        <v>34</v>
      </c>
      <c r="N1141" s="4" t="s">
        <v>28</v>
      </c>
    </row>
    <row r="1142" spans="1:14" ht="14.4" thickBot="1" x14ac:dyDescent="0.35">
      <c r="A1142" s="4" t="s">
        <v>19</v>
      </c>
      <c r="B1142" s="4" t="s">
        <v>782</v>
      </c>
      <c r="C1142" s="4" t="s">
        <v>783</v>
      </c>
      <c r="D1142" s="4" t="s">
        <v>784</v>
      </c>
      <c r="E1142" s="4" t="s">
        <v>254</v>
      </c>
      <c r="F1142" s="4" t="s">
        <v>795</v>
      </c>
      <c r="G1142" s="4" t="s">
        <v>796</v>
      </c>
      <c r="H1142" s="4" t="s">
        <v>37</v>
      </c>
      <c r="I1142" s="4" t="s">
        <v>38</v>
      </c>
      <c r="J1142" s="4" t="s">
        <v>28</v>
      </c>
      <c r="K1142" s="4" t="s">
        <v>28</v>
      </c>
      <c r="L1142" s="4" t="s">
        <v>27</v>
      </c>
      <c r="M1142" s="4" t="s">
        <v>34</v>
      </c>
      <c r="N1142" s="4" t="s">
        <v>28</v>
      </c>
    </row>
    <row r="1143" spans="1:14" ht="14.4" thickBot="1" x14ac:dyDescent="0.35">
      <c r="A1143" s="4" t="s">
        <v>19</v>
      </c>
      <c r="B1143" s="4" t="s">
        <v>782</v>
      </c>
      <c r="C1143" s="4" t="s">
        <v>783</v>
      </c>
      <c r="D1143" s="4" t="s">
        <v>784</v>
      </c>
      <c r="E1143" s="4" t="s">
        <v>254</v>
      </c>
      <c r="F1143" s="4" t="s">
        <v>956</v>
      </c>
      <c r="G1143" s="4" t="s">
        <v>957</v>
      </c>
      <c r="H1143" s="4" t="s">
        <v>26</v>
      </c>
      <c r="I1143" s="4" t="s">
        <v>94</v>
      </c>
      <c r="J1143" s="5"/>
      <c r="K1143" s="5"/>
      <c r="L1143" s="5"/>
      <c r="M1143" s="4" t="s">
        <v>29</v>
      </c>
      <c r="N1143" s="5"/>
    </row>
    <row r="1144" spans="1:14" ht="14.4" thickBot="1" x14ac:dyDescent="0.35">
      <c r="A1144" s="4" t="s">
        <v>19</v>
      </c>
      <c r="B1144" s="4" t="s">
        <v>782</v>
      </c>
      <c r="C1144" s="4" t="s">
        <v>783</v>
      </c>
      <c r="D1144" s="4" t="s">
        <v>784</v>
      </c>
      <c r="E1144" s="4" t="s">
        <v>254</v>
      </c>
      <c r="F1144" s="4" t="s">
        <v>1676</v>
      </c>
      <c r="G1144" s="4" t="s">
        <v>1677</v>
      </c>
      <c r="H1144" s="4" t="s">
        <v>135</v>
      </c>
      <c r="I1144" s="4" t="s">
        <v>94</v>
      </c>
      <c r="J1144" s="4" t="s">
        <v>27</v>
      </c>
      <c r="K1144" s="4" t="s">
        <v>28</v>
      </c>
      <c r="L1144" s="4" t="s">
        <v>28</v>
      </c>
      <c r="M1144" s="4" t="s">
        <v>34</v>
      </c>
      <c r="N1144" s="4" t="s">
        <v>27</v>
      </c>
    </row>
    <row r="1145" spans="1:14" ht="14.4" thickBot="1" x14ac:dyDescent="0.35">
      <c r="A1145" s="4" t="s">
        <v>19</v>
      </c>
      <c r="B1145" s="4" t="s">
        <v>782</v>
      </c>
      <c r="C1145" s="4" t="s">
        <v>783</v>
      </c>
      <c r="D1145" s="4" t="s">
        <v>784</v>
      </c>
      <c r="E1145" s="4" t="s">
        <v>254</v>
      </c>
      <c r="F1145" s="4" t="s">
        <v>1678</v>
      </c>
      <c r="G1145" s="4" t="s">
        <v>1679</v>
      </c>
      <c r="H1145" s="4" t="s">
        <v>37</v>
      </c>
      <c r="I1145" s="4" t="s">
        <v>38</v>
      </c>
      <c r="J1145" s="4" t="s">
        <v>28</v>
      </c>
      <c r="K1145" s="4" t="s">
        <v>28</v>
      </c>
      <c r="L1145" s="4" t="s">
        <v>27</v>
      </c>
      <c r="M1145" s="4" t="s">
        <v>34</v>
      </c>
      <c r="N1145" s="4" t="s">
        <v>28</v>
      </c>
    </row>
    <row r="1146" spans="1:14" ht="14.4" thickBot="1" x14ac:dyDescent="0.35">
      <c r="A1146" s="4" t="s">
        <v>19</v>
      </c>
      <c r="B1146" s="4" t="s">
        <v>782</v>
      </c>
      <c r="C1146" s="4" t="s">
        <v>783</v>
      </c>
      <c r="D1146" s="4" t="s">
        <v>784</v>
      </c>
      <c r="E1146" s="4" t="s">
        <v>254</v>
      </c>
      <c r="F1146" s="4" t="s">
        <v>1680</v>
      </c>
      <c r="G1146" s="4" t="s">
        <v>1681</v>
      </c>
      <c r="H1146" s="4" t="s">
        <v>26</v>
      </c>
      <c r="I1146" s="4" t="s">
        <v>69</v>
      </c>
      <c r="J1146" s="4" t="s">
        <v>27</v>
      </c>
      <c r="K1146" s="4" t="s">
        <v>28</v>
      </c>
      <c r="L1146" s="4" t="s">
        <v>28</v>
      </c>
      <c r="M1146" s="4" t="s">
        <v>34</v>
      </c>
      <c r="N1146" s="4" t="s">
        <v>28</v>
      </c>
    </row>
    <row r="1147" spans="1:14" ht="14.4" thickBot="1" x14ac:dyDescent="0.35">
      <c r="A1147" s="4" t="s">
        <v>19</v>
      </c>
      <c r="B1147" s="4" t="s">
        <v>782</v>
      </c>
      <c r="C1147" s="4" t="s">
        <v>783</v>
      </c>
      <c r="D1147" s="4" t="s">
        <v>784</v>
      </c>
      <c r="E1147" s="4" t="s">
        <v>254</v>
      </c>
      <c r="F1147" s="4" t="s">
        <v>1682</v>
      </c>
      <c r="G1147" s="4" t="s">
        <v>1683</v>
      </c>
      <c r="H1147" s="4" t="s">
        <v>37</v>
      </c>
      <c r="I1147" s="4" t="s">
        <v>38</v>
      </c>
      <c r="J1147" s="4" t="s">
        <v>28</v>
      </c>
      <c r="K1147" s="4" t="s">
        <v>28</v>
      </c>
      <c r="L1147" s="4" t="s">
        <v>27</v>
      </c>
      <c r="M1147" s="4" t="s">
        <v>34</v>
      </c>
      <c r="N1147" s="4" t="s">
        <v>28</v>
      </c>
    </row>
    <row r="1148" spans="1:14" ht="14.4" thickBot="1" x14ac:dyDescent="0.35">
      <c r="A1148" s="4" t="s">
        <v>19</v>
      </c>
      <c r="B1148" s="4" t="s">
        <v>782</v>
      </c>
      <c r="C1148" s="4" t="s">
        <v>783</v>
      </c>
      <c r="D1148" s="4" t="s">
        <v>784</v>
      </c>
      <c r="E1148" s="4" t="s">
        <v>254</v>
      </c>
      <c r="F1148" s="4" t="s">
        <v>1684</v>
      </c>
      <c r="G1148" s="4" t="s">
        <v>1685</v>
      </c>
      <c r="H1148" s="4" t="s">
        <v>26</v>
      </c>
      <c r="I1148" s="4" t="s">
        <v>69</v>
      </c>
      <c r="J1148" s="4" t="s">
        <v>27</v>
      </c>
      <c r="K1148" s="4" t="s">
        <v>28</v>
      </c>
      <c r="L1148" s="4" t="s">
        <v>28</v>
      </c>
      <c r="M1148" s="4" t="s">
        <v>34</v>
      </c>
      <c r="N1148" s="4" t="s">
        <v>28</v>
      </c>
    </row>
    <row r="1149" spans="1:14" ht="14.4" thickBot="1" x14ac:dyDescent="0.35">
      <c r="A1149" s="4" t="s">
        <v>19</v>
      </c>
      <c r="B1149" s="4" t="s">
        <v>782</v>
      </c>
      <c r="C1149" s="4" t="s">
        <v>783</v>
      </c>
      <c r="D1149" s="4" t="s">
        <v>784</v>
      </c>
      <c r="E1149" s="4" t="s">
        <v>254</v>
      </c>
      <c r="F1149" s="4" t="s">
        <v>1686</v>
      </c>
      <c r="G1149" s="4" t="s">
        <v>1687</v>
      </c>
      <c r="H1149" s="4" t="s">
        <v>135</v>
      </c>
      <c r="I1149" s="4" t="s">
        <v>69</v>
      </c>
      <c r="J1149" s="4" t="s">
        <v>27</v>
      </c>
      <c r="K1149" s="4" t="s">
        <v>28</v>
      </c>
      <c r="L1149" s="4" t="s">
        <v>28</v>
      </c>
      <c r="M1149" s="4" t="s">
        <v>34</v>
      </c>
      <c r="N1149" s="4" t="s">
        <v>28</v>
      </c>
    </row>
    <row r="1150" spans="1:14" ht="14.4" thickBot="1" x14ac:dyDescent="0.35">
      <c r="A1150" s="4" t="s">
        <v>19</v>
      </c>
      <c r="B1150" s="4" t="s">
        <v>782</v>
      </c>
      <c r="C1150" s="4" t="s">
        <v>783</v>
      </c>
      <c r="D1150" s="4" t="s">
        <v>784</v>
      </c>
      <c r="E1150" s="4" t="s">
        <v>254</v>
      </c>
      <c r="F1150" s="4" t="s">
        <v>1828</v>
      </c>
      <c r="G1150" s="4" t="s">
        <v>1829</v>
      </c>
      <c r="H1150" s="4" t="s">
        <v>26</v>
      </c>
      <c r="I1150" s="4" t="s">
        <v>116</v>
      </c>
      <c r="J1150" s="4" t="s">
        <v>27</v>
      </c>
      <c r="K1150" s="4" t="s">
        <v>28</v>
      </c>
      <c r="L1150" s="4" t="s">
        <v>28</v>
      </c>
      <c r="M1150" s="4" t="s">
        <v>29</v>
      </c>
      <c r="N1150" s="4" t="s">
        <v>28</v>
      </c>
    </row>
    <row r="1151" spans="1:14" ht="14.4" thickBot="1" x14ac:dyDescent="0.35">
      <c r="A1151" s="4" t="s">
        <v>19</v>
      </c>
      <c r="B1151" s="4" t="s">
        <v>782</v>
      </c>
      <c r="C1151" s="4" t="s">
        <v>783</v>
      </c>
      <c r="D1151" s="4" t="s">
        <v>784</v>
      </c>
      <c r="E1151" s="4" t="s">
        <v>254</v>
      </c>
      <c r="F1151" s="4" t="s">
        <v>1830</v>
      </c>
      <c r="G1151" s="4" t="s">
        <v>1831</v>
      </c>
      <c r="H1151" s="4" t="s">
        <v>26</v>
      </c>
      <c r="I1151" s="4" t="s">
        <v>33</v>
      </c>
      <c r="J1151" s="5"/>
      <c r="K1151" s="5"/>
      <c r="L1151" s="5"/>
      <c r="M1151" s="4" t="s">
        <v>29</v>
      </c>
      <c r="N1151" s="5"/>
    </row>
    <row r="1152" spans="1:14" ht="14.4" thickBot="1" x14ac:dyDescent="0.35">
      <c r="A1152" s="4" t="s">
        <v>19</v>
      </c>
      <c r="B1152" s="4" t="s">
        <v>782</v>
      </c>
      <c r="C1152" s="4" t="s">
        <v>783</v>
      </c>
      <c r="D1152" s="4" t="s">
        <v>784</v>
      </c>
      <c r="E1152" s="4" t="s">
        <v>254</v>
      </c>
      <c r="F1152" s="4" t="s">
        <v>1832</v>
      </c>
      <c r="G1152" s="4" t="s">
        <v>1833</v>
      </c>
      <c r="H1152" s="4" t="s">
        <v>26</v>
      </c>
      <c r="I1152" s="4" t="s">
        <v>94</v>
      </c>
      <c r="J1152" s="5"/>
      <c r="K1152" s="5"/>
      <c r="L1152" s="5"/>
      <c r="M1152" s="4" t="s">
        <v>29</v>
      </c>
      <c r="N1152" s="5"/>
    </row>
    <row r="1153" spans="1:14" ht="14.4" thickBot="1" x14ac:dyDescent="0.35">
      <c r="A1153" s="4" t="s">
        <v>19</v>
      </c>
      <c r="B1153" s="4" t="s">
        <v>782</v>
      </c>
      <c r="C1153" s="4" t="s">
        <v>783</v>
      </c>
      <c r="D1153" s="4" t="s">
        <v>784</v>
      </c>
      <c r="E1153" s="4" t="s">
        <v>254</v>
      </c>
      <c r="F1153" s="4" t="s">
        <v>1834</v>
      </c>
      <c r="G1153" s="4" t="s">
        <v>1835</v>
      </c>
      <c r="H1153" s="4" t="s">
        <v>26</v>
      </c>
      <c r="I1153" s="4" t="s">
        <v>135</v>
      </c>
      <c r="J1153" s="5"/>
      <c r="K1153" s="5"/>
      <c r="L1153" s="5"/>
      <c r="M1153" s="4" t="s">
        <v>29</v>
      </c>
      <c r="N1153" s="5"/>
    </row>
    <row r="1154" spans="1:14" ht="14.4" thickBot="1" x14ac:dyDescent="0.35">
      <c r="A1154" s="4" t="s">
        <v>19</v>
      </c>
      <c r="B1154" s="4" t="s">
        <v>782</v>
      </c>
      <c r="C1154" s="4" t="s">
        <v>783</v>
      </c>
      <c r="D1154" s="4" t="s">
        <v>784</v>
      </c>
      <c r="E1154" s="4" t="s">
        <v>254</v>
      </c>
      <c r="F1154" s="4" t="s">
        <v>1836</v>
      </c>
      <c r="G1154" s="4" t="s">
        <v>1837</v>
      </c>
      <c r="H1154" s="4" t="s">
        <v>37</v>
      </c>
      <c r="I1154" s="4" t="s">
        <v>38</v>
      </c>
      <c r="J1154" s="5"/>
      <c r="K1154" s="5"/>
      <c r="L1154" s="5"/>
      <c r="M1154" s="4" t="s">
        <v>29</v>
      </c>
      <c r="N1154" s="5"/>
    </row>
    <row r="1155" spans="1:14" ht="14.4" thickBot="1" x14ac:dyDescent="0.35">
      <c r="A1155" s="4" t="s">
        <v>19</v>
      </c>
      <c r="B1155" s="4" t="s">
        <v>782</v>
      </c>
      <c r="C1155" s="4" t="s">
        <v>783</v>
      </c>
      <c r="D1155" s="4" t="s">
        <v>784</v>
      </c>
      <c r="E1155" s="4" t="s">
        <v>254</v>
      </c>
      <c r="F1155" s="4" t="s">
        <v>2358</v>
      </c>
      <c r="G1155" s="4" t="s">
        <v>2359</v>
      </c>
      <c r="H1155" s="4" t="s">
        <v>37</v>
      </c>
      <c r="I1155" s="4" t="s">
        <v>38</v>
      </c>
      <c r="J1155" s="4" t="s">
        <v>28</v>
      </c>
      <c r="K1155" s="4" t="s">
        <v>28</v>
      </c>
      <c r="L1155" s="4" t="s">
        <v>27</v>
      </c>
      <c r="M1155" s="4" t="s">
        <v>34</v>
      </c>
      <c r="N1155" s="4" t="s">
        <v>28</v>
      </c>
    </row>
    <row r="1156" spans="1:14" ht="14.4" thickBot="1" x14ac:dyDescent="0.35">
      <c r="A1156" s="4" t="s">
        <v>19</v>
      </c>
      <c r="B1156" s="4" t="s">
        <v>782</v>
      </c>
      <c r="C1156" s="4" t="s">
        <v>783</v>
      </c>
      <c r="D1156" s="4" t="s">
        <v>784</v>
      </c>
      <c r="E1156" s="4" t="s">
        <v>254</v>
      </c>
      <c r="F1156" s="4" t="s">
        <v>2360</v>
      </c>
      <c r="G1156" s="4" t="s">
        <v>2361</v>
      </c>
      <c r="H1156" s="4" t="s">
        <v>116</v>
      </c>
      <c r="I1156" s="4" t="s">
        <v>33</v>
      </c>
      <c r="J1156" s="4" t="s">
        <v>27</v>
      </c>
      <c r="K1156" s="4" t="s">
        <v>28</v>
      </c>
      <c r="L1156" s="4" t="s">
        <v>28</v>
      </c>
      <c r="M1156" s="4" t="s">
        <v>34</v>
      </c>
      <c r="N1156" s="4" t="s">
        <v>27</v>
      </c>
    </row>
    <row r="1157" spans="1:14" ht="14.4" thickBot="1" x14ac:dyDescent="0.35">
      <c r="A1157" s="4" t="s">
        <v>19</v>
      </c>
      <c r="B1157" s="4" t="s">
        <v>782</v>
      </c>
      <c r="C1157" s="4" t="s">
        <v>783</v>
      </c>
      <c r="D1157" s="4" t="s">
        <v>784</v>
      </c>
      <c r="E1157" s="4" t="s">
        <v>254</v>
      </c>
      <c r="F1157" s="4" t="s">
        <v>2362</v>
      </c>
      <c r="G1157" s="4" t="s">
        <v>2363</v>
      </c>
      <c r="H1157" s="4" t="s">
        <v>135</v>
      </c>
      <c r="I1157" s="4" t="s">
        <v>94</v>
      </c>
      <c r="J1157" s="4" t="s">
        <v>27</v>
      </c>
      <c r="K1157" s="4" t="s">
        <v>28</v>
      </c>
      <c r="L1157" s="4" t="s">
        <v>28</v>
      </c>
      <c r="M1157" s="4" t="s">
        <v>34</v>
      </c>
      <c r="N1157" s="4" t="s">
        <v>27</v>
      </c>
    </row>
    <row r="1158" spans="1:14" ht="14.4" thickBot="1" x14ac:dyDescent="0.35">
      <c r="A1158" s="4" t="s">
        <v>19</v>
      </c>
      <c r="B1158" s="4" t="s">
        <v>782</v>
      </c>
      <c r="C1158" s="4" t="s">
        <v>783</v>
      </c>
      <c r="D1158" s="4" t="s">
        <v>784</v>
      </c>
      <c r="E1158" s="4" t="s">
        <v>254</v>
      </c>
      <c r="F1158" s="4" t="s">
        <v>2364</v>
      </c>
      <c r="G1158" s="4" t="s">
        <v>2365</v>
      </c>
      <c r="H1158" s="4" t="s">
        <v>190</v>
      </c>
      <c r="I1158" s="4" t="s">
        <v>26</v>
      </c>
      <c r="J1158" s="4" t="s">
        <v>27</v>
      </c>
      <c r="K1158" s="4" t="s">
        <v>28</v>
      </c>
      <c r="L1158" s="4" t="s">
        <v>28</v>
      </c>
      <c r="M1158" s="4" t="s">
        <v>34</v>
      </c>
      <c r="N1158" s="4" t="s">
        <v>28</v>
      </c>
    </row>
    <row r="1159" spans="1:14" ht="14.4" thickBot="1" x14ac:dyDescent="0.35">
      <c r="A1159" s="4" t="s">
        <v>19</v>
      </c>
      <c r="B1159" s="4" t="s">
        <v>782</v>
      </c>
      <c r="C1159" s="4" t="s">
        <v>783</v>
      </c>
      <c r="D1159" s="4" t="s">
        <v>784</v>
      </c>
      <c r="E1159" s="4" t="s">
        <v>254</v>
      </c>
      <c r="F1159" s="4" t="s">
        <v>2366</v>
      </c>
      <c r="G1159" s="4" t="s">
        <v>2367</v>
      </c>
      <c r="H1159" s="4" t="s">
        <v>37</v>
      </c>
      <c r="I1159" s="4" t="s">
        <v>38</v>
      </c>
      <c r="J1159" s="4" t="s">
        <v>28</v>
      </c>
      <c r="K1159" s="4" t="s">
        <v>28</v>
      </c>
      <c r="L1159" s="4" t="s">
        <v>27</v>
      </c>
      <c r="M1159" s="4" t="s">
        <v>34</v>
      </c>
      <c r="N1159" s="4" t="s">
        <v>28</v>
      </c>
    </row>
    <row r="1160" spans="1:14" ht="14.4" thickBot="1" x14ac:dyDescent="0.35">
      <c r="A1160" s="4" t="s">
        <v>19</v>
      </c>
      <c r="B1160" s="4" t="s">
        <v>782</v>
      </c>
      <c r="C1160" s="4" t="s">
        <v>783</v>
      </c>
      <c r="D1160" s="4" t="s">
        <v>784</v>
      </c>
      <c r="E1160" s="4" t="s">
        <v>254</v>
      </c>
      <c r="F1160" s="4" t="s">
        <v>2368</v>
      </c>
      <c r="G1160" s="4" t="s">
        <v>2369</v>
      </c>
      <c r="H1160" s="4" t="s">
        <v>26</v>
      </c>
      <c r="I1160" s="4" t="s">
        <v>69</v>
      </c>
      <c r="J1160" s="4" t="s">
        <v>27</v>
      </c>
      <c r="K1160" s="4" t="s">
        <v>28</v>
      </c>
      <c r="L1160" s="4" t="s">
        <v>28</v>
      </c>
      <c r="M1160" s="4" t="s">
        <v>34</v>
      </c>
      <c r="N1160" s="4" t="s">
        <v>28</v>
      </c>
    </row>
    <row r="1161" spans="1:14" ht="14.4" thickBot="1" x14ac:dyDescent="0.35">
      <c r="A1161" s="4" t="s">
        <v>19</v>
      </c>
      <c r="B1161" s="4" t="s">
        <v>782</v>
      </c>
      <c r="C1161" s="4" t="s">
        <v>783</v>
      </c>
      <c r="D1161" s="4" t="s">
        <v>784</v>
      </c>
      <c r="E1161" s="4" t="s">
        <v>254</v>
      </c>
      <c r="F1161" s="4" t="s">
        <v>2370</v>
      </c>
      <c r="G1161" s="4" t="s">
        <v>2371</v>
      </c>
      <c r="H1161" s="4" t="s">
        <v>135</v>
      </c>
      <c r="I1161" s="4" t="s">
        <v>69</v>
      </c>
      <c r="J1161" s="4" t="s">
        <v>27</v>
      </c>
      <c r="K1161" s="4" t="s">
        <v>28</v>
      </c>
      <c r="L1161" s="4" t="s">
        <v>28</v>
      </c>
      <c r="M1161" s="4" t="s">
        <v>34</v>
      </c>
      <c r="N1161" s="4" t="s">
        <v>28</v>
      </c>
    </row>
    <row r="1162" spans="1:14" ht="14.4" thickBot="1" x14ac:dyDescent="0.35">
      <c r="A1162" s="4" t="s">
        <v>19</v>
      </c>
      <c r="B1162" s="4" t="s">
        <v>782</v>
      </c>
      <c r="C1162" s="4" t="s">
        <v>783</v>
      </c>
      <c r="D1162" s="4" t="s">
        <v>784</v>
      </c>
      <c r="E1162" s="4" t="s">
        <v>254</v>
      </c>
      <c r="F1162" s="4" t="s">
        <v>2372</v>
      </c>
      <c r="G1162" s="4" t="s">
        <v>2373</v>
      </c>
      <c r="H1162" s="4" t="s">
        <v>26</v>
      </c>
      <c r="I1162" s="4" t="s">
        <v>69</v>
      </c>
      <c r="J1162" s="4" t="s">
        <v>27</v>
      </c>
      <c r="K1162" s="4" t="s">
        <v>28</v>
      </c>
      <c r="L1162" s="4" t="s">
        <v>28</v>
      </c>
      <c r="M1162" s="4" t="s">
        <v>34</v>
      </c>
      <c r="N1162" s="4" t="s">
        <v>28</v>
      </c>
    </row>
    <row r="1163" spans="1:14" ht="14.4" thickBot="1" x14ac:dyDescent="0.35">
      <c r="A1163" s="4" t="s">
        <v>19</v>
      </c>
      <c r="B1163" s="4" t="s">
        <v>782</v>
      </c>
      <c r="C1163" s="4" t="s">
        <v>783</v>
      </c>
      <c r="D1163" s="4" t="s">
        <v>784</v>
      </c>
      <c r="E1163" s="4" t="s">
        <v>254</v>
      </c>
      <c r="F1163" s="4" t="s">
        <v>2374</v>
      </c>
      <c r="G1163" s="4" t="s">
        <v>2375</v>
      </c>
      <c r="H1163" s="4" t="s">
        <v>26</v>
      </c>
      <c r="I1163" s="4" t="s">
        <v>69</v>
      </c>
      <c r="J1163" s="4" t="s">
        <v>27</v>
      </c>
      <c r="K1163" s="4" t="s">
        <v>28</v>
      </c>
      <c r="L1163" s="4" t="s">
        <v>28</v>
      </c>
      <c r="M1163" s="4" t="s">
        <v>34</v>
      </c>
      <c r="N1163" s="4" t="s">
        <v>28</v>
      </c>
    </row>
    <row r="1164" spans="1:14" ht="14.4" thickBot="1" x14ac:dyDescent="0.35">
      <c r="A1164" s="4" t="s">
        <v>19</v>
      </c>
      <c r="B1164" s="4" t="s">
        <v>782</v>
      </c>
      <c r="C1164" s="4" t="s">
        <v>783</v>
      </c>
      <c r="D1164" s="4" t="s">
        <v>784</v>
      </c>
      <c r="E1164" s="4" t="s">
        <v>254</v>
      </c>
      <c r="F1164" s="4" t="s">
        <v>2376</v>
      </c>
      <c r="G1164" s="4" t="s">
        <v>2377</v>
      </c>
      <c r="H1164" s="4" t="s">
        <v>26</v>
      </c>
      <c r="I1164" s="4" t="s">
        <v>33</v>
      </c>
      <c r="J1164" s="4" t="s">
        <v>27</v>
      </c>
      <c r="K1164" s="4" t="s">
        <v>28</v>
      </c>
      <c r="L1164" s="4" t="s">
        <v>28</v>
      </c>
      <c r="M1164" s="4" t="s">
        <v>34</v>
      </c>
      <c r="N1164" s="4" t="s">
        <v>28</v>
      </c>
    </row>
    <row r="1165" spans="1:14" ht="14.4" thickBot="1" x14ac:dyDescent="0.35">
      <c r="A1165" s="4" t="s">
        <v>19</v>
      </c>
      <c r="B1165" s="4" t="s">
        <v>782</v>
      </c>
      <c r="C1165" s="4" t="s">
        <v>783</v>
      </c>
      <c r="D1165" s="4" t="s">
        <v>784</v>
      </c>
      <c r="E1165" s="4" t="s">
        <v>254</v>
      </c>
      <c r="F1165" s="4" t="s">
        <v>2378</v>
      </c>
      <c r="G1165" s="4" t="s">
        <v>2379</v>
      </c>
      <c r="H1165" s="4" t="s">
        <v>69</v>
      </c>
      <c r="I1165" s="4" t="s">
        <v>94</v>
      </c>
      <c r="J1165" s="4" t="s">
        <v>28</v>
      </c>
      <c r="K1165" s="4" t="s">
        <v>27</v>
      </c>
      <c r="L1165" s="4" t="s">
        <v>28</v>
      </c>
      <c r="M1165" s="4" t="s">
        <v>34</v>
      </c>
      <c r="N1165" s="4" t="s">
        <v>28</v>
      </c>
    </row>
    <row r="1166" spans="1:14" ht="14.4" thickBot="1" x14ac:dyDescent="0.35">
      <c r="A1166" s="4" t="s">
        <v>19</v>
      </c>
      <c r="B1166" s="4" t="s">
        <v>782</v>
      </c>
      <c r="C1166" s="4" t="s">
        <v>783</v>
      </c>
      <c r="D1166" s="4" t="s">
        <v>784</v>
      </c>
      <c r="E1166" s="4" t="s">
        <v>254</v>
      </c>
      <c r="F1166" s="4" t="s">
        <v>2380</v>
      </c>
      <c r="G1166" s="4" t="s">
        <v>2381</v>
      </c>
      <c r="H1166" s="4" t="s">
        <v>37</v>
      </c>
      <c r="I1166" s="4" t="s">
        <v>38</v>
      </c>
      <c r="J1166" s="4" t="s">
        <v>28</v>
      </c>
      <c r="K1166" s="4" t="s">
        <v>28</v>
      </c>
      <c r="L1166" s="4" t="s">
        <v>27</v>
      </c>
      <c r="M1166" s="4" t="s">
        <v>34</v>
      </c>
      <c r="N1166" s="4" t="s">
        <v>28</v>
      </c>
    </row>
    <row r="1167" spans="1:14" ht="14.4" thickBot="1" x14ac:dyDescent="0.35">
      <c r="A1167" s="4" t="s">
        <v>19</v>
      </c>
      <c r="B1167" s="4" t="s">
        <v>782</v>
      </c>
      <c r="C1167" s="4" t="s">
        <v>783</v>
      </c>
      <c r="D1167" s="4" t="s">
        <v>784</v>
      </c>
      <c r="E1167" s="4" t="s">
        <v>254</v>
      </c>
      <c r="F1167" s="4" t="s">
        <v>2382</v>
      </c>
      <c r="G1167" s="4" t="s">
        <v>2383</v>
      </c>
      <c r="H1167" s="4" t="s">
        <v>135</v>
      </c>
      <c r="I1167" s="4" t="s">
        <v>94</v>
      </c>
      <c r="J1167" s="4" t="s">
        <v>27</v>
      </c>
      <c r="K1167" s="4" t="s">
        <v>28</v>
      </c>
      <c r="L1167" s="4" t="s">
        <v>28</v>
      </c>
      <c r="M1167" s="4" t="s">
        <v>34</v>
      </c>
      <c r="N1167" s="4" t="s">
        <v>27</v>
      </c>
    </row>
    <row r="1168" spans="1:14" ht="14.4" thickBot="1" x14ac:dyDescent="0.35">
      <c r="A1168" s="4" t="s">
        <v>19</v>
      </c>
      <c r="B1168" s="4" t="s">
        <v>782</v>
      </c>
      <c r="C1168" s="4" t="s">
        <v>783</v>
      </c>
      <c r="D1168" s="4" t="s">
        <v>784</v>
      </c>
      <c r="E1168" s="4" t="s">
        <v>254</v>
      </c>
      <c r="F1168" s="4" t="s">
        <v>2384</v>
      </c>
      <c r="G1168" s="4" t="s">
        <v>2385</v>
      </c>
      <c r="H1168" s="4" t="s">
        <v>26</v>
      </c>
      <c r="I1168" s="4" t="s">
        <v>33</v>
      </c>
      <c r="J1168" s="4" t="s">
        <v>27</v>
      </c>
      <c r="K1168" s="4" t="s">
        <v>28</v>
      </c>
      <c r="L1168" s="4" t="s">
        <v>28</v>
      </c>
      <c r="M1168" s="4" t="s">
        <v>34</v>
      </c>
      <c r="N1168" s="4" t="s">
        <v>28</v>
      </c>
    </row>
    <row r="1169" spans="1:14" ht="14.4" thickBot="1" x14ac:dyDescent="0.35">
      <c r="A1169" s="4" t="s">
        <v>19</v>
      </c>
      <c r="B1169" s="4" t="s">
        <v>782</v>
      </c>
      <c r="C1169" s="4" t="s">
        <v>783</v>
      </c>
      <c r="D1169" s="4" t="s">
        <v>784</v>
      </c>
      <c r="E1169" s="4" t="s">
        <v>254</v>
      </c>
      <c r="F1169" s="4" t="s">
        <v>2386</v>
      </c>
      <c r="G1169" s="4" t="s">
        <v>2387</v>
      </c>
      <c r="H1169" s="4" t="s">
        <v>37</v>
      </c>
      <c r="I1169" s="4" t="s">
        <v>38</v>
      </c>
      <c r="J1169" s="4" t="s">
        <v>28</v>
      </c>
      <c r="K1169" s="4" t="s">
        <v>28</v>
      </c>
      <c r="L1169" s="4" t="s">
        <v>27</v>
      </c>
      <c r="M1169" s="4" t="s">
        <v>34</v>
      </c>
      <c r="N1169" s="4" t="s">
        <v>28</v>
      </c>
    </row>
    <row r="1170" spans="1:14" ht="14.4" thickBot="1" x14ac:dyDescent="0.35">
      <c r="A1170" s="4" t="s">
        <v>19</v>
      </c>
      <c r="B1170" s="4" t="s">
        <v>782</v>
      </c>
      <c r="C1170" s="4" t="s">
        <v>783</v>
      </c>
      <c r="D1170" s="4" t="s">
        <v>784</v>
      </c>
      <c r="E1170" s="4" t="s">
        <v>254</v>
      </c>
      <c r="F1170" s="4" t="s">
        <v>2388</v>
      </c>
      <c r="G1170" s="4" t="s">
        <v>2389</v>
      </c>
      <c r="H1170" s="4" t="s">
        <v>26</v>
      </c>
      <c r="I1170" s="4" t="s">
        <v>94</v>
      </c>
      <c r="J1170" s="4" t="s">
        <v>27</v>
      </c>
      <c r="K1170" s="4" t="s">
        <v>28</v>
      </c>
      <c r="L1170" s="4" t="s">
        <v>28</v>
      </c>
      <c r="M1170" s="4" t="s">
        <v>34</v>
      </c>
      <c r="N1170" s="4" t="s">
        <v>27</v>
      </c>
    </row>
    <row r="1171" spans="1:14" ht="14.4" thickBot="1" x14ac:dyDescent="0.35">
      <c r="A1171" s="4" t="s">
        <v>19</v>
      </c>
      <c r="B1171" s="4" t="s">
        <v>782</v>
      </c>
      <c r="C1171" s="4" t="s">
        <v>783</v>
      </c>
      <c r="D1171" s="4" t="s">
        <v>784</v>
      </c>
      <c r="E1171" s="4" t="s">
        <v>254</v>
      </c>
      <c r="F1171" s="4" t="s">
        <v>2390</v>
      </c>
      <c r="G1171" s="4" t="s">
        <v>2391</v>
      </c>
      <c r="H1171" s="4" t="s">
        <v>26</v>
      </c>
      <c r="I1171" s="4" t="s">
        <v>33</v>
      </c>
      <c r="J1171" s="4" t="s">
        <v>27</v>
      </c>
      <c r="K1171" s="4" t="s">
        <v>28</v>
      </c>
      <c r="L1171" s="4" t="s">
        <v>28</v>
      </c>
      <c r="M1171" s="4" t="s">
        <v>34</v>
      </c>
      <c r="N1171" s="4" t="s">
        <v>28</v>
      </c>
    </row>
    <row r="1172" spans="1:14" ht="14.4" thickBot="1" x14ac:dyDescent="0.35">
      <c r="A1172" s="4" t="s">
        <v>19</v>
      </c>
      <c r="B1172" s="4" t="s">
        <v>782</v>
      </c>
      <c r="C1172" s="4" t="s">
        <v>783</v>
      </c>
      <c r="D1172" s="4" t="s">
        <v>784</v>
      </c>
      <c r="E1172" s="4" t="s">
        <v>254</v>
      </c>
      <c r="F1172" s="4" t="s">
        <v>2484</v>
      </c>
      <c r="G1172" s="4" t="s">
        <v>2485</v>
      </c>
      <c r="H1172" s="4" t="s">
        <v>26</v>
      </c>
      <c r="I1172" s="4" t="s">
        <v>26</v>
      </c>
      <c r="J1172" s="4" t="s">
        <v>27</v>
      </c>
      <c r="K1172" s="4" t="s">
        <v>28</v>
      </c>
      <c r="L1172" s="4" t="s">
        <v>28</v>
      </c>
      <c r="M1172" s="4" t="s">
        <v>29</v>
      </c>
      <c r="N1172" s="4" t="s">
        <v>28</v>
      </c>
    </row>
    <row r="1173" spans="1:14" ht="14.4" thickBot="1" x14ac:dyDescent="0.35">
      <c r="A1173" s="4" t="s">
        <v>19</v>
      </c>
      <c r="B1173" s="4" t="s">
        <v>782</v>
      </c>
      <c r="C1173" s="4" t="s">
        <v>783</v>
      </c>
      <c r="D1173" s="4" t="s">
        <v>784</v>
      </c>
      <c r="E1173" s="4" t="s">
        <v>254</v>
      </c>
      <c r="F1173" s="4" t="s">
        <v>3130</v>
      </c>
      <c r="G1173" s="4" t="s">
        <v>3131</v>
      </c>
      <c r="H1173" s="4" t="s">
        <v>69</v>
      </c>
      <c r="I1173" s="4" t="s">
        <v>38</v>
      </c>
      <c r="J1173" s="4" t="s">
        <v>28</v>
      </c>
      <c r="K1173" s="4" t="s">
        <v>28</v>
      </c>
      <c r="L1173" s="4" t="s">
        <v>27</v>
      </c>
      <c r="M1173" s="4" t="s">
        <v>34</v>
      </c>
      <c r="N1173" s="4" t="s">
        <v>27</v>
      </c>
    </row>
    <row r="1174" spans="1:14" ht="14.4" thickBot="1" x14ac:dyDescent="0.35">
      <c r="A1174" s="4" t="s">
        <v>19</v>
      </c>
      <c r="B1174" s="4" t="s">
        <v>782</v>
      </c>
      <c r="C1174" s="4" t="s">
        <v>783</v>
      </c>
      <c r="D1174" s="4" t="s">
        <v>784</v>
      </c>
      <c r="E1174" s="4" t="s">
        <v>254</v>
      </c>
      <c r="F1174" s="4" t="s">
        <v>3132</v>
      </c>
      <c r="G1174" s="4" t="s">
        <v>3133</v>
      </c>
      <c r="H1174" s="4" t="s">
        <v>69</v>
      </c>
      <c r="I1174" s="4" t="s">
        <v>94</v>
      </c>
      <c r="J1174" s="4" t="s">
        <v>28</v>
      </c>
      <c r="K1174" s="4" t="s">
        <v>27</v>
      </c>
      <c r="L1174" s="4" t="s">
        <v>28</v>
      </c>
      <c r="M1174" s="4" t="s">
        <v>34</v>
      </c>
      <c r="N1174" s="4" t="s">
        <v>27</v>
      </c>
    </row>
    <row r="1175" spans="1:14" ht="14.4" thickBot="1" x14ac:dyDescent="0.35">
      <c r="A1175" s="4" t="s">
        <v>19</v>
      </c>
      <c r="B1175" s="4" t="s">
        <v>782</v>
      </c>
      <c r="C1175" s="4" t="s">
        <v>783</v>
      </c>
      <c r="D1175" s="4" t="s">
        <v>784</v>
      </c>
      <c r="E1175" s="4" t="s">
        <v>254</v>
      </c>
      <c r="F1175" s="4" t="s">
        <v>3134</v>
      </c>
      <c r="G1175" s="4" t="s">
        <v>3135</v>
      </c>
      <c r="H1175" s="4" t="s">
        <v>135</v>
      </c>
      <c r="I1175" s="4" t="s">
        <v>94</v>
      </c>
      <c r="J1175" s="4" t="s">
        <v>27</v>
      </c>
      <c r="K1175" s="4" t="s">
        <v>28</v>
      </c>
      <c r="L1175" s="4" t="s">
        <v>28</v>
      </c>
      <c r="M1175" s="4" t="s">
        <v>34</v>
      </c>
      <c r="N1175" s="4" t="s">
        <v>27</v>
      </c>
    </row>
    <row r="1176" spans="1:14" ht="14.4" thickBot="1" x14ac:dyDescent="0.35">
      <c r="A1176" s="4" t="s">
        <v>19</v>
      </c>
      <c r="B1176" s="4" t="s">
        <v>782</v>
      </c>
      <c r="C1176" s="4" t="s">
        <v>783</v>
      </c>
      <c r="D1176" s="4" t="s">
        <v>784</v>
      </c>
      <c r="E1176" s="4" t="s">
        <v>254</v>
      </c>
      <c r="F1176" s="4" t="s">
        <v>3136</v>
      </c>
      <c r="G1176" s="4" t="s">
        <v>3137</v>
      </c>
      <c r="H1176" s="4" t="s">
        <v>37</v>
      </c>
      <c r="I1176" s="4" t="s">
        <v>38</v>
      </c>
      <c r="J1176" s="4" t="s">
        <v>28</v>
      </c>
      <c r="K1176" s="4" t="s">
        <v>28</v>
      </c>
      <c r="L1176" s="4" t="s">
        <v>27</v>
      </c>
      <c r="M1176" s="4" t="s">
        <v>34</v>
      </c>
      <c r="N1176" s="4" t="s">
        <v>28</v>
      </c>
    </row>
    <row r="1177" spans="1:14" ht="14.4" thickBot="1" x14ac:dyDescent="0.35">
      <c r="A1177" s="4" t="s">
        <v>19</v>
      </c>
      <c r="B1177" s="4" t="s">
        <v>782</v>
      </c>
      <c r="C1177" s="4" t="s">
        <v>783</v>
      </c>
      <c r="D1177" s="4" t="s">
        <v>784</v>
      </c>
      <c r="E1177" s="4" t="s">
        <v>254</v>
      </c>
      <c r="F1177" s="4" t="s">
        <v>3138</v>
      </c>
      <c r="G1177" s="4" t="s">
        <v>3139</v>
      </c>
      <c r="H1177" s="4" t="s">
        <v>26</v>
      </c>
      <c r="I1177" s="4" t="s">
        <v>94</v>
      </c>
      <c r="J1177" s="4" t="s">
        <v>27</v>
      </c>
      <c r="K1177" s="4" t="s">
        <v>28</v>
      </c>
      <c r="L1177" s="4" t="s">
        <v>28</v>
      </c>
      <c r="M1177" s="4" t="s">
        <v>34</v>
      </c>
      <c r="N1177" s="4" t="s">
        <v>27</v>
      </c>
    </row>
    <row r="1178" spans="1:14" ht="14.4" thickBot="1" x14ac:dyDescent="0.35">
      <c r="A1178" s="4" t="s">
        <v>19</v>
      </c>
      <c r="B1178" s="4" t="s">
        <v>782</v>
      </c>
      <c r="C1178" s="4" t="s">
        <v>783</v>
      </c>
      <c r="D1178" s="4" t="s">
        <v>784</v>
      </c>
      <c r="E1178" s="4" t="s">
        <v>254</v>
      </c>
      <c r="F1178" s="4" t="s">
        <v>3140</v>
      </c>
      <c r="G1178" s="4" t="s">
        <v>3141</v>
      </c>
      <c r="H1178" s="4" t="s">
        <v>26</v>
      </c>
      <c r="I1178" s="4" t="s">
        <v>69</v>
      </c>
      <c r="J1178" s="4" t="s">
        <v>27</v>
      </c>
      <c r="K1178" s="4" t="s">
        <v>28</v>
      </c>
      <c r="L1178" s="4" t="s">
        <v>28</v>
      </c>
      <c r="M1178" s="4" t="s">
        <v>34</v>
      </c>
      <c r="N1178" s="4" t="s">
        <v>28</v>
      </c>
    </row>
    <row r="1179" spans="1:14" ht="14.4" thickBot="1" x14ac:dyDescent="0.35">
      <c r="A1179" s="4" t="s">
        <v>19</v>
      </c>
      <c r="B1179" s="4" t="s">
        <v>782</v>
      </c>
      <c r="C1179" s="4" t="s">
        <v>783</v>
      </c>
      <c r="D1179" s="4" t="s">
        <v>784</v>
      </c>
      <c r="E1179" s="4" t="s">
        <v>254</v>
      </c>
      <c r="F1179" s="4" t="s">
        <v>3142</v>
      </c>
      <c r="G1179" s="4" t="s">
        <v>3143</v>
      </c>
      <c r="H1179" s="4" t="s">
        <v>37</v>
      </c>
      <c r="I1179" s="4" t="s">
        <v>38</v>
      </c>
      <c r="J1179" s="4" t="s">
        <v>28</v>
      </c>
      <c r="K1179" s="4" t="s">
        <v>28</v>
      </c>
      <c r="L1179" s="4" t="s">
        <v>27</v>
      </c>
      <c r="M1179" s="4" t="s">
        <v>34</v>
      </c>
      <c r="N1179" s="4" t="s">
        <v>28</v>
      </c>
    </row>
    <row r="1180" spans="1:14" ht="14.4" thickBot="1" x14ac:dyDescent="0.35">
      <c r="A1180" s="4" t="s">
        <v>19</v>
      </c>
      <c r="B1180" s="4" t="s">
        <v>782</v>
      </c>
      <c r="C1180" s="4" t="s">
        <v>783</v>
      </c>
      <c r="D1180" s="4" t="s">
        <v>784</v>
      </c>
      <c r="E1180" s="4" t="s">
        <v>254</v>
      </c>
      <c r="F1180" s="4" t="s">
        <v>3144</v>
      </c>
      <c r="G1180" s="4" t="s">
        <v>3145</v>
      </c>
      <c r="H1180" s="4" t="s">
        <v>37</v>
      </c>
      <c r="I1180" s="4" t="s">
        <v>38</v>
      </c>
      <c r="J1180" s="4" t="s">
        <v>28</v>
      </c>
      <c r="K1180" s="4" t="s">
        <v>28</v>
      </c>
      <c r="L1180" s="4" t="s">
        <v>27</v>
      </c>
      <c r="M1180" s="4" t="s">
        <v>34</v>
      </c>
      <c r="N1180" s="4" t="s">
        <v>28</v>
      </c>
    </row>
    <row r="1181" spans="1:14" ht="14.4" thickBot="1" x14ac:dyDescent="0.35">
      <c r="A1181" s="4" t="s">
        <v>19</v>
      </c>
      <c r="B1181" s="4" t="s">
        <v>782</v>
      </c>
      <c r="C1181" s="4" t="s">
        <v>783</v>
      </c>
      <c r="D1181" s="4" t="s">
        <v>784</v>
      </c>
      <c r="E1181" s="4" t="s">
        <v>254</v>
      </c>
      <c r="F1181" s="4" t="s">
        <v>3146</v>
      </c>
      <c r="G1181" s="4" t="s">
        <v>3147</v>
      </c>
      <c r="H1181" s="4" t="s">
        <v>26</v>
      </c>
      <c r="I1181" s="4" t="s">
        <v>69</v>
      </c>
      <c r="J1181" s="4" t="s">
        <v>27</v>
      </c>
      <c r="K1181" s="4" t="s">
        <v>28</v>
      </c>
      <c r="L1181" s="4" t="s">
        <v>28</v>
      </c>
      <c r="M1181" s="4" t="s">
        <v>34</v>
      </c>
      <c r="N1181" s="4" t="s">
        <v>28</v>
      </c>
    </row>
    <row r="1182" spans="1:14" ht="14.4" thickBot="1" x14ac:dyDescent="0.35">
      <c r="A1182" s="4" t="s">
        <v>19</v>
      </c>
      <c r="B1182" s="4" t="s">
        <v>782</v>
      </c>
      <c r="C1182" s="4" t="s">
        <v>783</v>
      </c>
      <c r="D1182" s="4" t="s">
        <v>784</v>
      </c>
      <c r="E1182" s="4" t="s">
        <v>254</v>
      </c>
      <c r="F1182" s="4" t="s">
        <v>3148</v>
      </c>
      <c r="G1182" s="4" t="s">
        <v>1105</v>
      </c>
      <c r="H1182" s="4" t="s">
        <v>190</v>
      </c>
      <c r="I1182" s="4" t="s">
        <v>26</v>
      </c>
      <c r="J1182" s="4" t="s">
        <v>27</v>
      </c>
      <c r="K1182" s="4" t="s">
        <v>28</v>
      </c>
      <c r="L1182" s="4" t="s">
        <v>28</v>
      </c>
      <c r="M1182" s="4" t="s">
        <v>34</v>
      </c>
      <c r="N1182" s="4" t="s">
        <v>28</v>
      </c>
    </row>
    <row r="1183" spans="1:14" ht="14.4" thickBot="1" x14ac:dyDescent="0.35">
      <c r="A1183" s="4" t="s">
        <v>19</v>
      </c>
      <c r="B1183" s="4" t="s">
        <v>782</v>
      </c>
      <c r="C1183" s="4" t="s">
        <v>783</v>
      </c>
      <c r="D1183" s="4" t="s">
        <v>784</v>
      </c>
      <c r="E1183" s="4" t="s">
        <v>254</v>
      </c>
      <c r="F1183" s="4" t="s">
        <v>3149</v>
      </c>
      <c r="G1183" s="4" t="s">
        <v>3150</v>
      </c>
      <c r="H1183" s="4" t="s">
        <v>37</v>
      </c>
      <c r="I1183" s="4" t="s">
        <v>38</v>
      </c>
      <c r="J1183" s="4" t="s">
        <v>28</v>
      </c>
      <c r="K1183" s="4" t="s">
        <v>28</v>
      </c>
      <c r="L1183" s="4" t="s">
        <v>27</v>
      </c>
      <c r="M1183" s="4" t="s">
        <v>34</v>
      </c>
      <c r="N1183" s="4" t="s">
        <v>28</v>
      </c>
    </row>
    <row r="1184" spans="1:14" ht="14.4" thickBot="1" x14ac:dyDescent="0.35">
      <c r="A1184" s="4" t="s">
        <v>19</v>
      </c>
      <c r="B1184" s="4" t="s">
        <v>782</v>
      </c>
      <c r="C1184" s="4" t="s">
        <v>783</v>
      </c>
      <c r="D1184" s="4" t="s">
        <v>784</v>
      </c>
      <c r="E1184" s="4" t="s">
        <v>254</v>
      </c>
      <c r="F1184" s="4" t="s">
        <v>3252</v>
      </c>
      <c r="G1184" s="4" t="s">
        <v>3253</v>
      </c>
      <c r="H1184" s="4" t="s">
        <v>26</v>
      </c>
      <c r="I1184" s="4" t="s">
        <v>94</v>
      </c>
      <c r="J1184" s="4" t="s">
        <v>27</v>
      </c>
      <c r="K1184" s="4" t="s">
        <v>28</v>
      </c>
      <c r="L1184" s="4" t="s">
        <v>28</v>
      </c>
      <c r="M1184" s="4" t="s">
        <v>29</v>
      </c>
      <c r="N1184" s="4" t="s">
        <v>28</v>
      </c>
    </row>
    <row r="1185" spans="1:14" ht="14.4" thickBot="1" x14ac:dyDescent="0.35">
      <c r="A1185" s="4" t="s">
        <v>19</v>
      </c>
      <c r="B1185" s="4" t="s">
        <v>782</v>
      </c>
      <c r="C1185" s="4" t="s">
        <v>783</v>
      </c>
      <c r="D1185" s="4" t="s">
        <v>784</v>
      </c>
      <c r="E1185" s="4" t="s">
        <v>254</v>
      </c>
      <c r="F1185" s="4" t="s">
        <v>3254</v>
      </c>
      <c r="G1185" s="4" t="s">
        <v>3255</v>
      </c>
      <c r="H1185" s="4" t="s">
        <v>26</v>
      </c>
      <c r="I1185" s="4" t="s">
        <v>26</v>
      </c>
      <c r="J1185" s="4" t="s">
        <v>27</v>
      </c>
      <c r="K1185" s="4" t="s">
        <v>28</v>
      </c>
      <c r="L1185" s="4" t="s">
        <v>28</v>
      </c>
      <c r="M1185" s="4" t="s">
        <v>29</v>
      </c>
      <c r="N1185" s="4" t="s">
        <v>28</v>
      </c>
    </row>
    <row r="1186" spans="1:14" ht="14.4" thickBot="1" x14ac:dyDescent="0.35">
      <c r="A1186" s="4" t="s">
        <v>19</v>
      </c>
      <c r="B1186" s="4" t="s">
        <v>782</v>
      </c>
      <c r="C1186" s="4" t="s">
        <v>783</v>
      </c>
      <c r="D1186" s="4" t="s">
        <v>784</v>
      </c>
      <c r="E1186" s="4" t="s">
        <v>254</v>
      </c>
      <c r="F1186" s="4" t="s">
        <v>3923</v>
      </c>
      <c r="G1186" s="4" t="s">
        <v>1463</v>
      </c>
      <c r="H1186" s="4" t="s">
        <v>122</v>
      </c>
      <c r="I1186" s="4" t="s">
        <v>94</v>
      </c>
      <c r="J1186" s="4" t="s">
        <v>28</v>
      </c>
      <c r="K1186" s="4" t="s">
        <v>27</v>
      </c>
      <c r="L1186" s="4" t="s">
        <v>28</v>
      </c>
      <c r="M1186" s="4" t="s">
        <v>34</v>
      </c>
      <c r="N1186" s="4" t="s">
        <v>28</v>
      </c>
    </row>
    <row r="1187" spans="1:14" ht="14.4" thickBot="1" x14ac:dyDescent="0.35">
      <c r="A1187" s="4" t="s">
        <v>19</v>
      </c>
      <c r="B1187" s="4" t="s">
        <v>782</v>
      </c>
      <c r="C1187" s="4" t="s">
        <v>783</v>
      </c>
      <c r="D1187" s="4" t="s">
        <v>784</v>
      </c>
      <c r="E1187" s="4" t="s">
        <v>254</v>
      </c>
      <c r="F1187" s="4" t="s">
        <v>3924</v>
      </c>
      <c r="G1187" s="4" t="s">
        <v>3925</v>
      </c>
      <c r="H1187" s="4" t="s">
        <v>26</v>
      </c>
      <c r="I1187" s="4" t="s">
        <v>94</v>
      </c>
      <c r="J1187" s="4" t="s">
        <v>27</v>
      </c>
      <c r="K1187" s="4" t="s">
        <v>28</v>
      </c>
      <c r="L1187" s="4" t="s">
        <v>28</v>
      </c>
      <c r="M1187" s="4" t="s">
        <v>34</v>
      </c>
      <c r="N1187" s="4" t="s">
        <v>27</v>
      </c>
    </row>
    <row r="1188" spans="1:14" ht="14.4" thickBot="1" x14ac:dyDescent="0.35">
      <c r="A1188" s="4" t="s">
        <v>19</v>
      </c>
      <c r="B1188" s="4" t="s">
        <v>782</v>
      </c>
      <c r="C1188" s="4" t="s">
        <v>783</v>
      </c>
      <c r="D1188" s="4" t="s">
        <v>784</v>
      </c>
      <c r="E1188" s="4" t="s">
        <v>254</v>
      </c>
      <c r="F1188" s="4" t="s">
        <v>3926</v>
      </c>
      <c r="G1188" s="4" t="s">
        <v>3927</v>
      </c>
      <c r="H1188" s="4" t="s">
        <v>26</v>
      </c>
      <c r="I1188" s="4" t="s">
        <v>94</v>
      </c>
      <c r="J1188" s="4" t="s">
        <v>27</v>
      </c>
      <c r="K1188" s="4" t="s">
        <v>28</v>
      </c>
      <c r="L1188" s="4" t="s">
        <v>28</v>
      </c>
      <c r="M1188" s="4" t="s">
        <v>34</v>
      </c>
      <c r="N1188" s="4" t="s">
        <v>27</v>
      </c>
    </row>
    <row r="1189" spans="1:14" ht="14.4" thickBot="1" x14ac:dyDescent="0.35">
      <c r="A1189" s="4" t="s">
        <v>19</v>
      </c>
      <c r="B1189" s="4" t="s">
        <v>782</v>
      </c>
      <c r="C1189" s="4" t="s">
        <v>783</v>
      </c>
      <c r="D1189" s="4" t="s">
        <v>784</v>
      </c>
      <c r="E1189" s="4" t="s">
        <v>254</v>
      </c>
      <c r="F1189" s="4" t="s">
        <v>3928</v>
      </c>
      <c r="G1189" s="4" t="s">
        <v>3929</v>
      </c>
      <c r="H1189" s="4" t="s">
        <v>135</v>
      </c>
      <c r="I1189" s="4" t="s">
        <v>38</v>
      </c>
      <c r="J1189" s="4" t="s">
        <v>28</v>
      </c>
      <c r="K1189" s="4" t="s">
        <v>28</v>
      </c>
      <c r="L1189" s="4" t="s">
        <v>27</v>
      </c>
      <c r="M1189" s="4" t="s">
        <v>34</v>
      </c>
      <c r="N1189" s="4" t="s">
        <v>28</v>
      </c>
    </row>
    <row r="1190" spans="1:14" ht="14.4" thickBot="1" x14ac:dyDescent="0.35">
      <c r="A1190" s="4" t="s">
        <v>19</v>
      </c>
      <c r="B1190" s="4" t="s">
        <v>782</v>
      </c>
      <c r="C1190" s="4" t="s">
        <v>783</v>
      </c>
      <c r="D1190" s="4" t="s">
        <v>784</v>
      </c>
      <c r="E1190" s="4" t="s">
        <v>254</v>
      </c>
      <c r="F1190" s="4" t="s">
        <v>3930</v>
      </c>
      <c r="G1190" s="4" t="s">
        <v>3931</v>
      </c>
      <c r="H1190" s="4" t="s">
        <v>26</v>
      </c>
      <c r="I1190" s="4" t="s">
        <v>69</v>
      </c>
      <c r="J1190" s="4" t="s">
        <v>27</v>
      </c>
      <c r="K1190" s="4" t="s">
        <v>28</v>
      </c>
      <c r="L1190" s="4" t="s">
        <v>28</v>
      </c>
      <c r="M1190" s="4" t="s">
        <v>34</v>
      </c>
      <c r="N1190" s="4" t="s">
        <v>28</v>
      </c>
    </row>
    <row r="1191" spans="1:14" ht="14.4" thickBot="1" x14ac:dyDescent="0.35">
      <c r="A1191" s="4" t="s">
        <v>19</v>
      </c>
      <c r="B1191" s="4" t="s">
        <v>782</v>
      </c>
      <c r="C1191" s="4" t="s">
        <v>783</v>
      </c>
      <c r="D1191" s="4" t="s">
        <v>784</v>
      </c>
      <c r="E1191" s="4" t="s">
        <v>254</v>
      </c>
      <c r="F1191" s="4" t="s">
        <v>3932</v>
      </c>
      <c r="G1191" s="4" t="s">
        <v>3933</v>
      </c>
      <c r="H1191" s="4" t="s">
        <v>26</v>
      </c>
      <c r="I1191" s="4" t="s">
        <v>33</v>
      </c>
      <c r="J1191" s="4" t="s">
        <v>27</v>
      </c>
      <c r="K1191" s="4" t="s">
        <v>28</v>
      </c>
      <c r="L1191" s="4" t="s">
        <v>28</v>
      </c>
      <c r="M1191" s="4" t="s">
        <v>34</v>
      </c>
      <c r="N1191" s="4" t="s">
        <v>28</v>
      </c>
    </row>
    <row r="1192" spans="1:14" ht="14.4" thickBot="1" x14ac:dyDescent="0.35">
      <c r="A1192" s="4" t="s">
        <v>19</v>
      </c>
      <c r="B1192" s="4" t="s">
        <v>782</v>
      </c>
      <c r="C1192" s="4" t="s">
        <v>783</v>
      </c>
      <c r="D1192" s="4" t="s">
        <v>784</v>
      </c>
      <c r="E1192" s="4" t="s">
        <v>254</v>
      </c>
      <c r="F1192" s="4" t="s">
        <v>3934</v>
      </c>
      <c r="G1192" s="4" t="s">
        <v>3935</v>
      </c>
      <c r="H1192" s="4" t="s">
        <v>26</v>
      </c>
      <c r="I1192" s="4" t="s">
        <v>69</v>
      </c>
      <c r="J1192" s="4" t="s">
        <v>27</v>
      </c>
      <c r="K1192" s="4" t="s">
        <v>28</v>
      </c>
      <c r="L1192" s="4" t="s">
        <v>28</v>
      </c>
      <c r="M1192" s="4" t="s">
        <v>34</v>
      </c>
      <c r="N1192" s="4" t="s">
        <v>28</v>
      </c>
    </row>
    <row r="1193" spans="1:14" ht="14.4" thickBot="1" x14ac:dyDescent="0.35">
      <c r="A1193" s="4" t="s">
        <v>19</v>
      </c>
      <c r="B1193" s="4" t="s">
        <v>782</v>
      </c>
      <c r="C1193" s="4" t="s">
        <v>783</v>
      </c>
      <c r="D1193" s="4" t="s">
        <v>784</v>
      </c>
      <c r="E1193" s="4" t="s">
        <v>254</v>
      </c>
      <c r="F1193" s="4" t="s">
        <v>3936</v>
      </c>
      <c r="G1193" s="4" t="s">
        <v>3937</v>
      </c>
      <c r="H1193" s="4" t="s">
        <v>135</v>
      </c>
      <c r="I1193" s="4" t="s">
        <v>69</v>
      </c>
      <c r="J1193" s="4" t="s">
        <v>27</v>
      </c>
      <c r="K1193" s="4" t="s">
        <v>28</v>
      </c>
      <c r="L1193" s="4" t="s">
        <v>28</v>
      </c>
      <c r="M1193" s="4" t="s">
        <v>34</v>
      </c>
      <c r="N1193" s="4" t="s">
        <v>28</v>
      </c>
    </row>
    <row r="1194" spans="1:14" ht="14.4" thickBot="1" x14ac:dyDescent="0.35">
      <c r="A1194" s="4" t="s">
        <v>19</v>
      </c>
      <c r="B1194" s="4" t="s">
        <v>782</v>
      </c>
      <c r="C1194" s="4" t="s">
        <v>783</v>
      </c>
      <c r="D1194" s="4" t="s">
        <v>784</v>
      </c>
      <c r="E1194" s="4" t="s">
        <v>254</v>
      </c>
      <c r="F1194" s="4" t="s">
        <v>3938</v>
      </c>
      <c r="G1194" s="4" t="s">
        <v>2945</v>
      </c>
      <c r="H1194" s="4" t="s">
        <v>26</v>
      </c>
      <c r="I1194" s="4" t="s">
        <v>33</v>
      </c>
      <c r="J1194" s="4" t="s">
        <v>27</v>
      </c>
      <c r="K1194" s="4" t="s">
        <v>28</v>
      </c>
      <c r="L1194" s="4" t="s">
        <v>28</v>
      </c>
      <c r="M1194" s="4" t="s">
        <v>34</v>
      </c>
      <c r="N1194" s="4" t="s">
        <v>28</v>
      </c>
    </row>
    <row r="1195" spans="1:14" ht="14.4" thickBot="1" x14ac:dyDescent="0.35">
      <c r="A1195" s="4" t="s">
        <v>19</v>
      </c>
      <c r="B1195" s="4" t="s">
        <v>782</v>
      </c>
      <c r="C1195" s="4" t="s">
        <v>783</v>
      </c>
      <c r="D1195" s="4" t="s">
        <v>784</v>
      </c>
      <c r="E1195" s="4" t="s">
        <v>254</v>
      </c>
      <c r="F1195" s="4" t="s">
        <v>3939</v>
      </c>
      <c r="G1195" s="4" t="s">
        <v>3940</v>
      </c>
      <c r="H1195" s="4" t="s">
        <v>69</v>
      </c>
      <c r="I1195" s="4" t="s">
        <v>94</v>
      </c>
      <c r="J1195" s="4" t="s">
        <v>28</v>
      </c>
      <c r="K1195" s="4" t="s">
        <v>27</v>
      </c>
      <c r="L1195" s="4" t="s">
        <v>28</v>
      </c>
      <c r="M1195" s="4" t="s">
        <v>34</v>
      </c>
      <c r="N1195" s="4" t="s">
        <v>28</v>
      </c>
    </row>
    <row r="1196" spans="1:14" ht="14.4" thickBot="1" x14ac:dyDescent="0.35">
      <c r="A1196" s="4" t="s">
        <v>19</v>
      </c>
      <c r="B1196" s="4" t="s">
        <v>782</v>
      </c>
      <c r="C1196" s="4" t="s">
        <v>783</v>
      </c>
      <c r="D1196" s="4" t="s">
        <v>784</v>
      </c>
      <c r="E1196" s="4" t="s">
        <v>254</v>
      </c>
      <c r="F1196" s="4" t="s">
        <v>3941</v>
      </c>
      <c r="G1196" s="4" t="s">
        <v>1309</v>
      </c>
      <c r="H1196" s="4" t="s">
        <v>26</v>
      </c>
      <c r="I1196" s="4" t="s">
        <v>61</v>
      </c>
      <c r="J1196" s="4" t="s">
        <v>27</v>
      </c>
      <c r="K1196" s="4" t="s">
        <v>28</v>
      </c>
      <c r="L1196" s="4" t="s">
        <v>28</v>
      </c>
      <c r="M1196" s="4" t="s">
        <v>34</v>
      </c>
      <c r="N1196" s="4" t="s">
        <v>28</v>
      </c>
    </row>
    <row r="1197" spans="1:14" ht="14.4" thickBot="1" x14ac:dyDescent="0.35">
      <c r="A1197" s="4" t="s">
        <v>19</v>
      </c>
      <c r="B1197" s="4" t="s">
        <v>782</v>
      </c>
      <c r="C1197" s="4" t="s">
        <v>783</v>
      </c>
      <c r="D1197" s="4" t="s">
        <v>784</v>
      </c>
      <c r="E1197" s="4" t="s">
        <v>254</v>
      </c>
      <c r="F1197" s="4" t="s">
        <v>3942</v>
      </c>
      <c r="G1197" s="4" t="s">
        <v>3943</v>
      </c>
      <c r="H1197" s="4" t="s">
        <v>135</v>
      </c>
      <c r="I1197" s="4" t="s">
        <v>94</v>
      </c>
      <c r="J1197" s="4" t="s">
        <v>27</v>
      </c>
      <c r="K1197" s="4" t="s">
        <v>28</v>
      </c>
      <c r="L1197" s="4" t="s">
        <v>28</v>
      </c>
      <c r="M1197" s="4" t="s">
        <v>34</v>
      </c>
      <c r="N1197" s="4" t="s">
        <v>27</v>
      </c>
    </row>
    <row r="1198" spans="1:14" ht="14.4" thickBot="1" x14ac:dyDescent="0.35">
      <c r="A1198" s="4" t="s">
        <v>19</v>
      </c>
      <c r="B1198" s="4" t="s">
        <v>782</v>
      </c>
      <c r="C1198" s="4" t="s">
        <v>783</v>
      </c>
      <c r="D1198" s="4" t="s">
        <v>784</v>
      </c>
      <c r="E1198" s="4" t="s">
        <v>254</v>
      </c>
      <c r="F1198" s="4" t="s">
        <v>3944</v>
      </c>
      <c r="G1198" s="4" t="s">
        <v>3945</v>
      </c>
      <c r="H1198" s="4" t="s">
        <v>26</v>
      </c>
      <c r="I1198" s="4" t="s">
        <v>69</v>
      </c>
      <c r="J1198" s="4" t="s">
        <v>27</v>
      </c>
      <c r="K1198" s="4" t="s">
        <v>28</v>
      </c>
      <c r="L1198" s="4" t="s">
        <v>28</v>
      </c>
      <c r="M1198" s="4" t="s">
        <v>34</v>
      </c>
      <c r="N1198" s="4" t="s">
        <v>28</v>
      </c>
    </row>
    <row r="1199" spans="1:14" ht="14.4" thickBot="1" x14ac:dyDescent="0.35">
      <c r="A1199" s="4" t="s">
        <v>19</v>
      </c>
      <c r="B1199" s="4" t="s">
        <v>782</v>
      </c>
      <c r="C1199" s="4" t="s">
        <v>783</v>
      </c>
      <c r="D1199" s="4" t="s">
        <v>784</v>
      </c>
      <c r="E1199" s="4" t="s">
        <v>254</v>
      </c>
      <c r="F1199" s="4" t="s">
        <v>3946</v>
      </c>
      <c r="G1199" s="4" t="s">
        <v>3947</v>
      </c>
      <c r="H1199" s="4" t="s">
        <v>26</v>
      </c>
      <c r="I1199" s="4" t="s">
        <v>94</v>
      </c>
      <c r="J1199" s="4" t="s">
        <v>27</v>
      </c>
      <c r="K1199" s="4" t="s">
        <v>28</v>
      </c>
      <c r="L1199" s="4" t="s">
        <v>28</v>
      </c>
      <c r="M1199" s="4" t="s">
        <v>34</v>
      </c>
      <c r="N1199" s="4" t="s">
        <v>27</v>
      </c>
    </row>
    <row r="1200" spans="1:14" ht="14.4" thickBot="1" x14ac:dyDescent="0.35">
      <c r="A1200" s="4" t="s">
        <v>19</v>
      </c>
      <c r="B1200" s="4" t="s">
        <v>782</v>
      </c>
      <c r="C1200" s="4" t="s">
        <v>783</v>
      </c>
      <c r="D1200" s="4" t="s">
        <v>784</v>
      </c>
      <c r="E1200" s="4" t="s">
        <v>254</v>
      </c>
      <c r="F1200" s="4" t="s">
        <v>3948</v>
      </c>
      <c r="G1200" s="4" t="s">
        <v>3949</v>
      </c>
      <c r="H1200" s="4" t="s">
        <v>26</v>
      </c>
      <c r="I1200" s="4" t="s">
        <v>69</v>
      </c>
      <c r="J1200" s="4" t="s">
        <v>27</v>
      </c>
      <c r="K1200" s="4" t="s">
        <v>28</v>
      </c>
      <c r="L1200" s="4" t="s">
        <v>28</v>
      </c>
      <c r="M1200" s="4" t="s">
        <v>34</v>
      </c>
      <c r="N1200" s="4" t="s">
        <v>28</v>
      </c>
    </row>
    <row r="1201" spans="1:14" ht="14.4" thickBot="1" x14ac:dyDescent="0.35">
      <c r="A1201" s="4" t="s">
        <v>19</v>
      </c>
      <c r="B1201" s="4" t="s">
        <v>782</v>
      </c>
      <c r="C1201" s="4" t="s">
        <v>783</v>
      </c>
      <c r="D1201" s="4" t="s">
        <v>784</v>
      </c>
      <c r="E1201" s="4" t="s">
        <v>254</v>
      </c>
      <c r="F1201" s="4" t="s">
        <v>3950</v>
      </c>
      <c r="G1201" s="4" t="s">
        <v>3951</v>
      </c>
      <c r="H1201" s="4" t="s">
        <v>32</v>
      </c>
      <c r="I1201" s="4" t="s">
        <v>33</v>
      </c>
      <c r="J1201" s="4" t="s">
        <v>27</v>
      </c>
      <c r="K1201" s="4" t="s">
        <v>28</v>
      </c>
      <c r="L1201" s="4" t="s">
        <v>28</v>
      </c>
      <c r="M1201" s="4" t="s">
        <v>34</v>
      </c>
      <c r="N1201" s="4" t="s">
        <v>28</v>
      </c>
    </row>
    <row r="1202" spans="1:14" ht="14.4" thickBot="1" x14ac:dyDescent="0.35">
      <c r="A1202" s="4" t="s">
        <v>19</v>
      </c>
      <c r="B1202" s="4" t="s">
        <v>782</v>
      </c>
      <c r="C1202" s="4" t="s">
        <v>783</v>
      </c>
      <c r="D1202" s="4" t="s">
        <v>784</v>
      </c>
      <c r="E1202" s="4" t="s">
        <v>254</v>
      </c>
      <c r="F1202" s="4" t="s">
        <v>3952</v>
      </c>
      <c r="G1202" s="4" t="s">
        <v>3953</v>
      </c>
      <c r="H1202" s="4" t="s">
        <v>26</v>
      </c>
      <c r="I1202" s="4" t="s">
        <v>94</v>
      </c>
      <c r="J1202" s="4" t="s">
        <v>27</v>
      </c>
      <c r="K1202" s="4" t="s">
        <v>28</v>
      </c>
      <c r="L1202" s="4" t="s">
        <v>28</v>
      </c>
      <c r="M1202" s="4" t="s">
        <v>34</v>
      </c>
      <c r="N1202" s="4" t="s">
        <v>27</v>
      </c>
    </row>
    <row r="1203" spans="1:14" ht="14.4" thickBot="1" x14ac:dyDescent="0.35">
      <c r="A1203" s="4" t="s">
        <v>19</v>
      </c>
      <c r="B1203" s="4" t="s">
        <v>782</v>
      </c>
      <c r="C1203" s="4" t="s">
        <v>783</v>
      </c>
      <c r="D1203" s="4" t="s">
        <v>784</v>
      </c>
      <c r="E1203" s="4" t="s">
        <v>254</v>
      </c>
      <c r="F1203" s="4" t="s">
        <v>3954</v>
      </c>
      <c r="G1203" s="4" t="s">
        <v>3955</v>
      </c>
      <c r="H1203" s="4" t="s">
        <v>26</v>
      </c>
      <c r="I1203" s="4" t="s">
        <v>69</v>
      </c>
      <c r="J1203" s="4" t="s">
        <v>27</v>
      </c>
      <c r="K1203" s="4" t="s">
        <v>28</v>
      </c>
      <c r="L1203" s="4" t="s">
        <v>28</v>
      </c>
      <c r="M1203" s="4" t="s">
        <v>34</v>
      </c>
      <c r="N1203" s="4" t="s">
        <v>28</v>
      </c>
    </row>
    <row r="1204" spans="1:14" ht="14.4" thickBot="1" x14ac:dyDescent="0.35">
      <c r="A1204" s="4" t="s">
        <v>19</v>
      </c>
      <c r="B1204" s="4" t="s">
        <v>782</v>
      </c>
      <c r="C1204" s="4" t="s">
        <v>783</v>
      </c>
      <c r="D1204" s="4" t="s">
        <v>784</v>
      </c>
      <c r="E1204" s="4" t="s">
        <v>254</v>
      </c>
      <c r="F1204" s="4" t="s">
        <v>4059</v>
      </c>
      <c r="G1204" s="4" t="s">
        <v>4060</v>
      </c>
      <c r="H1204" s="4" t="s">
        <v>26</v>
      </c>
      <c r="I1204" s="4" t="s">
        <v>122</v>
      </c>
      <c r="J1204" s="4" t="s">
        <v>27</v>
      </c>
      <c r="K1204" s="4" t="s">
        <v>28</v>
      </c>
      <c r="L1204" s="4" t="s">
        <v>28</v>
      </c>
      <c r="M1204" s="4" t="s">
        <v>29</v>
      </c>
      <c r="N1204" s="4" t="s">
        <v>28</v>
      </c>
    </row>
    <row r="1205" spans="1:14" ht="14.4" thickBot="1" x14ac:dyDescent="0.35">
      <c r="A1205" s="4" t="s">
        <v>19</v>
      </c>
      <c r="B1205" s="4" t="s">
        <v>782</v>
      </c>
      <c r="C1205" s="4" t="s">
        <v>783</v>
      </c>
      <c r="D1205" s="4" t="s">
        <v>784</v>
      </c>
      <c r="E1205" s="4" t="s">
        <v>254</v>
      </c>
      <c r="F1205" s="4" t="s">
        <v>4061</v>
      </c>
      <c r="G1205" s="4" t="s">
        <v>1527</v>
      </c>
      <c r="H1205" s="4" t="s">
        <v>26</v>
      </c>
      <c r="I1205" s="4" t="s">
        <v>94</v>
      </c>
      <c r="J1205" s="5"/>
      <c r="K1205" s="5"/>
      <c r="L1205" s="5"/>
      <c r="M1205" s="4" t="s">
        <v>29</v>
      </c>
      <c r="N1205" s="5"/>
    </row>
    <row r="1206" spans="1:14" ht="14.4" thickBot="1" x14ac:dyDescent="0.35">
      <c r="A1206" s="4" t="s">
        <v>19</v>
      </c>
      <c r="B1206" s="4" t="s">
        <v>782</v>
      </c>
      <c r="C1206" s="4" t="s">
        <v>783</v>
      </c>
      <c r="D1206" s="4" t="s">
        <v>784</v>
      </c>
      <c r="E1206" s="4" t="s">
        <v>254</v>
      </c>
      <c r="F1206" s="4" t="s">
        <v>4640</v>
      </c>
      <c r="G1206" s="4" t="s">
        <v>4641</v>
      </c>
      <c r="H1206" s="4" t="s">
        <v>26</v>
      </c>
      <c r="I1206" s="4" t="s">
        <v>69</v>
      </c>
      <c r="J1206" s="4" t="s">
        <v>27</v>
      </c>
      <c r="K1206" s="4" t="s">
        <v>28</v>
      </c>
      <c r="L1206" s="4" t="s">
        <v>28</v>
      </c>
      <c r="M1206" s="4" t="s">
        <v>34</v>
      </c>
      <c r="N1206" s="4" t="s">
        <v>28</v>
      </c>
    </row>
    <row r="1207" spans="1:14" ht="14.4" thickBot="1" x14ac:dyDescent="0.35">
      <c r="A1207" s="4" t="s">
        <v>19</v>
      </c>
      <c r="B1207" s="4" t="s">
        <v>782</v>
      </c>
      <c r="C1207" s="4" t="s">
        <v>783</v>
      </c>
      <c r="D1207" s="4" t="s">
        <v>784</v>
      </c>
      <c r="E1207" s="4" t="s">
        <v>254</v>
      </c>
      <c r="F1207" s="4" t="s">
        <v>4642</v>
      </c>
      <c r="G1207" s="4" t="s">
        <v>4643</v>
      </c>
      <c r="H1207" s="4" t="s">
        <v>135</v>
      </c>
      <c r="I1207" s="4" t="s">
        <v>38</v>
      </c>
      <c r="J1207" s="4" t="s">
        <v>28</v>
      </c>
      <c r="K1207" s="4" t="s">
        <v>28</v>
      </c>
      <c r="L1207" s="4" t="s">
        <v>27</v>
      </c>
      <c r="M1207" s="4" t="s">
        <v>34</v>
      </c>
      <c r="N1207" s="4" t="s">
        <v>27</v>
      </c>
    </row>
    <row r="1208" spans="1:14" ht="14.4" thickBot="1" x14ac:dyDescent="0.35">
      <c r="A1208" s="4" t="s">
        <v>19</v>
      </c>
      <c r="B1208" s="4" t="s">
        <v>782</v>
      </c>
      <c r="C1208" s="4" t="s">
        <v>783</v>
      </c>
      <c r="D1208" s="4" t="s">
        <v>784</v>
      </c>
      <c r="E1208" s="4" t="s">
        <v>254</v>
      </c>
      <c r="F1208" s="4" t="s">
        <v>4644</v>
      </c>
      <c r="G1208" s="4" t="s">
        <v>4645</v>
      </c>
      <c r="H1208" s="4" t="s">
        <v>37</v>
      </c>
      <c r="I1208" s="4" t="s">
        <v>38</v>
      </c>
      <c r="J1208" s="4" t="s">
        <v>28</v>
      </c>
      <c r="K1208" s="4" t="s">
        <v>28</v>
      </c>
      <c r="L1208" s="4" t="s">
        <v>27</v>
      </c>
      <c r="M1208" s="4" t="s">
        <v>34</v>
      </c>
      <c r="N1208" s="4" t="s">
        <v>27</v>
      </c>
    </row>
    <row r="1209" spans="1:14" ht="14.4" thickBot="1" x14ac:dyDescent="0.35">
      <c r="A1209" s="4" t="s">
        <v>19</v>
      </c>
      <c r="B1209" s="4" t="s">
        <v>782</v>
      </c>
      <c r="C1209" s="4" t="s">
        <v>783</v>
      </c>
      <c r="D1209" s="4" t="s">
        <v>784</v>
      </c>
      <c r="E1209" s="4" t="s">
        <v>254</v>
      </c>
      <c r="F1209" s="4" t="s">
        <v>4646</v>
      </c>
      <c r="G1209" s="4" t="s">
        <v>4647</v>
      </c>
      <c r="H1209" s="4" t="s">
        <v>26</v>
      </c>
      <c r="I1209" s="4" t="s">
        <v>33</v>
      </c>
      <c r="J1209" s="4" t="s">
        <v>27</v>
      </c>
      <c r="K1209" s="4" t="s">
        <v>28</v>
      </c>
      <c r="L1209" s="4" t="s">
        <v>28</v>
      </c>
      <c r="M1209" s="4" t="s">
        <v>34</v>
      </c>
      <c r="N1209" s="4" t="s">
        <v>28</v>
      </c>
    </row>
    <row r="1210" spans="1:14" ht="14.4" thickBot="1" x14ac:dyDescent="0.35">
      <c r="A1210" s="4" t="s">
        <v>19</v>
      </c>
      <c r="B1210" s="4" t="s">
        <v>782</v>
      </c>
      <c r="C1210" s="4" t="s">
        <v>783</v>
      </c>
      <c r="D1210" s="4" t="s">
        <v>784</v>
      </c>
      <c r="E1210" s="4" t="s">
        <v>254</v>
      </c>
      <c r="F1210" s="4" t="s">
        <v>4648</v>
      </c>
      <c r="G1210" s="4" t="s">
        <v>4649</v>
      </c>
      <c r="H1210" s="4" t="s">
        <v>37</v>
      </c>
      <c r="I1210" s="4" t="s">
        <v>38</v>
      </c>
      <c r="J1210" s="4" t="s">
        <v>28</v>
      </c>
      <c r="K1210" s="4" t="s">
        <v>28</v>
      </c>
      <c r="L1210" s="4" t="s">
        <v>27</v>
      </c>
      <c r="M1210" s="4" t="s">
        <v>34</v>
      </c>
      <c r="N1210" s="4" t="s">
        <v>28</v>
      </c>
    </row>
    <row r="1211" spans="1:14" ht="14.4" thickBot="1" x14ac:dyDescent="0.35">
      <c r="A1211" s="4" t="s">
        <v>19</v>
      </c>
      <c r="B1211" s="4" t="s">
        <v>782</v>
      </c>
      <c r="C1211" s="4" t="s">
        <v>783</v>
      </c>
      <c r="D1211" s="4" t="s">
        <v>784</v>
      </c>
      <c r="E1211" s="4" t="s">
        <v>254</v>
      </c>
      <c r="F1211" s="4" t="s">
        <v>4650</v>
      </c>
      <c r="G1211" s="4" t="s">
        <v>4155</v>
      </c>
      <c r="H1211" s="4" t="s">
        <v>26</v>
      </c>
      <c r="I1211" s="4" t="s">
        <v>69</v>
      </c>
      <c r="J1211" s="4" t="s">
        <v>27</v>
      </c>
      <c r="K1211" s="4" t="s">
        <v>28</v>
      </c>
      <c r="L1211" s="4" t="s">
        <v>28</v>
      </c>
      <c r="M1211" s="4" t="s">
        <v>34</v>
      </c>
      <c r="N1211" s="4" t="s">
        <v>28</v>
      </c>
    </row>
    <row r="1212" spans="1:14" ht="14.4" thickBot="1" x14ac:dyDescent="0.35">
      <c r="A1212" s="4" t="s">
        <v>19</v>
      </c>
      <c r="B1212" s="4" t="s">
        <v>782</v>
      </c>
      <c r="C1212" s="4" t="s">
        <v>783</v>
      </c>
      <c r="D1212" s="4" t="s">
        <v>784</v>
      </c>
      <c r="E1212" s="4" t="s">
        <v>254</v>
      </c>
      <c r="F1212" s="4" t="s">
        <v>4651</v>
      </c>
      <c r="G1212" s="4" t="s">
        <v>4652</v>
      </c>
      <c r="H1212" s="4" t="s">
        <v>26</v>
      </c>
      <c r="I1212" s="4" t="s">
        <v>69</v>
      </c>
      <c r="J1212" s="4" t="s">
        <v>27</v>
      </c>
      <c r="K1212" s="4" t="s">
        <v>28</v>
      </c>
      <c r="L1212" s="4" t="s">
        <v>28</v>
      </c>
      <c r="M1212" s="4" t="s">
        <v>34</v>
      </c>
      <c r="N1212" s="4" t="s">
        <v>28</v>
      </c>
    </row>
    <row r="1213" spans="1:14" ht="14.4" thickBot="1" x14ac:dyDescent="0.35">
      <c r="A1213" s="4" t="s">
        <v>19</v>
      </c>
      <c r="B1213" s="4" t="s">
        <v>782</v>
      </c>
      <c r="C1213" s="4" t="s">
        <v>783</v>
      </c>
      <c r="D1213" s="4" t="s">
        <v>784</v>
      </c>
      <c r="E1213" s="4" t="s">
        <v>254</v>
      </c>
      <c r="F1213" s="4" t="s">
        <v>4653</v>
      </c>
      <c r="G1213" s="4" t="s">
        <v>4654</v>
      </c>
      <c r="H1213" s="4" t="s">
        <v>122</v>
      </c>
      <c r="I1213" s="4" t="s">
        <v>94</v>
      </c>
      <c r="J1213" s="4" t="s">
        <v>28</v>
      </c>
      <c r="K1213" s="4" t="s">
        <v>27</v>
      </c>
      <c r="L1213" s="4" t="s">
        <v>28</v>
      </c>
      <c r="M1213" s="4" t="s">
        <v>34</v>
      </c>
      <c r="N1213" s="4" t="s">
        <v>28</v>
      </c>
    </row>
    <row r="1214" spans="1:14" ht="14.4" thickBot="1" x14ac:dyDescent="0.35">
      <c r="A1214" s="4" t="s">
        <v>19</v>
      </c>
      <c r="B1214" s="4" t="s">
        <v>782</v>
      </c>
      <c r="C1214" s="4" t="s">
        <v>783</v>
      </c>
      <c r="D1214" s="4" t="s">
        <v>784</v>
      </c>
      <c r="E1214" s="4" t="s">
        <v>254</v>
      </c>
      <c r="F1214" s="4" t="s">
        <v>4655</v>
      </c>
      <c r="G1214" s="4" t="s">
        <v>4656</v>
      </c>
      <c r="H1214" s="4" t="s">
        <v>26</v>
      </c>
      <c r="I1214" s="4" t="s">
        <v>69</v>
      </c>
      <c r="J1214" s="4" t="s">
        <v>27</v>
      </c>
      <c r="K1214" s="4" t="s">
        <v>28</v>
      </c>
      <c r="L1214" s="4" t="s">
        <v>28</v>
      </c>
      <c r="M1214" s="4" t="s">
        <v>34</v>
      </c>
      <c r="N1214" s="4" t="s">
        <v>28</v>
      </c>
    </row>
    <row r="1215" spans="1:14" ht="14.4" thickBot="1" x14ac:dyDescent="0.35">
      <c r="A1215" s="4" t="s">
        <v>19</v>
      </c>
      <c r="B1215" s="4" t="s">
        <v>782</v>
      </c>
      <c r="C1215" s="4" t="s">
        <v>783</v>
      </c>
      <c r="D1215" s="4" t="s">
        <v>784</v>
      </c>
      <c r="E1215" s="4" t="s">
        <v>254</v>
      </c>
      <c r="F1215" s="4" t="s">
        <v>4770</v>
      </c>
      <c r="G1215" s="4" t="s">
        <v>4771</v>
      </c>
      <c r="H1215" s="4" t="s">
        <v>37</v>
      </c>
      <c r="I1215" s="4" t="s">
        <v>38</v>
      </c>
      <c r="J1215" s="4" t="s">
        <v>28</v>
      </c>
      <c r="K1215" s="4" t="s">
        <v>28</v>
      </c>
      <c r="L1215" s="4" t="s">
        <v>27</v>
      </c>
      <c r="M1215" s="4" t="s">
        <v>29</v>
      </c>
      <c r="N1215" s="4" t="s">
        <v>28</v>
      </c>
    </row>
    <row r="1216" spans="1:14" ht="14.4" thickBot="1" x14ac:dyDescent="0.35">
      <c r="A1216" s="4" t="s">
        <v>19</v>
      </c>
      <c r="B1216" s="4" t="s">
        <v>782</v>
      </c>
      <c r="C1216" s="4" t="s">
        <v>783</v>
      </c>
      <c r="D1216" s="4" t="s">
        <v>784</v>
      </c>
      <c r="E1216" s="4" t="s">
        <v>254</v>
      </c>
      <c r="F1216" s="4" t="s">
        <v>5331</v>
      </c>
      <c r="G1216" s="4" t="s">
        <v>5332</v>
      </c>
      <c r="H1216" s="4" t="s">
        <v>26</v>
      </c>
      <c r="I1216" s="4" t="s">
        <v>33</v>
      </c>
      <c r="J1216" s="4" t="s">
        <v>27</v>
      </c>
      <c r="K1216" s="4" t="s">
        <v>28</v>
      </c>
      <c r="L1216" s="4" t="s">
        <v>28</v>
      </c>
      <c r="M1216" s="4" t="s">
        <v>34</v>
      </c>
      <c r="N1216" s="4" t="s">
        <v>28</v>
      </c>
    </row>
    <row r="1217" spans="1:14" ht="14.4" thickBot="1" x14ac:dyDescent="0.35">
      <c r="A1217" s="4" t="s">
        <v>19</v>
      </c>
      <c r="B1217" s="4" t="s">
        <v>782</v>
      </c>
      <c r="C1217" s="4" t="s">
        <v>783</v>
      </c>
      <c r="D1217" s="4" t="s">
        <v>784</v>
      </c>
      <c r="E1217" s="4" t="s">
        <v>254</v>
      </c>
      <c r="F1217" s="4" t="s">
        <v>5333</v>
      </c>
      <c r="G1217" s="4" t="s">
        <v>5334</v>
      </c>
      <c r="H1217" s="4" t="s">
        <v>69</v>
      </c>
      <c r="I1217" s="4" t="s">
        <v>94</v>
      </c>
      <c r="J1217" s="4" t="s">
        <v>28</v>
      </c>
      <c r="K1217" s="4" t="s">
        <v>27</v>
      </c>
      <c r="L1217" s="4" t="s">
        <v>28</v>
      </c>
      <c r="M1217" s="4" t="s">
        <v>34</v>
      </c>
      <c r="N1217" s="4" t="s">
        <v>28</v>
      </c>
    </row>
    <row r="1218" spans="1:14" ht="14.4" thickBot="1" x14ac:dyDescent="0.35">
      <c r="A1218" s="4" t="s">
        <v>19</v>
      </c>
      <c r="B1218" s="4" t="s">
        <v>782</v>
      </c>
      <c r="C1218" s="4" t="s">
        <v>783</v>
      </c>
      <c r="D1218" s="4" t="s">
        <v>784</v>
      </c>
      <c r="E1218" s="4" t="s">
        <v>254</v>
      </c>
      <c r="F1218" s="4" t="s">
        <v>5335</v>
      </c>
      <c r="G1218" s="4" t="s">
        <v>5336</v>
      </c>
      <c r="H1218" s="4" t="s">
        <v>69</v>
      </c>
      <c r="I1218" s="4" t="s">
        <v>94</v>
      </c>
      <c r="J1218" s="4" t="s">
        <v>28</v>
      </c>
      <c r="K1218" s="4" t="s">
        <v>27</v>
      </c>
      <c r="L1218" s="4" t="s">
        <v>28</v>
      </c>
      <c r="M1218" s="4" t="s">
        <v>34</v>
      </c>
      <c r="N1218" s="4" t="s">
        <v>28</v>
      </c>
    </row>
    <row r="1219" spans="1:14" ht="14.4" thickBot="1" x14ac:dyDescent="0.35">
      <c r="A1219" s="4" t="s">
        <v>19</v>
      </c>
      <c r="B1219" s="4" t="s">
        <v>782</v>
      </c>
      <c r="C1219" s="4" t="s">
        <v>783</v>
      </c>
      <c r="D1219" s="4" t="s">
        <v>784</v>
      </c>
      <c r="E1219" s="4" t="s">
        <v>254</v>
      </c>
      <c r="F1219" s="4" t="s">
        <v>5337</v>
      </c>
      <c r="G1219" s="4" t="s">
        <v>5338</v>
      </c>
      <c r="H1219" s="4" t="s">
        <v>135</v>
      </c>
      <c r="I1219" s="4" t="s">
        <v>33</v>
      </c>
      <c r="J1219" s="4" t="s">
        <v>27</v>
      </c>
      <c r="K1219" s="4" t="s">
        <v>28</v>
      </c>
      <c r="L1219" s="4" t="s">
        <v>28</v>
      </c>
      <c r="M1219" s="4" t="s">
        <v>34</v>
      </c>
      <c r="N1219" s="4" t="s">
        <v>28</v>
      </c>
    </row>
    <row r="1220" spans="1:14" ht="14.4" thickBot="1" x14ac:dyDescent="0.35">
      <c r="A1220" s="4" t="s">
        <v>19</v>
      </c>
      <c r="B1220" s="4" t="s">
        <v>782</v>
      </c>
      <c r="C1220" s="4" t="s">
        <v>783</v>
      </c>
      <c r="D1220" s="4" t="s">
        <v>784</v>
      </c>
      <c r="E1220" s="4" t="s">
        <v>254</v>
      </c>
      <c r="F1220" s="4" t="s">
        <v>5339</v>
      </c>
      <c r="G1220" s="4" t="s">
        <v>5340</v>
      </c>
      <c r="H1220" s="4" t="s">
        <v>26</v>
      </c>
      <c r="I1220" s="4" t="s">
        <v>69</v>
      </c>
      <c r="J1220" s="4" t="s">
        <v>27</v>
      </c>
      <c r="K1220" s="4" t="s">
        <v>28</v>
      </c>
      <c r="L1220" s="4" t="s">
        <v>28</v>
      </c>
      <c r="M1220" s="4" t="s">
        <v>34</v>
      </c>
      <c r="N1220" s="4" t="s">
        <v>28</v>
      </c>
    </row>
    <row r="1221" spans="1:14" ht="14.4" thickBot="1" x14ac:dyDescent="0.35">
      <c r="A1221" s="4" t="s">
        <v>19</v>
      </c>
      <c r="B1221" s="4" t="s">
        <v>782</v>
      </c>
      <c r="C1221" s="4" t="s">
        <v>783</v>
      </c>
      <c r="D1221" s="4" t="s">
        <v>784</v>
      </c>
      <c r="E1221" s="4" t="s">
        <v>254</v>
      </c>
      <c r="F1221" s="4" t="s">
        <v>5341</v>
      </c>
      <c r="G1221" s="4" t="s">
        <v>5342</v>
      </c>
      <c r="H1221" s="4" t="s">
        <v>26</v>
      </c>
      <c r="I1221" s="4" t="s">
        <v>69</v>
      </c>
      <c r="J1221" s="4" t="s">
        <v>27</v>
      </c>
      <c r="K1221" s="4" t="s">
        <v>28</v>
      </c>
      <c r="L1221" s="4" t="s">
        <v>28</v>
      </c>
      <c r="M1221" s="4" t="s">
        <v>34</v>
      </c>
      <c r="N1221" s="4" t="s">
        <v>28</v>
      </c>
    </row>
    <row r="1222" spans="1:14" ht="14.4" thickBot="1" x14ac:dyDescent="0.35">
      <c r="A1222" s="4" t="s">
        <v>19</v>
      </c>
      <c r="B1222" s="4" t="s">
        <v>782</v>
      </c>
      <c r="C1222" s="4" t="s">
        <v>783</v>
      </c>
      <c r="D1222" s="4" t="s">
        <v>784</v>
      </c>
      <c r="E1222" s="4" t="s">
        <v>254</v>
      </c>
      <c r="F1222" s="4" t="s">
        <v>5343</v>
      </c>
      <c r="G1222" s="4" t="s">
        <v>5034</v>
      </c>
      <c r="H1222" s="4" t="s">
        <v>26</v>
      </c>
      <c r="I1222" s="4" t="s">
        <v>69</v>
      </c>
      <c r="J1222" s="4" t="s">
        <v>27</v>
      </c>
      <c r="K1222" s="4" t="s">
        <v>28</v>
      </c>
      <c r="L1222" s="4" t="s">
        <v>28</v>
      </c>
      <c r="M1222" s="4" t="s">
        <v>34</v>
      </c>
      <c r="N1222" s="4" t="s">
        <v>28</v>
      </c>
    </row>
    <row r="1223" spans="1:14" ht="14.4" thickBot="1" x14ac:dyDescent="0.35">
      <c r="A1223" s="4" t="s">
        <v>19</v>
      </c>
      <c r="B1223" s="4" t="s">
        <v>782</v>
      </c>
      <c r="C1223" s="4" t="s">
        <v>783</v>
      </c>
      <c r="D1223" s="4" t="s">
        <v>784</v>
      </c>
      <c r="E1223" s="4" t="s">
        <v>254</v>
      </c>
      <c r="F1223" s="4" t="s">
        <v>5344</v>
      </c>
      <c r="G1223" s="4" t="s">
        <v>5345</v>
      </c>
      <c r="H1223" s="4" t="s">
        <v>26</v>
      </c>
      <c r="I1223" s="4" t="s">
        <v>69</v>
      </c>
      <c r="J1223" s="4" t="s">
        <v>27</v>
      </c>
      <c r="K1223" s="4" t="s">
        <v>28</v>
      </c>
      <c r="L1223" s="4" t="s">
        <v>28</v>
      </c>
      <c r="M1223" s="4" t="s">
        <v>34</v>
      </c>
      <c r="N1223" s="4" t="s">
        <v>28</v>
      </c>
    </row>
    <row r="1224" spans="1:14" ht="14.4" thickBot="1" x14ac:dyDescent="0.35">
      <c r="A1224" s="4" t="s">
        <v>19</v>
      </c>
      <c r="B1224" s="4" t="s">
        <v>782</v>
      </c>
      <c r="C1224" s="4" t="s">
        <v>783</v>
      </c>
      <c r="D1224" s="4" t="s">
        <v>784</v>
      </c>
      <c r="E1224" s="4" t="s">
        <v>254</v>
      </c>
      <c r="F1224" s="4" t="s">
        <v>5346</v>
      </c>
      <c r="G1224" s="4" t="s">
        <v>5347</v>
      </c>
      <c r="H1224" s="4" t="s">
        <v>26</v>
      </c>
      <c r="I1224" s="4" t="s">
        <v>69</v>
      </c>
      <c r="J1224" s="4" t="s">
        <v>27</v>
      </c>
      <c r="K1224" s="4" t="s">
        <v>28</v>
      </c>
      <c r="L1224" s="4" t="s">
        <v>28</v>
      </c>
      <c r="M1224" s="4" t="s">
        <v>34</v>
      </c>
      <c r="N1224" s="4" t="s">
        <v>28</v>
      </c>
    </row>
    <row r="1225" spans="1:14" ht="14.4" thickBot="1" x14ac:dyDescent="0.35">
      <c r="A1225" s="4" t="s">
        <v>19</v>
      </c>
      <c r="B1225" s="4" t="s">
        <v>782</v>
      </c>
      <c r="C1225" s="4" t="s">
        <v>783</v>
      </c>
      <c r="D1225" s="4" t="s">
        <v>784</v>
      </c>
      <c r="E1225" s="4" t="s">
        <v>254</v>
      </c>
      <c r="F1225" s="4" t="s">
        <v>5348</v>
      </c>
      <c r="G1225" s="4" t="s">
        <v>5349</v>
      </c>
      <c r="H1225" s="4" t="s">
        <v>135</v>
      </c>
      <c r="I1225" s="4" t="s">
        <v>69</v>
      </c>
      <c r="J1225" s="4" t="s">
        <v>27</v>
      </c>
      <c r="K1225" s="4" t="s">
        <v>28</v>
      </c>
      <c r="L1225" s="4" t="s">
        <v>28</v>
      </c>
      <c r="M1225" s="4" t="s">
        <v>34</v>
      </c>
      <c r="N1225" s="4" t="s">
        <v>28</v>
      </c>
    </row>
    <row r="1226" spans="1:14" ht="14.4" thickBot="1" x14ac:dyDescent="0.35">
      <c r="A1226" s="4" t="s">
        <v>19</v>
      </c>
      <c r="B1226" s="4" t="s">
        <v>782</v>
      </c>
      <c r="C1226" s="4" t="s">
        <v>783</v>
      </c>
      <c r="D1226" s="4" t="s">
        <v>784</v>
      </c>
      <c r="E1226" s="4" t="s">
        <v>254</v>
      </c>
      <c r="F1226" s="4" t="s">
        <v>5350</v>
      </c>
      <c r="G1226" s="4" t="s">
        <v>2297</v>
      </c>
      <c r="H1226" s="4" t="s">
        <v>26</v>
      </c>
      <c r="I1226" s="4" t="s">
        <v>69</v>
      </c>
      <c r="J1226" s="4" t="s">
        <v>27</v>
      </c>
      <c r="K1226" s="4" t="s">
        <v>28</v>
      </c>
      <c r="L1226" s="4" t="s">
        <v>28</v>
      </c>
      <c r="M1226" s="4" t="s">
        <v>34</v>
      </c>
      <c r="N1226" s="4" t="s">
        <v>28</v>
      </c>
    </row>
    <row r="1227" spans="1:14" ht="14.4" thickBot="1" x14ac:dyDescent="0.35">
      <c r="A1227" s="4" t="s">
        <v>19</v>
      </c>
      <c r="B1227" s="4" t="s">
        <v>782</v>
      </c>
      <c r="C1227" s="4" t="s">
        <v>783</v>
      </c>
      <c r="D1227" s="4" t="s">
        <v>784</v>
      </c>
      <c r="E1227" s="4" t="s">
        <v>254</v>
      </c>
      <c r="F1227" s="4" t="s">
        <v>5351</v>
      </c>
      <c r="G1227" s="4" t="s">
        <v>5352</v>
      </c>
      <c r="H1227" s="4" t="s">
        <v>135</v>
      </c>
      <c r="I1227" s="4" t="s">
        <v>69</v>
      </c>
      <c r="J1227" s="4" t="s">
        <v>27</v>
      </c>
      <c r="K1227" s="4" t="s">
        <v>28</v>
      </c>
      <c r="L1227" s="4" t="s">
        <v>28</v>
      </c>
      <c r="M1227" s="4" t="s">
        <v>34</v>
      </c>
      <c r="N1227" s="4" t="s">
        <v>28</v>
      </c>
    </row>
    <row r="1228" spans="1:14" ht="14.4" thickBot="1" x14ac:dyDescent="0.35">
      <c r="A1228" s="4" t="s">
        <v>19</v>
      </c>
      <c r="B1228" s="4" t="s">
        <v>782</v>
      </c>
      <c r="C1228" s="4" t="s">
        <v>783</v>
      </c>
      <c r="D1228" s="4" t="s">
        <v>784</v>
      </c>
      <c r="E1228" s="4" t="s">
        <v>254</v>
      </c>
      <c r="F1228" s="4" t="s">
        <v>5353</v>
      </c>
      <c r="G1228" s="4" t="s">
        <v>5354</v>
      </c>
      <c r="H1228" s="4" t="s">
        <v>26</v>
      </c>
      <c r="I1228" s="4" t="s">
        <v>69</v>
      </c>
      <c r="J1228" s="4" t="s">
        <v>27</v>
      </c>
      <c r="K1228" s="4" t="s">
        <v>28</v>
      </c>
      <c r="L1228" s="4" t="s">
        <v>28</v>
      </c>
      <c r="M1228" s="4" t="s">
        <v>34</v>
      </c>
      <c r="N1228" s="4" t="s">
        <v>28</v>
      </c>
    </row>
    <row r="1229" spans="1:14" ht="14.4" thickBot="1" x14ac:dyDescent="0.35">
      <c r="A1229" s="4" t="s">
        <v>19</v>
      </c>
      <c r="B1229" s="4" t="s">
        <v>782</v>
      </c>
      <c r="C1229" s="4" t="s">
        <v>783</v>
      </c>
      <c r="D1229" s="4" t="s">
        <v>784</v>
      </c>
      <c r="E1229" s="4" t="s">
        <v>254</v>
      </c>
      <c r="F1229" s="4" t="s">
        <v>5355</v>
      </c>
      <c r="G1229" s="4" t="s">
        <v>5356</v>
      </c>
      <c r="H1229" s="4" t="s">
        <v>26</v>
      </c>
      <c r="I1229" s="4" t="s">
        <v>61</v>
      </c>
      <c r="J1229" s="4" t="s">
        <v>27</v>
      </c>
      <c r="K1229" s="4" t="s">
        <v>28</v>
      </c>
      <c r="L1229" s="4" t="s">
        <v>28</v>
      </c>
      <c r="M1229" s="4" t="s">
        <v>34</v>
      </c>
      <c r="N1229" s="4" t="s">
        <v>28</v>
      </c>
    </row>
    <row r="1230" spans="1:14" ht="14.4" thickBot="1" x14ac:dyDescent="0.35">
      <c r="A1230" s="4" t="s">
        <v>19</v>
      </c>
      <c r="B1230" s="4" t="s">
        <v>782</v>
      </c>
      <c r="C1230" s="4" t="s">
        <v>783</v>
      </c>
      <c r="D1230" s="4" t="s">
        <v>784</v>
      </c>
      <c r="E1230" s="4" t="s">
        <v>254</v>
      </c>
      <c r="F1230" s="4" t="s">
        <v>5357</v>
      </c>
      <c r="G1230" s="4" t="s">
        <v>5358</v>
      </c>
      <c r="H1230" s="4" t="s">
        <v>26</v>
      </c>
      <c r="I1230" s="4" t="s">
        <v>69</v>
      </c>
      <c r="J1230" s="4" t="s">
        <v>27</v>
      </c>
      <c r="K1230" s="4" t="s">
        <v>28</v>
      </c>
      <c r="L1230" s="4" t="s">
        <v>28</v>
      </c>
      <c r="M1230" s="4" t="s">
        <v>34</v>
      </c>
      <c r="N1230" s="4" t="s">
        <v>28</v>
      </c>
    </row>
    <row r="1231" spans="1:14" ht="14.4" thickBot="1" x14ac:dyDescent="0.35">
      <c r="A1231" s="4" t="s">
        <v>19</v>
      </c>
      <c r="B1231" s="4" t="s">
        <v>782</v>
      </c>
      <c r="C1231" s="4" t="s">
        <v>783</v>
      </c>
      <c r="D1231" s="4" t="s">
        <v>784</v>
      </c>
      <c r="E1231" s="4" t="s">
        <v>254</v>
      </c>
      <c r="F1231" s="4" t="s">
        <v>5462</v>
      </c>
      <c r="G1231" s="4" t="s">
        <v>5463</v>
      </c>
      <c r="H1231" s="4" t="s">
        <v>26</v>
      </c>
      <c r="I1231" s="4" t="s">
        <v>61</v>
      </c>
      <c r="J1231" s="5"/>
      <c r="K1231" s="5"/>
      <c r="L1231" s="5"/>
      <c r="M1231" s="4" t="s">
        <v>29</v>
      </c>
      <c r="N1231" s="5"/>
    </row>
    <row r="1232" spans="1:14" ht="14.4" thickBot="1" x14ac:dyDescent="0.35">
      <c r="A1232" s="4" t="s">
        <v>19</v>
      </c>
      <c r="B1232" s="4" t="s">
        <v>782</v>
      </c>
      <c r="C1232" s="4" t="s">
        <v>783</v>
      </c>
      <c r="D1232" s="4" t="s">
        <v>784</v>
      </c>
      <c r="E1232" s="4" t="s">
        <v>254</v>
      </c>
      <c r="F1232" s="4" t="s">
        <v>6042</v>
      </c>
      <c r="G1232" s="4" t="s">
        <v>6043</v>
      </c>
      <c r="H1232" s="4" t="s">
        <v>26</v>
      </c>
      <c r="I1232" s="4" t="s">
        <v>69</v>
      </c>
      <c r="J1232" s="4" t="s">
        <v>27</v>
      </c>
      <c r="K1232" s="4" t="s">
        <v>28</v>
      </c>
      <c r="L1232" s="4" t="s">
        <v>28</v>
      </c>
      <c r="M1232" s="4" t="s">
        <v>34</v>
      </c>
      <c r="N1232" s="4" t="s">
        <v>28</v>
      </c>
    </row>
    <row r="1233" spans="1:14" ht="14.4" thickBot="1" x14ac:dyDescent="0.35">
      <c r="A1233" s="4" t="s">
        <v>19</v>
      </c>
      <c r="B1233" s="4" t="s">
        <v>782</v>
      </c>
      <c r="C1233" s="4" t="s">
        <v>783</v>
      </c>
      <c r="D1233" s="4" t="s">
        <v>784</v>
      </c>
      <c r="E1233" s="4" t="s">
        <v>254</v>
      </c>
      <c r="F1233" s="4" t="s">
        <v>6044</v>
      </c>
      <c r="G1233" s="4" t="s">
        <v>6045</v>
      </c>
      <c r="H1233" s="4" t="s">
        <v>26</v>
      </c>
      <c r="I1233" s="4" t="s">
        <v>33</v>
      </c>
      <c r="J1233" s="4" t="s">
        <v>27</v>
      </c>
      <c r="K1233" s="4" t="s">
        <v>28</v>
      </c>
      <c r="L1233" s="4" t="s">
        <v>28</v>
      </c>
      <c r="M1233" s="4" t="s">
        <v>34</v>
      </c>
      <c r="N1233" s="4" t="s">
        <v>28</v>
      </c>
    </row>
    <row r="1234" spans="1:14" ht="14.4" thickBot="1" x14ac:dyDescent="0.35">
      <c r="A1234" s="4" t="s">
        <v>19</v>
      </c>
      <c r="B1234" s="4" t="s">
        <v>782</v>
      </c>
      <c r="C1234" s="4" t="s">
        <v>783</v>
      </c>
      <c r="D1234" s="4" t="s">
        <v>784</v>
      </c>
      <c r="E1234" s="4" t="s">
        <v>254</v>
      </c>
      <c r="F1234" s="4" t="s">
        <v>6046</v>
      </c>
      <c r="G1234" s="4" t="s">
        <v>6047</v>
      </c>
      <c r="H1234" s="4" t="s">
        <v>122</v>
      </c>
      <c r="I1234" s="4" t="s">
        <v>94</v>
      </c>
      <c r="J1234" s="4" t="s">
        <v>28</v>
      </c>
      <c r="K1234" s="4" t="s">
        <v>27</v>
      </c>
      <c r="L1234" s="4" t="s">
        <v>28</v>
      </c>
      <c r="M1234" s="4" t="s">
        <v>34</v>
      </c>
      <c r="N1234" s="4" t="s">
        <v>28</v>
      </c>
    </row>
    <row r="1235" spans="1:14" ht="14.4" thickBot="1" x14ac:dyDescent="0.35">
      <c r="A1235" s="4" t="s">
        <v>19</v>
      </c>
      <c r="B1235" s="4" t="s">
        <v>782</v>
      </c>
      <c r="C1235" s="4" t="s">
        <v>783</v>
      </c>
      <c r="D1235" s="4" t="s">
        <v>784</v>
      </c>
      <c r="E1235" s="4" t="s">
        <v>254</v>
      </c>
      <c r="F1235" s="4" t="s">
        <v>6048</v>
      </c>
      <c r="G1235" s="4" t="s">
        <v>6049</v>
      </c>
      <c r="H1235" s="4" t="s">
        <v>26</v>
      </c>
      <c r="I1235" s="4" t="s">
        <v>69</v>
      </c>
      <c r="J1235" s="4" t="s">
        <v>27</v>
      </c>
      <c r="K1235" s="4" t="s">
        <v>28</v>
      </c>
      <c r="L1235" s="4" t="s">
        <v>28</v>
      </c>
      <c r="M1235" s="4" t="s">
        <v>34</v>
      </c>
      <c r="N1235" s="4" t="s">
        <v>28</v>
      </c>
    </row>
    <row r="1236" spans="1:14" ht="14.4" thickBot="1" x14ac:dyDescent="0.35">
      <c r="A1236" s="4" t="s">
        <v>19</v>
      </c>
      <c r="B1236" s="4" t="s">
        <v>782</v>
      </c>
      <c r="C1236" s="4" t="s">
        <v>783</v>
      </c>
      <c r="D1236" s="4" t="s">
        <v>784</v>
      </c>
      <c r="E1236" s="4" t="s">
        <v>254</v>
      </c>
      <c r="F1236" s="4" t="s">
        <v>6050</v>
      </c>
      <c r="G1236" s="4" t="s">
        <v>6051</v>
      </c>
      <c r="H1236" s="4" t="s">
        <v>32</v>
      </c>
      <c r="I1236" s="4" t="s">
        <v>69</v>
      </c>
      <c r="J1236" s="4" t="s">
        <v>27</v>
      </c>
      <c r="K1236" s="4" t="s">
        <v>28</v>
      </c>
      <c r="L1236" s="4" t="s">
        <v>28</v>
      </c>
      <c r="M1236" s="4" t="s">
        <v>34</v>
      </c>
      <c r="N1236" s="4" t="s">
        <v>28</v>
      </c>
    </row>
    <row r="1237" spans="1:14" ht="14.4" thickBot="1" x14ac:dyDescent="0.35">
      <c r="A1237" s="4" t="s">
        <v>19</v>
      </c>
      <c r="B1237" s="4" t="s">
        <v>782</v>
      </c>
      <c r="C1237" s="4" t="s">
        <v>783</v>
      </c>
      <c r="D1237" s="4" t="s">
        <v>784</v>
      </c>
      <c r="E1237" s="4" t="s">
        <v>254</v>
      </c>
      <c r="F1237" s="4" t="s">
        <v>6052</v>
      </c>
      <c r="G1237" s="4" t="s">
        <v>6053</v>
      </c>
      <c r="H1237" s="4" t="s">
        <v>26</v>
      </c>
      <c r="I1237" s="4" t="s">
        <v>69</v>
      </c>
      <c r="J1237" s="4" t="s">
        <v>27</v>
      </c>
      <c r="K1237" s="4" t="s">
        <v>28</v>
      </c>
      <c r="L1237" s="4" t="s">
        <v>28</v>
      </c>
      <c r="M1237" s="4" t="s">
        <v>34</v>
      </c>
      <c r="N1237" s="4" t="s">
        <v>28</v>
      </c>
    </row>
    <row r="1238" spans="1:14" ht="14.4" thickBot="1" x14ac:dyDescent="0.35">
      <c r="A1238" s="4" t="s">
        <v>19</v>
      </c>
      <c r="B1238" s="4" t="s">
        <v>782</v>
      </c>
      <c r="C1238" s="4" t="s">
        <v>783</v>
      </c>
      <c r="D1238" s="4" t="s">
        <v>784</v>
      </c>
      <c r="E1238" s="4" t="s">
        <v>254</v>
      </c>
      <c r="F1238" s="4" t="s">
        <v>6054</v>
      </c>
      <c r="G1238" s="4" t="s">
        <v>6055</v>
      </c>
      <c r="H1238" s="4" t="s">
        <v>122</v>
      </c>
      <c r="I1238" s="4" t="s">
        <v>94</v>
      </c>
      <c r="J1238" s="4" t="s">
        <v>28</v>
      </c>
      <c r="K1238" s="4" t="s">
        <v>27</v>
      </c>
      <c r="L1238" s="4" t="s">
        <v>28</v>
      </c>
      <c r="M1238" s="4" t="s">
        <v>34</v>
      </c>
      <c r="N1238" s="4" t="s">
        <v>28</v>
      </c>
    </row>
    <row r="1239" spans="1:14" ht="14.4" thickBot="1" x14ac:dyDescent="0.35">
      <c r="A1239" s="4" t="s">
        <v>19</v>
      </c>
      <c r="B1239" s="4" t="s">
        <v>782</v>
      </c>
      <c r="C1239" s="4" t="s">
        <v>783</v>
      </c>
      <c r="D1239" s="4" t="s">
        <v>784</v>
      </c>
      <c r="E1239" s="4" t="s">
        <v>254</v>
      </c>
      <c r="F1239" s="4" t="s">
        <v>6056</v>
      </c>
      <c r="G1239" s="4" t="s">
        <v>6057</v>
      </c>
      <c r="H1239" s="4" t="s">
        <v>122</v>
      </c>
      <c r="I1239" s="4" t="s">
        <v>94</v>
      </c>
      <c r="J1239" s="4" t="s">
        <v>28</v>
      </c>
      <c r="K1239" s="4" t="s">
        <v>27</v>
      </c>
      <c r="L1239" s="4" t="s">
        <v>28</v>
      </c>
      <c r="M1239" s="4" t="s">
        <v>34</v>
      </c>
      <c r="N1239" s="4" t="s">
        <v>28</v>
      </c>
    </row>
    <row r="1240" spans="1:14" ht="14.4" thickBot="1" x14ac:dyDescent="0.35">
      <c r="A1240" s="4" t="s">
        <v>19</v>
      </c>
      <c r="B1240" s="4" t="s">
        <v>782</v>
      </c>
      <c r="C1240" s="4" t="s">
        <v>783</v>
      </c>
      <c r="D1240" s="4" t="s">
        <v>784</v>
      </c>
      <c r="E1240" s="4" t="s">
        <v>254</v>
      </c>
      <c r="F1240" s="4" t="s">
        <v>6158</v>
      </c>
      <c r="G1240" s="4" t="s">
        <v>6159</v>
      </c>
      <c r="H1240" s="4" t="s">
        <v>26</v>
      </c>
      <c r="I1240" s="4" t="s">
        <v>38</v>
      </c>
      <c r="J1240" s="4" t="s">
        <v>28</v>
      </c>
      <c r="K1240" s="4" t="s">
        <v>28</v>
      </c>
      <c r="L1240" s="4" t="s">
        <v>27</v>
      </c>
      <c r="M1240" s="4" t="s">
        <v>29</v>
      </c>
      <c r="N1240" s="4" t="s">
        <v>28</v>
      </c>
    </row>
    <row r="1241" spans="1:14" ht="14.4" thickBot="1" x14ac:dyDescent="0.35">
      <c r="A1241" s="4" t="s">
        <v>19</v>
      </c>
      <c r="B1241" s="4" t="s">
        <v>782</v>
      </c>
      <c r="C1241" s="4" t="s">
        <v>783</v>
      </c>
      <c r="D1241" s="4" t="s">
        <v>784</v>
      </c>
      <c r="E1241" s="4" t="s">
        <v>254</v>
      </c>
      <c r="F1241" s="4" t="s">
        <v>6160</v>
      </c>
      <c r="G1241" s="4" t="s">
        <v>1807</v>
      </c>
      <c r="H1241" s="4" t="s">
        <v>69</v>
      </c>
      <c r="I1241" s="4" t="s">
        <v>38</v>
      </c>
      <c r="J1241" s="4" t="s">
        <v>28</v>
      </c>
      <c r="K1241" s="4" t="s">
        <v>28</v>
      </c>
      <c r="L1241" s="4" t="s">
        <v>27</v>
      </c>
      <c r="M1241" s="4" t="s">
        <v>29</v>
      </c>
      <c r="N1241" s="4" t="s">
        <v>28</v>
      </c>
    </row>
    <row r="1242" spans="1:14" ht="14.4" thickBot="1" x14ac:dyDescent="0.35">
      <c r="A1242" s="4" t="s">
        <v>19</v>
      </c>
      <c r="B1242" s="4" t="s">
        <v>782</v>
      </c>
      <c r="C1242" s="4" t="s">
        <v>783</v>
      </c>
      <c r="D1242" s="4" t="s">
        <v>784</v>
      </c>
      <c r="E1242" s="4" t="s">
        <v>254</v>
      </c>
      <c r="F1242" s="4" t="s">
        <v>6161</v>
      </c>
      <c r="G1242" s="4" t="s">
        <v>6162</v>
      </c>
      <c r="H1242" s="4" t="s">
        <v>135</v>
      </c>
      <c r="I1242" s="4" t="s">
        <v>94</v>
      </c>
      <c r="J1242" s="4" t="s">
        <v>27</v>
      </c>
      <c r="K1242" s="4" t="s">
        <v>28</v>
      </c>
      <c r="L1242" s="4" t="s">
        <v>28</v>
      </c>
      <c r="M1242" s="4" t="s">
        <v>29</v>
      </c>
      <c r="N1242" s="4" t="s">
        <v>28</v>
      </c>
    </row>
    <row r="1243" spans="1:14" ht="14.4" thickBot="1" x14ac:dyDescent="0.35">
      <c r="A1243" s="4" t="s">
        <v>19</v>
      </c>
      <c r="B1243" s="4" t="s">
        <v>782</v>
      </c>
      <c r="C1243" s="4" t="s">
        <v>783</v>
      </c>
      <c r="D1243" s="4" t="s">
        <v>784</v>
      </c>
      <c r="E1243" s="4" t="s">
        <v>254</v>
      </c>
      <c r="F1243" s="4" t="s">
        <v>6163</v>
      </c>
      <c r="G1243" s="4" t="s">
        <v>6164</v>
      </c>
      <c r="H1243" s="4" t="s">
        <v>26</v>
      </c>
      <c r="I1243" s="4" t="s">
        <v>38</v>
      </c>
      <c r="J1243" s="4" t="s">
        <v>28</v>
      </c>
      <c r="K1243" s="4" t="s">
        <v>28</v>
      </c>
      <c r="L1243" s="4" t="s">
        <v>27</v>
      </c>
      <c r="M1243" s="4" t="s">
        <v>29</v>
      </c>
      <c r="N1243" s="5"/>
    </row>
    <row r="1244" spans="1:14" ht="14.4" thickBot="1" x14ac:dyDescent="0.35">
      <c r="A1244" s="4" t="s">
        <v>19</v>
      </c>
      <c r="B1244" s="4" t="s">
        <v>727</v>
      </c>
      <c r="C1244" s="4" t="s">
        <v>728</v>
      </c>
      <c r="D1244" s="4" t="s">
        <v>729</v>
      </c>
      <c r="E1244" s="4" t="s">
        <v>23</v>
      </c>
      <c r="F1244" s="4" t="s">
        <v>730</v>
      </c>
      <c r="G1244" s="4" t="s">
        <v>731</v>
      </c>
      <c r="H1244" s="4" t="s">
        <v>116</v>
      </c>
      <c r="I1244" s="4" t="s">
        <v>33</v>
      </c>
      <c r="J1244" s="4" t="s">
        <v>27</v>
      </c>
      <c r="K1244" s="4" t="s">
        <v>28</v>
      </c>
      <c r="L1244" s="4" t="s">
        <v>28</v>
      </c>
      <c r="M1244" s="4" t="s">
        <v>34</v>
      </c>
      <c r="N1244" s="4" t="s">
        <v>28</v>
      </c>
    </row>
    <row r="1245" spans="1:14" ht="14.4" thickBot="1" x14ac:dyDescent="0.35">
      <c r="A1245" s="4" t="s">
        <v>19</v>
      </c>
      <c r="B1245" s="4" t="s">
        <v>727</v>
      </c>
      <c r="C1245" s="4" t="s">
        <v>728</v>
      </c>
      <c r="D1245" s="4" t="s">
        <v>729</v>
      </c>
      <c r="E1245" s="4" t="s">
        <v>23</v>
      </c>
      <c r="F1245" s="4" t="s">
        <v>732</v>
      </c>
      <c r="G1245" s="4" t="s">
        <v>733</v>
      </c>
      <c r="H1245" s="4" t="s">
        <v>135</v>
      </c>
      <c r="I1245" s="4" t="s">
        <v>94</v>
      </c>
      <c r="J1245" s="4" t="s">
        <v>27</v>
      </c>
      <c r="K1245" s="4" t="s">
        <v>28</v>
      </c>
      <c r="L1245" s="4" t="s">
        <v>28</v>
      </c>
      <c r="M1245" s="4" t="s">
        <v>34</v>
      </c>
      <c r="N1245" s="4" t="s">
        <v>27</v>
      </c>
    </row>
    <row r="1246" spans="1:14" ht="14.4" thickBot="1" x14ac:dyDescent="0.35">
      <c r="A1246" s="4" t="s">
        <v>19</v>
      </c>
      <c r="B1246" s="4" t="s">
        <v>727</v>
      </c>
      <c r="C1246" s="4" t="s">
        <v>728</v>
      </c>
      <c r="D1246" s="4" t="s">
        <v>729</v>
      </c>
      <c r="E1246" s="4" t="s">
        <v>23</v>
      </c>
      <c r="F1246" s="4" t="s">
        <v>932</v>
      </c>
      <c r="G1246" s="4" t="s">
        <v>933</v>
      </c>
      <c r="H1246" s="4" t="s">
        <v>26</v>
      </c>
      <c r="I1246" s="4" t="s">
        <v>94</v>
      </c>
      <c r="J1246" s="4" t="s">
        <v>27</v>
      </c>
      <c r="K1246" s="4" t="s">
        <v>28</v>
      </c>
      <c r="L1246" s="4" t="s">
        <v>28</v>
      </c>
      <c r="M1246" s="4" t="s">
        <v>29</v>
      </c>
      <c r="N1246" s="4" t="s">
        <v>28</v>
      </c>
    </row>
    <row r="1247" spans="1:14" ht="14.4" thickBot="1" x14ac:dyDescent="0.35">
      <c r="A1247" s="4" t="s">
        <v>19</v>
      </c>
      <c r="B1247" s="4" t="s">
        <v>727</v>
      </c>
      <c r="C1247" s="4" t="s">
        <v>728</v>
      </c>
      <c r="D1247" s="4" t="s">
        <v>729</v>
      </c>
      <c r="E1247" s="4" t="s">
        <v>23</v>
      </c>
      <c r="F1247" s="4" t="s">
        <v>1632</v>
      </c>
      <c r="G1247" s="4" t="s">
        <v>1633</v>
      </c>
      <c r="H1247" s="4" t="s">
        <v>37</v>
      </c>
      <c r="I1247" s="4" t="s">
        <v>38</v>
      </c>
      <c r="J1247" s="4" t="s">
        <v>28</v>
      </c>
      <c r="K1247" s="4" t="s">
        <v>28</v>
      </c>
      <c r="L1247" s="4" t="s">
        <v>27</v>
      </c>
      <c r="M1247" s="4" t="s">
        <v>34</v>
      </c>
      <c r="N1247" s="4" t="s">
        <v>28</v>
      </c>
    </row>
    <row r="1248" spans="1:14" ht="14.4" thickBot="1" x14ac:dyDescent="0.35">
      <c r="A1248" s="4" t="s">
        <v>19</v>
      </c>
      <c r="B1248" s="4" t="s">
        <v>727</v>
      </c>
      <c r="C1248" s="4" t="s">
        <v>728</v>
      </c>
      <c r="D1248" s="4" t="s">
        <v>729</v>
      </c>
      <c r="E1248" s="4" t="s">
        <v>23</v>
      </c>
      <c r="F1248" s="4" t="s">
        <v>1796</v>
      </c>
      <c r="G1248" s="4" t="s">
        <v>1797</v>
      </c>
      <c r="H1248" s="4" t="s">
        <v>135</v>
      </c>
      <c r="I1248" s="4" t="s">
        <v>94</v>
      </c>
      <c r="J1248" s="5"/>
      <c r="K1248" s="5"/>
      <c r="L1248" s="5"/>
      <c r="M1248" s="4" t="s">
        <v>29</v>
      </c>
      <c r="N1248" s="5"/>
    </row>
    <row r="1249" spans="1:14" ht="14.4" thickBot="1" x14ac:dyDescent="0.35">
      <c r="A1249" s="4" t="s">
        <v>19</v>
      </c>
      <c r="B1249" s="4" t="s">
        <v>727</v>
      </c>
      <c r="C1249" s="4" t="s">
        <v>728</v>
      </c>
      <c r="D1249" s="4" t="s">
        <v>729</v>
      </c>
      <c r="E1249" s="4" t="s">
        <v>23</v>
      </c>
      <c r="F1249" s="4" t="s">
        <v>1798</v>
      </c>
      <c r="G1249" s="4" t="s">
        <v>1799</v>
      </c>
      <c r="H1249" s="4" t="s">
        <v>135</v>
      </c>
      <c r="I1249" s="4" t="s">
        <v>38</v>
      </c>
      <c r="J1249" s="5"/>
      <c r="K1249" s="5"/>
      <c r="L1249" s="5"/>
      <c r="M1249" s="4" t="s">
        <v>29</v>
      </c>
      <c r="N1249" s="5"/>
    </row>
    <row r="1250" spans="1:14" ht="14.4" thickBot="1" x14ac:dyDescent="0.35">
      <c r="A1250" s="4" t="s">
        <v>19</v>
      </c>
      <c r="B1250" s="4" t="s">
        <v>727</v>
      </c>
      <c r="C1250" s="4" t="s">
        <v>728</v>
      </c>
      <c r="D1250" s="4" t="s">
        <v>729</v>
      </c>
      <c r="E1250" s="4" t="s">
        <v>23</v>
      </c>
      <c r="F1250" s="4" t="s">
        <v>2329</v>
      </c>
      <c r="G1250" s="4" t="s">
        <v>2330</v>
      </c>
      <c r="H1250" s="4" t="s">
        <v>33</v>
      </c>
      <c r="I1250" s="4" t="s">
        <v>38</v>
      </c>
      <c r="J1250" s="4" t="s">
        <v>28</v>
      </c>
      <c r="K1250" s="4" t="s">
        <v>28</v>
      </c>
      <c r="L1250" s="4" t="s">
        <v>27</v>
      </c>
      <c r="M1250" s="4" t="s">
        <v>34</v>
      </c>
      <c r="N1250" s="4" t="s">
        <v>28</v>
      </c>
    </row>
    <row r="1251" spans="1:14" ht="14.4" thickBot="1" x14ac:dyDescent="0.35">
      <c r="A1251" s="4" t="s">
        <v>19</v>
      </c>
      <c r="B1251" s="4" t="s">
        <v>727</v>
      </c>
      <c r="C1251" s="4" t="s">
        <v>728</v>
      </c>
      <c r="D1251" s="4" t="s">
        <v>729</v>
      </c>
      <c r="E1251" s="4" t="s">
        <v>23</v>
      </c>
      <c r="F1251" s="4" t="s">
        <v>2331</v>
      </c>
      <c r="G1251" s="4" t="s">
        <v>2332</v>
      </c>
      <c r="H1251" s="4" t="s">
        <v>26</v>
      </c>
      <c r="I1251" s="4" t="s">
        <v>33</v>
      </c>
      <c r="J1251" s="4" t="s">
        <v>27</v>
      </c>
      <c r="K1251" s="4" t="s">
        <v>28</v>
      </c>
      <c r="L1251" s="4" t="s">
        <v>28</v>
      </c>
      <c r="M1251" s="4" t="s">
        <v>34</v>
      </c>
      <c r="N1251" s="4" t="s">
        <v>28</v>
      </c>
    </row>
    <row r="1252" spans="1:14" ht="14.4" thickBot="1" x14ac:dyDescent="0.35">
      <c r="A1252" s="4" t="s">
        <v>19</v>
      </c>
      <c r="B1252" s="4" t="s">
        <v>727</v>
      </c>
      <c r="C1252" s="4" t="s">
        <v>728</v>
      </c>
      <c r="D1252" s="4" t="s">
        <v>729</v>
      </c>
      <c r="E1252" s="4" t="s">
        <v>23</v>
      </c>
      <c r="F1252" s="4" t="s">
        <v>2333</v>
      </c>
      <c r="G1252" s="4" t="s">
        <v>2334</v>
      </c>
      <c r="H1252" s="4" t="s">
        <v>26</v>
      </c>
      <c r="I1252" s="4" t="s">
        <v>94</v>
      </c>
      <c r="J1252" s="4" t="s">
        <v>27</v>
      </c>
      <c r="K1252" s="4" t="s">
        <v>28</v>
      </c>
      <c r="L1252" s="4" t="s">
        <v>28</v>
      </c>
      <c r="M1252" s="4" t="s">
        <v>34</v>
      </c>
      <c r="N1252" s="4" t="s">
        <v>28</v>
      </c>
    </row>
    <row r="1253" spans="1:14" ht="14.4" thickBot="1" x14ac:dyDescent="0.35">
      <c r="A1253" s="4" t="s">
        <v>19</v>
      </c>
      <c r="B1253" s="4" t="s">
        <v>727</v>
      </c>
      <c r="C1253" s="4" t="s">
        <v>728</v>
      </c>
      <c r="D1253" s="4" t="s">
        <v>729</v>
      </c>
      <c r="E1253" s="4" t="s">
        <v>23</v>
      </c>
      <c r="F1253" s="4" t="s">
        <v>2464</v>
      </c>
      <c r="G1253" s="4" t="s">
        <v>2465</v>
      </c>
      <c r="H1253" s="4" t="s">
        <v>26</v>
      </c>
      <c r="I1253" s="4" t="s">
        <v>26</v>
      </c>
      <c r="J1253" s="4" t="s">
        <v>27</v>
      </c>
      <c r="K1253" s="4" t="s">
        <v>28</v>
      </c>
      <c r="L1253" s="4" t="s">
        <v>28</v>
      </c>
      <c r="M1253" s="4" t="s">
        <v>29</v>
      </c>
      <c r="N1253" s="4" t="s">
        <v>28</v>
      </c>
    </row>
    <row r="1254" spans="1:14" ht="14.4" thickBot="1" x14ac:dyDescent="0.35">
      <c r="A1254" s="4" t="s">
        <v>19</v>
      </c>
      <c r="B1254" s="4" t="s">
        <v>727</v>
      </c>
      <c r="C1254" s="4" t="s">
        <v>728</v>
      </c>
      <c r="D1254" s="4" t="s">
        <v>729</v>
      </c>
      <c r="E1254" s="4" t="s">
        <v>23</v>
      </c>
      <c r="F1254" s="4" t="s">
        <v>3098</v>
      </c>
      <c r="G1254" s="4" t="s">
        <v>3099</v>
      </c>
      <c r="H1254" s="4" t="s">
        <v>37</v>
      </c>
      <c r="I1254" s="4" t="s">
        <v>38</v>
      </c>
      <c r="J1254" s="4" t="s">
        <v>28</v>
      </c>
      <c r="K1254" s="4" t="s">
        <v>28</v>
      </c>
      <c r="L1254" s="4" t="s">
        <v>27</v>
      </c>
      <c r="M1254" s="4" t="s">
        <v>34</v>
      </c>
      <c r="N1254" s="4" t="s">
        <v>28</v>
      </c>
    </row>
    <row r="1255" spans="1:14" ht="14.4" thickBot="1" x14ac:dyDescent="0.35">
      <c r="A1255" s="4" t="s">
        <v>19</v>
      </c>
      <c r="B1255" s="4" t="s">
        <v>727</v>
      </c>
      <c r="C1255" s="4" t="s">
        <v>728</v>
      </c>
      <c r="D1255" s="4" t="s">
        <v>729</v>
      </c>
      <c r="E1255" s="4" t="s">
        <v>23</v>
      </c>
      <c r="F1255" s="4" t="s">
        <v>3226</v>
      </c>
      <c r="G1255" s="4" t="s">
        <v>3227</v>
      </c>
      <c r="H1255" s="4" t="s">
        <v>26</v>
      </c>
      <c r="I1255" s="4" t="s">
        <v>26</v>
      </c>
      <c r="J1255" s="4" t="s">
        <v>27</v>
      </c>
      <c r="K1255" s="4" t="s">
        <v>28</v>
      </c>
      <c r="L1255" s="4" t="s">
        <v>28</v>
      </c>
      <c r="M1255" s="4" t="s">
        <v>29</v>
      </c>
      <c r="N1255" s="4" t="s">
        <v>28</v>
      </c>
    </row>
    <row r="1256" spans="1:14" ht="14.4" thickBot="1" x14ac:dyDescent="0.35">
      <c r="A1256" s="4" t="s">
        <v>19</v>
      </c>
      <c r="B1256" s="4" t="s">
        <v>727</v>
      </c>
      <c r="C1256" s="4" t="s">
        <v>728</v>
      </c>
      <c r="D1256" s="4" t="s">
        <v>729</v>
      </c>
      <c r="E1256" s="4" t="s">
        <v>23</v>
      </c>
      <c r="F1256" s="4" t="s">
        <v>3228</v>
      </c>
      <c r="G1256" s="4" t="s">
        <v>3229</v>
      </c>
      <c r="H1256" s="4" t="s">
        <v>37</v>
      </c>
      <c r="I1256" s="4" t="s">
        <v>38</v>
      </c>
      <c r="J1256" s="4" t="s">
        <v>28</v>
      </c>
      <c r="K1256" s="4" t="s">
        <v>28</v>
      </c>
      <c r="L1256" s="4" t="s">
        <v>27</v>
      </c>
      <c r="M1256" s="4" t="s">
        <v>29</v>
      </c>
      <c r="N1256" s="5"/>
    </row>
    <row r="1257" spans="1:14" ht="14.4" thickBot="1" x14ac:dyDescent="0.35">
      <c r="A1257" s="4" t="s">
        <v>19</v>
      </c>
      <c r="B1257" s="4" t="s">
        <v>727</v>
      </c>
      <c r="C1257" s="4" t="s">
        <v>728</v>
      </c>
      <c r="D1257" s="4" t="s">
        <v>729</v>
      </c>
      <c r="E1257" s="4" t="s">
        <v>23</v>
      </c>
      <c r="F1257" s="4" t="s">
        <v>3885</v>
      </c>
      <c r="G1257" s="4" t="s">
        <v>3886</v>
      </c>
      <c r="H1257" s="4" t="s">
        <v>37</v>
      </c>
      <c r="I1257" s="4" t="s">
        <v>38</v>
      </c>
      <c r="J1257" s="4" t="s">
        <v>28</v>
      </c>
      <c r="K1257" s="4" t="s">
        <v>28</v>
      </c>
      <c r="L1257" s="4" t="s">
        <v>27</v>
      </c>
      <c r="M1257" s="4" t="s">
        <v>34</v>
      </c>
      <c r="N1257" s="4" t="s">
        <v>28</v>
      </c>
    </row>
    <row r="1258" spans="1:14" ht="14.4" thickBot="1" x14ac:dyDescent="0.35">
      <c r="A1258" s="4" t="s">
        <v>19</v>
      </c>
      <c r="B1258" s="4" t="s">
        <v>727</v>
      </c>
      <c r="C1258" s="4" t="s">
        <v>728</v>
      </c>
      <c r="D1258" s="4" t="s">
        <v>729</v>
      </c>
      <c r="E1258" s="4" t="s">
        <v>23</v>
      </c>
      <c r="F1258" s="4" t="s">
        <v>3887</v>
      </c>
      <c r="G1258" s="4" t="s">
        <v>3888</v>
      </c>
      <c r="H1258" s="4" t="s">
        <v>69</v>
      </c>
      <c r="I1258" s="4" t="s">
        <v>94</v>
      </c>
      <c r="J1258" s="4" t="s">
        <v>28</v>
      </c>
      <c r="K1258" s="4" t="s">
        <v>27</v>
      </c>
      <c r="L1258" s="4" t="s">
        <v>28</v>
      </c>
      <c r="M1258" s="4" t="s">
        <v>34</v>
      </c>
      <c r="N1258" s="4" t="s">
        <v>28</v>
      </c>
    </row>
    <row r="1259" spans="1:14" ht="14.4" thickBot="1" x14ac:dyDescent="0.35">
      <c r="A1259" s="4" t="s">
        <v>19</v>
      </c>
      <c r="B1259" s="4" t="s">
        <v>727</v>
      </c>
      <c r="C1259" s="4" t="s">
        <v>728</v>
      </c>
      <c r="D1259" s="4" t="s">
        <v>729</v>
      </c>
      <c r="E1259" s="4" t="s">
        <v>23</v>
      </c>
      <c r="F1259" s="4" t="s">
        <v>3889</v>
      </c>
      <c r="G1259" s="4" t="s">
        <v>3890</v>
      </c>
      <c r="H1259" s="4" t="s">
        <v>26</v>
      </c>
      <c r="I1259" s="4" t="s">
        <v>33</v>
      </c>
      <c r="J1259" s="4" t="s">
        <v>27</v>
      </c>
      <c r="K1259" s="4" t="s">
        <v>28</v>
      </c>
      <c r="L1259" s="4" t="s">
        <v>28</v>
      </c>
      <c r="M1259" s="4" t="s">
        <v>34</v>
      </c>
      <c r="N1259" s="4" t="s">
        <v>28</v>
      </c>
    </row>
    <row r="1260" spans="1:14" ht="14.4" thickBot="1" x14ac:dyDescent="0.35">
      <c r="A1260" s="4" t="s">
        <v>19</v>
      </c>
      <c r="B1260" s="4" t="s">
        <v>727</v>
      </c>
      <c r="C1260" s="4" t="s">
        <v>728</v>
      </c>
      <c r="D1260" s="4" t="s">
        <v>729</v>
      </c>
      <c r="E1260" s="4" t="s">
        <v>23</v>
      </c>
      <c r="F1260" s="4" t="s">
        <v>3891</v>
      </c>
      <c r="G1260" s="4" t="s">
        <v>3892</v>
      </c>
      <c r="H1260" s="4" t="s">
        <v>37</v>
      </c>
      <c r="I1260" s="4" t="s">
        <v>38</v>
      </c>
      <c r="J1260" s="4" t="s">
        <v>28</v>
      </c>
      <c r="K1260" s="4" t="s">
        <v>28</v>
      </c>
      <c r="L1260" s="4" t="s">
        <v>27</v>
      </c>
      <c r="M1260" s="4" t="s">
        <v>34</v>
      </c>
      <c r="N1260" s="4" t="s">
        <v>28</v>
      </c>
    </row>
    <row r="1261" spans="1:14" ht="14.4" thickBot="1" x14ac:dyDescent="0.35">
      <c r="A1261" s="4" t="s">
        <v>19</v>
      </c>
      <c r="B1261" s="4" t="s">
        <v>727</v>
      </c>
      <c r="C1261" s="4" t="s">
        <v>728</v>
      </c>
      <c r="D1261" s="4" t="s">
        <v>729</v>
      </c>
      <c r="E1261" s="4" t="s">
        <v>23</v>
      </c>
      <c r="F1261" s="4" t="s">
        <v>3893</v>
      </c>
      <c r="G1261" s="4" t="s">
        <v>3894</v>
      </c>
      <c r="H1261" s="4" t="s">
        <v>69</v>
      </c>
      <c r="I1261" s="4" t="s">
        <v>94</v>
      </c>
      <c r="J1261" s="4" t="s">
        <v>28</v>
      </c>
      <c r="K1261" s="4" t="s">
        <v>27</v>
      </c>
      <c r="L1261" s="4" t="s">
        <v>28</v>
      </c>
      <c r="M1261" s="4" t="s">
        <v>34</v>
      </c>
      <c r="N1261" s="4" t="s">
        <v>28</v>
      </c>
    </row>
    <row r="1262" spans="1:14" ht="14.4" thickBot="1" x14ac:dyDescent="0.35">
      <c r="A1262" s="4" t="s">
        <v>19</v>
      </c>
      <c r="B1262" s="4" t="s">
        <v>727</v>
      </c>
      <c r="C1262" s="4" t="s">
        <v>728</v>
      </c>
      <c r="D1262" s="4" t="s">
        <v>729</v>
      </c>
      <c r="E1262" s="4" t="s">
        <v>23</v>
      </c>
      <c r="F1262" s="4" t="s">
        <v>4613</v>
      </c>
      <c r="G1262" s="4" t="s">
        <v>4614</v>
      </c>
      <c r="H1262" s="4" t="s">
        <v>26</v>
      </c>
      <c r="I1262" s="4" t="s">
        <v>33</v>
      </c>
      <c r="J1262" s="4" t="s">
        <v>27</v>
      </c>
      <c r="K1262" s="4" t="s">
        <v>28</v>
      </c>
      <c r="L1262" s="4" t="s">
        <v>28</v>
      </c>
      <c r="M1262" s="4" t="s">
        <v>34</v>
      </c>
      <c r="N1262" s="4" t="s">
        <v>28</v>
      </c>
    </row>
    <row r="1263" spans="1:14" ht="14.4" thickBot="1" x14ac:dyDescent="0.35">
      <c r="A1263" s="4" t="s">
        <v>19</v>
      </c>
      <c r="B1263" s="4" t="s">
        <v>727</v>
      </c>
      <c r="C1263" s="4" t="s">
        <v>728</v>
      </c>
      <c r="D1263" s="4" t="s">
        <v>729</v>
      </c>
      <c r="E1263" s="4" t="s">
        <v>23</v>
      </c>
      <c r="F1263" s="4" t="s">
        <v>5295</v>
      </c>
      <c r="G1263" s="4" t="s">
        <v>5296</v>
      </c>
      <c r="H1263" s="4" t="s">
        <v>116</v>
      </c>
      <c r="I1263" s="4" t="s">
        <v>33</v>
      </c>
      <c r="J1263" s="4" t="s">
        <v>27</v>
      </c>
      <c r="K1263" s="4" t="s">
        <v>28</v>
      </c>
      <c r="L1263" s="4" t="s">
        <v>28</v>
      </c>
      <c r="M1263" s="4" t="s">
        <v>34</v>
      </c>
      <c r="N1263" s="4" t="s">
        <v>28</v>
      </c>
    </row>
    <row r="1264" spans="1:14" ht="14.4" thickBot="1" x14ac:dyDescent="0.35">
      <c r="A1264" s="4" t="s">
        <v>19</v>
      </c>
      <c r="B1264" s="4" t="s">
        <v>727</v>
      </c>
      <c r="C1264" s="4" t="s">
        <v>728</v>
      </c>
      <c r="D1264" s="4" t="s">
        <v>729</v>
      </c>
      <c r="E1264" s="4" t="s">
        <v>23</v>
      </c>
      <c r="F1264" s="4" t="s">
        <v>5993</v>
      </c>
      <c r="G1264" s="4" t="s">
        <v>5994</v>
      </c>
      <c r="H1264" s="4" t="s">
        <v>26</v>
      </c>
      <c r="I1264" s="4" t="s">
        <v>26</v>
      </c>
      <c r="J1264" s="4" t="s">
        <v>27</v>
      </c>
      <c r="K1264" s="4" t="s">
        <v>28</v>
      </c>
      <c r="L1264" s="4" t="s">
        <v>28</v>
      </c>
      <c r="M1264" s="4" t="s">
        <v>34</v>
      </c>
      <c r="N1264" s="4" t="s">
        <v>28</v>
      </c>
    </row>
    <row r="1265" spans="1:14" ht="14.4" thickBot="1" x14ac:dyDescent="0.35">
      <c r="A1265" s="4" t="s">
        <v>19</v>
      </c>
      <c r="B1265" s="4" t="s">
        <v>727</v>
      </c>
      <c r="C1265" s="4" t="s">
        <v>728</v>
      </c>
      <c r="D1265" s="4" t="s">
        <v>729</v>
      </c>
      <c r="E1265" s="4" t="s">
        <v>23</v>
      </c>
      <c r="F1265" s="4" t="s">
        <v>5995</v>
      </c>
      <c r="G1265" s="4" t="s">
        <v>5996</v>
      </c>
      <c r="H1265" s="4" t="s">
        <v>37</v>
      </c>
      <c r="I1265" s="4" t="s">
        <v>38</v>
      </c>
      <c r="J1265" s="4" t="s">
        <v>28</v>
      </c>
      <c r="K1265" s="4" t="s">
        <v>28</v>
      </c>
      <c r="L1265" s="4" t="s">
        <v>27</v>
      </c>
      <c r="M1265" s="4" t="s">
        <v>34</v>
      </c>
      <c r="N1265" s="4" t="s">
        <v>28</v>
      </c>
    </row>
    <row r="1266" spans="1:14" ht="14.4" thickBot="1" x14ac:dyDescent="0.35">
      <c r="A1266" s="4" t="s">
        <v>19</v>
      </c>
      <c r="B1266" s="4" t="s">
        <v>727</v>
      </c>
      <c r="C1266" s="4" t="s">
        <v>728</v>
      </c>
      <c r="D1266" s="4" t="s">
        <v>729</v>
      </c>
      <c r="E1266" s="4" t="s">
        <v>23</v>
      </c>
      <c r="F1266" s="4" t="s">
        <v>5997</v>
      </c>
      <c r="G1266" s="4" t="s">
        <v>5998</v>
      </c>
      <c r="H1266" s="4" t="s">
        <v>135</v>
      </c>
      <c r="I1266" s="4" t="s">
        <v>38</v>
      </c>
      <c r="J1266" s="4" t="s">
        <v>28</v>
      </c>
      <c r="K1266" s="4" t="s">
        <v>28</v>
      </c>
      <c r="L1266" s="4" t="s">
        <v>27</v>
      </c>
      <c r="M1266" s="4" t="s">
        <v>34</v>
      </c>
      <c r="N1266" s="4" t="s">
        <v>28</v>
      </c>
    </row>
    <row r="1267" spans="1:14" ht="14.4" thickBot="1" x14ac:dyDescent="0.35">
      <c r="A1267" s="4" t="s">
        <v>19</v>
      </c>
      <c r="B1267" s="4" t="s">
        <v>727</v>
      </c>
      <c r="C1267" s="4" t="s">
        <v>728</v>
      </c>
      <c r="D1267" s="4" t="s">
        <v>729</v>
      </c>
      <c r="E1267" s="4" t="s">
        <v>23</v>
      </c>
      <c r="F1267" s="4" t="s">
        <v>5999</v>
      </c>
      <c r="G1267" s="4" t="s">
        <v>6000</v>
      </c>
      <c r="H1267" s="4" t="s">
        <v>26</v>
      </c>
      <c r="I1267" s="4" t="s">
        <v>33</v>
      </c>
      <c r="J1267" s="4" t="s">
        <v>27</v>
      </c>
      <c r="K1267" s="4" t="s">
        <v>28</v>
      </c>
      <c r="L1267" s="4" t="s">
        <v>28</v>
      </c>
      <c r="M1267" s="4" t="s">
        <v>34</v>
      </c>
      <c r="N1267" s="4" t="s">
        <v>28</v>
      </c>
    </row>
    <row r="1268" spans="1:14" ht="14.4" thickBot="1" x14ac:dyDescent="0.35">
      <c r="A1268" s="4" t="s">
        <v>19</v>
      </c>
      <c r="B1268" s="4" t="s">
        <v>727</v>
      </c>
      <c r="C1268" s="4" t="s">
        <v>728</v>
      </c>
      <c r="D1268" s="4" t="s">
        <v>729</v>
      </c>
      <c r="E1268" s="4" t="s">
        <v>23</v>
      </c>
      <c r="F1268" s="4" t="s">
        <v>6001</v>
      </c>
      <c r="G1268" s="4" t="s">
        <v>6002</v>
      </c>
      <c r="H1268" s="4" t="s">
        <v>26</v>
      </c>
      <c r="I1268" s="4" t="s">
        <v>33</v>
      </c>
      <c r="J1268" s="4" t="s">
        <v>27</v>
      </c>
      <c r="K1268" s="4" t="s">
        <v>28</v>
      </c>
      <c r="L1268" s="4" t="s">
        <v>28</v>
      </c>
      <c r="M1268" s="4" t="s">
        <v>34</v>
      </c>
      <c r="N1268" s="4" t="s">
        <v>28</v>
      </c>
    </row>
    <row r="1269" spans="1:14" ht="14.4" thickBot="1" x14ac:dyDescent="0.35">
      <c r="A1269" s="4" t="s">
        <v>19</v>
      </c>
      <c r="B1269" s="4" t="s">
        <v>727</v>
      </c>
      <c r="C1269" s="4" t="s">
        <v>728</v>
      </c>
      <c r="D1269" s="4" t="s">
        <v>729</v>
      </c>
      <c r="E1269" s="4" t="s">
        <v>23</v>
      </c>
      <c r="F1269" s="4" t="s">
        <v>6003</v>
      </c>
      <c r="G1269" s="4" t="s">
        <v>6004</v>
      </c>
      <c r="H1269" s="4" t="s">
        <v>69</v>
      </c>
      <c r="I1269" s="4" t="s">
        <v>94</v>
      </c>
      <c r="J1269" s="4" t="s">
        <v>28</v>
      </c>
      <c r="K1269" s="4" t="s">
        <v>27</v>
      </c>
      <c r="L1269" s="4" t="s">
        <v>28</v>
      </c>
      <c r="M1269" s="4" t="s">
        <v>34</v>
      </c>
      <c r="N1269" s="4" t="s">
        <v>28</v>
      </c>
    </row>
    <row r="1270" spans="1:14" ht="14.4" thickBot="1" x14ac:dyDescent="0.35">
      <c r="A1270" s="4" t="s">
        <v>19</v>
      </c>
      <c r="B1270" s="4" t="s">
        <v>545</v>
      </c>
      <c r="C1270" s="4" t="s">
        <v>1634</v>
      </c>
      <c r="D1270" s="4" t="s">
        <v>1635</v>
      </c>
      <c r="E1270" s="4" t="s">
        <v>48</v>
      </c>
      <c r="F1270" s="4" t="s">
        <v>1636</v>
      </c>
      <c r="G1270" s="4" t="s">
        <v>1637</v>
      </c>
      <c r="H1270" s="4" t="s">
        <v>26</v>
      </c>
      <c r="I1270" s="4" t="s">
        <v>26</v>
      </c>
      <c r="J1270" s="4" t="s">
        <v>27</v>
      </c>
      <c r="K1270" s="4" t="s">
        <v>28</v>
      </c>
      <c r="L1270" s="4" t="s">
        <v>28</v>
      </c>
      <c r="M1270" s="4" t="s">
        <v>34</v>
      </c>
      <c r="N1270" s="4" t="s">
        <v>28</v>
      </c>
    </row>
    <row r="1271" spans="1:14" ht="14.4" thickBot="1" x14ac:dyDescent="0.35">
      <c r="A1271" s="4" t="s">
        <v>19</v>
      </c>
      <c r="B1271" s="4" t="s">
        <v>545</v>
      </c>
      <c r="C1271" s="4" t="s">
        <v>1634</v>
      </c>
      <c r="D1271" s="4" t="s">
        <v>1635</v>
      </c>
      <c r="E1271" s="4" t="s">
        <v>48</v>
      </c>
      <c r="F1271" s="4" t="s">
        <v>2335</v>
      </c>
      <c r="G1271" s="4" t="s">
        <v>2336</v>
      </c>
      <c r="H1271" s="4" t="s">
        <v>135</v>
      </c>
      <c r="I1271" s="4" t="s">
        <v>94</v>
      </c>
      <c r="J1271" s="4" t="s">
        <v>27</v>
      </c>
      <c r="K1271" s="4" t="s">
        <v>28</v>
      </c>
      <c r="L1271" s="4" t="s">
        <v>28</v>
      </c>
      <c r="M1271" s="4" t="s">
        <v>34</v>
      </c>
      <c r="N1271" s="4" t="s">
        <v>27</v>
      </c>
    </row>
    <row r="1272" spans="1:14" ht="14.4" thickBot="1" x14ac:dyDescent="0.35">
      <c r="A1272" s="4" t="s">
        <v>19</v>
      </c>
      <c r="B1272" s="4" t="s">
        <v>545</v>
      </c>
      <c r="C1272" s="4" t="s">
        <v>1634</v>
      </c>
      <c r="D1272" s="4" t="s">
        <v>1635</v>
      </c>
      <c r="E1272" s="4" t="s">
        <v>48</v>
      </c>
      <c r="F1272" s="4" t="s">
        <v>3100</v>
      </c>
      <c r="G1272" s="4" t="s">
        <v>3101</v>
      </c>
      <c r="H1272" s="4" t="s">
        <v>135</v>
      </c>
      <c r="I1272" s="4" t="s">
        <v>33</v>
      </c>
      <c r="J1272" s="4" t="s">
        <v>27</v>
      </c>
      <c r="K1272" s="4" t="s">
        <v>28</v>
      </c>
      <c r="L1272" s="4" t="s">
        <v>28</v>
      </c>
      <c r="M1272" s="4" t="s">
        <v>34</v>
      </c>
      <c r="N1272" s="4" t="s">
        <v>28</v>
      </c>
    </row>
    <row r="1273" spans="1:14" ht="14.4" thickBot="1" x14ac:dyDescent="0.35">
      <c r="A1273" s="4" t="s">
        <v>19</v>
      </c>
      <c r="B1273" s="4" t="s">
        <v>545</v>
      </c>
      <c r="C1273" s="4" t="s">
        <v>1634</v>
      </c>
      <c r="D1273" s="4" t="s">
        <v>1635</v>
      </c>
      <c r="E1273" s="4" t="s">
        <v>48</v>
      </c>
      <c r="F1273" s="4" t="s">
        <v>3895</v>
      </c>
      <c r="G1273" s="4" t="s">
        <v>3896</v>
      </c>
      <c r="H1273" s="4" t="s">
        <v>69</v>
      </c>
      <c r="I1273" s="4" t="s">
        <v>94</v>
      </c>
      <c r="J1273" s="4" t="s">
        <v>28</v>
      </c>
      <c r="K1273" s="4" t="s">
        <v>27</v>
      </c>
      <c r="L1273" s="4" t="s">
        <v>28</v>
      </c>
      <c r="M1273" s="4" t="s">
        <v>34</v>
      </c>
      <c r="N1273" s="4" t="s">
        <v>28</v>
      </c>
    </row>
    <row r="1274" spans="1:14" ht="14.4" thickBot="1" x14ac:dyDescent="0.35">
      <c r="A1274" s="4" t="s">
        <v>19</v>
      </c>
      <c r="B1274" s="4" t="s">
        <v>545</v>
      </c>
      <c r="C1274" s="4" t="s">
        <v>1634</v>
      </c>
      <c r="D1274" s="4" t="s">
        <v>1635</v>
      </c>
      <c r="E1274" s="4" t="s">
        <v>48</v>
      </c>
      <c r="F1274" s="4" t="s">
        <v>4615</v>
      </c>
      <c r="G1274" s="4" t="s">
        <v>4616</v>
      </c>
      <c r="H1274" s="4" t="s">
        <v>37</v>
      </c>
      <c r="I1274" s="4" t="s">
        <v>38</v>
      </c>
      <c r="J1274" s="4" t="s">
        <v>28</v>
      </c>
      <c r="K1274" s="4" t="s">
        <v>28</v>
      </c>
      <c r="L1274" s="4" t="s">
        <v>27</v>
      </c>
      <c r="M1274" s="4" t="s">
        <v>34</v>
      </c>
      <c r="N1274" s="4" t="s">
        <v>28</v>
      </c>
    </row>
    <row r="1275" spans="1:14" ht="14.4" thickBot="1" x14ac:dyDescent="0.35">
      <c r="A1275" s="4" t="s">
        <v>19</v>
      </c>
      <c r="B1275" s="4" t="s">
        <v>545</v>
      </c>
      <c r="C1275" s="4" t="s">
        <v>1634</v>
      </c>
      <c r="D1275" s="4" t="s">
        <v>1635</v>
      </c>
      <c r="E1275" s="4" t="s">
        <v>48</v>
      </c>
      <c r="F1275" s="4" t="s">
        <v>4617</v>
      </c>
      <c r="G1275" s="4" t="s">
        <v>4618</v>
      </c>
      <c r="H1275" s="4" t="s">
        <v>26</v>
      </c>
      <c r="I1275" s="4" t="s">
        <v>26</v>
      </c>
      <c r="J1275" s="4" t="s">
        <v>27</v>
      </c>
      <c r="K1275" s="4" t="s">
        <v>28</v>
      </c>
      <c r="L1275" s="4" t="s">
        <v>28</v>
      </c>
      <c r="M1275" s="4" t="s">
        <v>34</v>
      </c>
      <c r="N1275" s="4" t="s">
        <v>28</v>
      </c>
    </row>
    <row r="1276" spans="1:14" ht="14.4" thickBot="1" x14ac:dyDescent="0.35">
      <c r="A1276" s="4" t="s">
        <v>19</v>
      </c>
      <c r="B1276" s="4" t="s">
        <v>545</v>
      </c>
      <c r="C1276" s="4" t="s">
        <v>1634</v>
      </c>
      <c r="D1276" s="4" t="s">
        <v>1635</v>
      </c>
      <c r="E1276" s="4" t="s">
        <v>48</v>
      </c>
      <c r="F1276" s="4" t="s">
        <v>6005</v>
      </c>
      <c r="G1276" s="4" t="s">
        <v>6006</v>
      </c>
      <c r="H1276" s="4" t="s">
        <v>135</v>
      </c>
      <c r="I1276" s="4" t="s">
        <v>33</v>
      </c>
      <c r="J1276" s="4" t="s">
        <v>27</v>
      </c>
      <c r="K1276" s="4" t="s">
        <v>28</v>
      </c>
      <c r="L1276" s="4" t="s">
        <v>28</v>
      </c>
      <c r="M1276" s="4" t="s">
        <v>34</v>
      </c>
      <c r="N1276" s="4" t="s">
        <v>28</v>
      </c>
    </row>
    <row r="1277" spans="1:14" ht="14.4" thickBot="1" x14ac:dyDescent="0.35">
      <c r="A1277" s="4" t="s">
        <v>19</v>
      </c>
      <c r="B1277" s="4" t="s">
        <v>545</v>
      </c>
      <c r="C1277" s="4" t="s">
        <v>546</v>
      </c>
      <c r="D1277" s="4" t="s">
        <v>547</v>
      </c>
      <c r="E1277" s="4" t="s">
        <v>48</v>
      </c>
      <c r="F1277" s="4" t="s">
        <v>548</v>
      </c>
      <c r="G1277" s="4" t="s">
        <v>549</v>
      </c>
      <c r="H1277" s="4" t="s">
        <v>37</v>
      </c>
      <c r="I1277" s="4" t="s">
        <v>38</v>
      </c>
      <c r="J1277" s="4" t="s">
        <v>28</v>
      </c>
      <c r="K1277" s="4" t="s">
        <v>28</v>
      </c>
      <c r="L1277" s="4" t="s">
        <v>27</v>
      </c>
      <c r="M1277" s="4" t="s">
        <v>34</v>
      </c>
      <c r="N1277" s="4" t="s">
        <v>28</v>
      </c>
    </row>
    <row r="1278" spans="1:14" ht="14.4" thickBot="1" x14ac:dyDescent="0.35">
      <c r="A1278" s="4" t="s">
        <v>19</v>
      </c>
      <c r="B1278" s="4" t="s">
        <v>545</v>
      </c>
      <c r="C1278" s="4" t="s">
        <v>546</v>
      </c>
      <c r="D1278" s="4" t="s">
        <v>547</v>
      </c>
      <c r="E1278" s="4" t="s">
        <v>48</v>
      </c>
      <c r="F1278" s="4" t="s">
        <v>1487</v>
      </c>
      <c r="G1278" s="4" t="s">
        <v>1488</v>
      </c>
      <c r="H1278" s="4" t="s">
        <v>69</v>
      </c>
      <c r="I1278" s="4" t="s">
        <v>94</v>
      </c>
      <c r="J1278" s="4" t="s">
        <v>28</v>
      </c>
      <c r="K1278" s="4" t="s">
        <v>27</v>
      </c>
      <c r="L1278" s="4" t="s">
        <v>28</v>
      </c>
      <c r="M1278" s="4" t="s">
        <v>34</v>
      </c>
      <c r="N1278" s="4" t="s">
        <v>28</v>
      </c>
    </row>
    <row r="1279" spans="1:14" ht="14.4" thickBot="1" x14ac:dyDescent="0.35">
      <c r="A1279" s="4" t="s">
        <v>19</v>
      </c>
      <c r="B1279" s="4" t="s">
        <v>545</v>
      </c>
      <c r="C1279" s="4" t="s">
        <v>546</v>
      </c>
      <c r="D1279" s="4" t="s">
        <v>547</v>
      </c>
      <c r="E1279" s="4" t="s">
        <v>48</v>
      </c>
      <c r="F1279" s="4" t="s">
        <v>2222</v>
      </c>
      <c r="G1279" s="4" t="s">
        <v>2223</v>
      </c>
      <c r="H1279" s="4" t="s">
        <v>26</v>
      </c>
      <c r="I1279" s="4" t="s">
        <v>33</v>
      </c>
      <c r="J1279" s="4" t="s">
        <v>27</v>
      </c>
      <c r="K1279" s="4" t="s">
        <v>28</v>
      </c>
      <c r="L1279" s="4" t="s">
        <v>28</v>
      </c>
      <c r="M1279" s="4" t="s">
        <v>34</v>
      </c>
      <c r="N1279" s="4" t="s">
        <v>28</v>
      </c>
    </row>
    <row r="1280" spans="1:14" ht="14.4" thickBot="1" x14ac:dyDescent="0.35">
      <c r="A1280" s="4" t="s">
        <v>19</v>
      </c>
      <c r="B1280" s="4" t="s">
        <v>545</v>
      </c>
      <c r="C1280" s="4" t="s">
        <v>2224</v>
      </c>
      <c r="D1280" s="4" t="s">
        <v>2225</v>
      </c>
      <c r="E1280" s="4" t="s">
        <v>48</v>
      </c>
      <c r="F1280" s="4" t="s">
        <v>2226</v>
      </c>
      <c r="G1280" s="4" t="s">
        <v>2227</v>
      </c>
      <c r="H1280" s="4" t="s">
        <v>37</v>
      </c>
      <c r="I1280" s="4" t="s">
        <v>38</v>
      </c>
      <c r="J1280" s="4" t="s">
        <v>28</v>
      </c>
      <c r="K1280" s="4" t="s">
        <v>28</v>
      </c>
      <c r="L1280" s="4" t="s">
        <v>27</v>
      </c>
      <c r="M1280" s="4" t="s">
        <v>34</v>
      </c>
      <c r="N1280" s="4" t="s">
        <v>28</v>
      </c>
    </row>
    <row r="1281" spans="1:14" ht="14.4" thickBot="1" x14ac:dyDescent="0.35">
      <c r="A1281" s="4" t="s">
        <v>19</v>
      </c>
      <c r="B1281" s="4" t="s">
        <v>545</v>
      </c>
      <c r="C1281" s="4" t="s">
        <v>2224</v>
      </c>
      <c r="D1281" s="4" t="s">
        <v>2225</v>
      </c>
      <c r="E1281" s="4" t="s">
        <v>48</v>
      </c>
      <c r="F1281" s="4" t="s">
        <v>2963</v>
      </c>
      <c r="G1281" s="4" t="s">
        <v>2964</v>
      </c>
      <c r="H1281" s="4" t="s">
        <v>69</v>
      </c>
      <c r="I1281" s="4" t="s">
        <v>94</v>
      </c>
      <c r="J1281" s="4" t="s">
        <v>28</v>
      </c>
      <c r="K1281" s="4" t="s">
        <v>27</v>
      </c>
      <c r="L1281" s="4" t="s">
        <v>28</v>
      </c>
      <c r="M1281" s="4" t="s">
        <v>34</v>
      </c>
      <c r="N1281" s="4" t="s">
        <v>28</v>
      </c>
    </row>
    <row r="1282" spans="1:14" ht="14.4" thickBot="1" x14ac:dyDescent="0.35">
      <c r="A1282" s="4" t="s">
        <v>19</v>
      </c>
      <c r="B1282" s="4" t="s">
        <v>545</v>
      </c>
      <c r="C1282" s="4" t="s">
        <v>2224</v>
      </c>
      <c r="D1282" s="4" t="s">
        <v>2225</v>
      </c>
      <c r="E1282" s="4" t="s">
        <v>48</v>
      </c>
      <c r="F1282" s="4" t="s">
        <v>2965</v>
      </c>
      <c r="G1282" s="4" t="s">
        <v>2966</v>
      </c>
      <c r="H1282" s="4" t="s">
        <v>26</v>
      </c>
      <c r="I1282" s="4" t="s">
        <v>33</v>
      </c>
      <c r="J1282" s="4" t="s">
        <v>27</v>
      </c>
      <c r="K1282" s="4" t="s">
        <v>28</v>
      </c>
      <c r="L1282" s="4" t="s">
        <v>28</v>
      </c>
      <c r="M1282" s="4" t="s">
        <v>34</v>
      </c>
      <c r="N1282" s="4" t="s">
        <v>28</v>
      </c>
    </row>
    <row r="1283" spans="1:14" ht="14.4" thickBot="1" x14ac:dyDescent="0.35">
      <c r="A1283" s="4" t="s">
        <v>19</v>
      </c>
      <c r="B1283" s="4" t="s">
        <v>545</v>
      </c>
      <c r="C1283" s="4" t="s">
        <v>2752</v>
      </c>
      <c r="D1283" s="4" t="s">
        <v>3754</v>
      </c>
      <c r="E1283" s="4" t="s">
        <v>48</v>
      </c>
      <c r="F1283" s="4" t="s">
        <v>3755</v>
      </c>
      <c r="G1283" s="4" t="s">
        <v>3756</v>
      </c>
      <c r="H1283" s="4" t="s">
        <v>26</v>
      </c>
      <c r="I1283" s="4" t="s">
        <v>38</v>
      </c>
      <c r="J1283" s="4" t="s">
        <v>28</v>
      </c>
      <c r="K1283" s="4" t="s">
        <v>28</v>
      </c>
      <c r="L1283" s="4" t="s">
        <v>27</v>
      </c>
      <c r="M1283" s="4" t="s">
        <v>29</v>
      </c>
      <c r="N1283" s="4" t="s">
        <v>28</v>
      </c>
    </row>
    <row r="1284" spans="1:14" ht="14.4" thickBot="1" x14ac:dyDescent="0.35">
      <c r="A1284" s="4" t="s">
        <v>19</v>
      </c>
      <c r="B1284" s="4" t="s">
        <v>545</v>
      </c>
      <c r="C1284" s="4" t="s">
        <v>2752</v>
      </c>
      <c r="D1284" s="4" t="s">
        <v>3754</v>
      </c>
      <c r="E1284" s="4" t="s">
        <v>48</v>
      </c>
      <c r="F1284" s="4" t="s">
        <v>5172</v>
      </c>
      <c r="G1284" s="4" t="s">
        <v>5173</v>
      </c>
      <c r="H1284" s="4" t="s">
        <v>69</v>
      </c>
      <c r="I1284" s="4" t="s">
        <v>38</v>
      </c>
      <c r="J1284" s="4" t="s">
        <v>28</v>
      </c>
      <c r="K1284" s="4" t="s">
        <v>28</v>
      </c>
      <c r="L1284" s="4" t="s">
        <v>27</v>
      </c>
      <c r="M1284" s="4" t="s">
        <v>34</v>
      </c>
      <c r="N1284" s="4" t="s">
        <v>28</v>
      </c>
    </row>
    <row r="1285" spans="1:14" ht="14.4" thickBot="1" x14ac:dyDescent="0.35">
      <c r="A1285" s="4" t="s">
        <v>19</v>
      </c>
      <c r="B1285" s="4" t="s">
        <v>545</v>
      </c>
      <c r="C1285" s="4" t="s">
        <v>2752</v>
      </c>
      <c r="D1285" s="4" t="s">
        <v>3754</v>
      </c>
      <c r="E1285" s="4" t="s">
        <v>48</v>
      </c>
      <c r="F1285" s="4" t="s">
        <v>5174</v>
      </c>
      <c r="G1285" s="4" t="s">
        <v>5175</v>
      </c>
      <c r="H1285" s="4" t="s">
        <v>26</v>
      </c>
      <c r="I1285" s="4" t="s">
        <v>33</v>
      </c>
      <c r="J1285" s="4" t="s">
        <v>27</v>
      </c>
      <c r="K1285" s="4" t="s">
        <v>28</v>
      </c>
      <c r="L1285" s="4" t="s">
        <v>28</v>
      </c>
      <c r="M1285" s="4" t="s">
        <v>34</v>
      </c>
      <c r="N1285" s="4" t="s">
        <v>28</v>
      </c>
    </row>
    <row r="1286" spans="1:14" ht="14.4" thickBot="1" x14ac:dyDescent="0.35">
      <c r="A1286" s="4" t="s">
        <v>19</v>
      </c>
      <c r="B1286" s="4" t="s">
        <v>545</v>
      </c>
      <c r="C1286" s="4" t="s">
        <v>550</v>
      </c>
      <c r="D1286" s="4" t="s">
        <v>551</v>
      </c>
      <c r="E1286" s="4" t="s">
        <v>48</v>
      </c>
      <c r="F1286" s="4" t="s">
        <v>552</v>
      </c>
      <c r="G1286" s="4" t="s">
        <v>553</v>
      </c>
      <c r="H1286" s="4" t="s">
        <v>26</v>
      </c>
      <c r="I1286" s="4" t="s">
        <v>33</v>
      </c>
      <c r="J1286" s="4" t="s">
        <v>27</v>
      </c>
      <c r="K1286" s="4" t="s">
        <v>28</v>
      </c>
      <c r="L1286" s="4" t="s">
        <v>28</v>
      </c>
      <c r="M1286" s="4" t="s">
        <v>34</v>
      </c>
      <c r="N1286" s="4" t="s">
        <v>28</v>
      </c>
    </row>
    <row r="1287" spans="1:14" ht="14.4" thickBot="1" x14ac:dyDescent="0.35">
      <c r="A1287" s="4" t="s">
        <v>19</v>
      </c>
      <c r="B1287" s="4" t="s">
        <v>545</v>
      </c>
      <c r="C1287" s="4" t="s">
        <v>550</v>
      </c>
      <c r="D1287" s="4" t="s">
        <v>551</v>
      </c>
      <c r="E1287" s="4" t="s">
        <v>48</v>
      </c>
      <c r="F1287" s="4" t="s">
        <v>3708</v>
      </c>
      <c r="G1287" s="4" t="s">
        <v>3709</v>
      </c>
      <c r="H1287" s="4" t="s">
        <v>69</v>
      </c>
      <c r="I1287" s="4" t="s">
        <v>38</v>
      </c>
      <c r="J1287" s="4" t="s">
        <v>28</v>
      </c>
      <c r="K1287" s="4" t="s">
        <v>28</v>
      </c>
      <c r="L1287" s="4" t="s">
        <v>27</v>
      </c>
      <c r="M1287" s="4" t="s">
        <v>34</v>
      </c>
      <c r="N1287" s="4" t="s">
        <v>28</v>
      </c>
    </row>
    <row r="1288" spans="1:14" ht="14.4" thickBot="1" x14ac:dyDescent="0.35">
      <c r="A1288" s="4" t="s">
        <v>19</v>
      </c>
      <c r="B1288" s="4" t="s">
        <v>505</v>
      </c>
      <c r="C1288" s="4" t="s">
        <v>1552</v>
      </c>
      <c r="D1288" s="4" t="s">
        <v>1553</v>
      </c>
      <c r="E1288" s="4" t="s">
        <v>48</v>
      </c>
      <c r="F1288" s="4" t="s">
        <v>1554</v>
      </c>
      <c r="G1288" s="4" t="s">
        <v>1555</v>
      </c>
      <c r="H1288" s="4" t="s">
        <v>69</v>
      </c>
      <c r="I1288" s="4" t="s">
        <v>38</v>
      </c>
      <c r="J1288" s="4" t="s">
        <v>28</v>
      </c>
      <c r="K1288" s="4" t="s">
        <v>28</v>
      </c>
      <c r="L1288" s="4" t="s">
        <v>27</v>
      </c>
      <c r="M1288" s="4" t="s">
        <v>34</v>
      </c>
      <c r="N1288" s="4" t="s">
        <v>28</v>
      </c>
    </row>
    <row r="1289" spans="1:14" ht="14.4" thickBot="1" x14ac:dyDescent="0.35">
      <c r="A1289" s="4" t="s">
        <v>19</v>
      </c>
      <c r="B1289" s="4" t="s">
        <v>505</v>
      </c>
      <c r="C1289" s="4" t="s">
        <v>1552</v>
      </c>
      <c r="D1289" s="4" t="s">
        <v>1553</v>
      </c>
      <c r="E1289" s="4" t="s">
        <v>48</v>
      </c>
      <c r="F1289" s="4" t="s">
        <v>3757</v>
      </c>
      <c r="G1289" s="4" t="s">
        <v>3758</v>
      </c>
      <c r="H1289" s="4" t="s">
        <v>26</v>
      </c>
      <c r="I1289" s="4" t="s">
        <v>33</v>
      </c>
      <c r="J1289" s="4" t="s">
        <v>27</v>
      </c>
      <c r="K1289" s="4" t="s">
        <v>28</v>
      </c>
      <c r="L1289" s="4" t="s">
        <v>28</v>
      </c>
      <c r="M1289" s="4" t="s">
        <v>34</v>
      </c>
      <c r="N1289" s="4" t="s">
        <v>28</v>
      </c>
    </row>
    <row r="1290" spans="1:14" ht="14.4" thickBot="1" x14ac:dyDescent="0.35">
      <c r="A1290" s="4" t="s">
        <v>19</v>
      </c>
      <c r="B1290" s="4" t="s">
        <v>505</v>
      </c>
      <c r="C1290" s="4" t="s">
        <v>797</v>
      </c>
      <c r="D1290" s="4" t="s">
        <v>798</v>
      </c>
      <c r="E1290" s="4" t="s">
        <v>87</v>
      </c>
      <c r="F1290" s="4" t="s">
        <v>799</v>
      </c>
      <c r="G1290" s="4" t="s">
        <v>800</v>
      </c>
      <c r="H1290" s="4" t="s">
        <v>37</v>
      </c>
      <c r="I1290" s="4" t="s">
        <v>38</v>
      </c>
      <c r="J1290" s="4" t="s">
        <v>28</v>
      </c>
      <c r="K1290" s="4" t="s">
        <v>28</v>
      </c>
      <c r="L1290" s="4" t="s">
        <v>27</v>
      </c>
      <c r="M1290" s="4" t="s">
        <v>34</v>
      </c>
      <c r="N1290" s="4" t="s">
        <v>27</v>
      </c>
    </row>
    <row r="1291" spans="1:14" ht="14.4" thickBot="1" x14ac:dyDescent="0.35">
      <c r="A1291" s="4" t="s">
        <v>19</v>
      </c>
      <c r="B1291" s="4" t="s">
        <v>505</v>
      </c>
      <c r="C1291" s="4" t="s">
        <v>797</v>
      </c>
      <c r="D1291" s="4" t="s">
        <v>798</v>
      </c>
      <c r="E1291" s="4" t="s">
        <v>87</v>
      </c>
      <c r="F1291" s="4" t="s">
        <v>801</v>
      </c>
      <c r="G1291" s="4" t="s">
        <v>802</v>
      </c>
      <c r="H1291" s="4" t="s">
        <v>116</v>
      </c>
      <c r="I1291" s="4" t="s">
        <v>122</v>
      </c>
      <c r="J1291" s="4" t="s">
        <v>27</v>
      </c>
      <c r="K1291" s="4" t="s">
        <v>28</v>
      </c>
      <c r="L1291" s="4" t="s">
        <v>28</v>
      </c>
      <c r="M1291" s="4" t="s">
        <v>34</v>
      </c>
      <c r="N1291" s="4" t="s">
        <v>28</v>
      </c>
    </row>
    <row r="1292" spans="1:14" ht="14.4" thickBot="1" x14ac:dyDescent="0.35">
      <c r="A1292" s="4" t="s">
        <v>19</v>
      </c>
      <c r="B1292" s="4" t="s">
        <v>505</v>
      </c>
      <c r="C1292" s="4" t="s">
        <v>797</v>
      </c>
      <c r="D1292" s="4" t="s">
        <v>798</v>
      </c>
      <c r="E1292" s="4" t="s">
        <v>87</v>
      </c>
      <c r="F1292" s="4" t="s">
        <v>803</v>
      </c>
      <c r="G1292" s="4" t="s">
        <v>804</v>
      </c>
      <c r="H1292" s="4" t="s">
        <v>26</v>
      </c>
      <c r="I1292" s="4" t="s">
        <v>33</v>
      </c>
      <c r="J1292" s="4" t="s">
        <v>27</v>
      </c>
      <c r="K1292" s="4" t="s">
        <v>28</v>
      </c>
      <c r="L1292" s="4" t="s">
        <v>28</v>
      </c>
      <c r="M1292" s="4" t="s">
        <v>34</v>
      </c>
      <c r="N1292" s="4" t="s">
        <v>28</v>
      </c>
    </row>
    <row r="1293" spans="1:14" ht="14.4" thickBot="1" x14ac:dyDescent="0.35">
      <c r="A1293" s="4" t="s">
        <v>19</v>
      </c>
      <c r="B1293" s="4" t="s">
        <v>505</v>
      </c>
      <c r="C1293" s="4" t="s">
        <v>797</v>
      </c>
      <c r="D1293" s="4" t="s">
        <v>798</v>
      </c>
      <c r="E1293" s="4" t="s">
        <v>87</v>
      </c>
      <c r="F1293" s="4" t="s">
        <v>958</v>
      </c>
      <c r="G1293" s="4" t="s">
        <v>959</v>
      </c>
      <c r="H1293" s="4" t="s">
        <v>26</v>
      </c>
      <c r="I1293" s="4" t="s">
        <v>26</v>
      </c>
      <c r="J1293" s="4" t="s">
        <v>27</v>
      </c>
      <c r="K1293" s="4" t="s">
        <v>28</v>
      </c>
      <c r="L1293" s="4" t="s">
        <v>28</v>
      </c>
      <c r="M1293" s="4" t="s">
        <v>130</v>
      </c>
      <c r="N1293" s="4" t="s">
        <v>28</v>
      </c>
    </row>
    <row r="1294" spans="1:14" ht="14.4" thickBot="1" x14ac:dyDescent="0.35">
      <c r="A1294" s="4" t="s">
        <v>19</v>
      </c>
      <c r="B1294" s="4" t="s">
        <v>505</v>
      </c>
      <c r="C1294" s="4" t="s">
        <v>797</v>
      </c>
      <c r="D1294" s="4" t="s">
        <v>798</v>
      </c>
      <c r="E1294" s="4" t="s">
        <v>87</v>
      </c>
      <c r="F1294" s="4" t="s">
        <v>1688</v>
      </c>
      <c r="G1294" s="4" t="s">
        <v>1689</v>
      </c>
      <c r="H1294" s="4" t="s">
        <v>135</v>
      </c>
      <c r="I1294" s="4" t="s">
        <v>33</v>
      </c>
      <c r="J1294" s="4" t="s">
        <v>27</v>
      </c>
      <c r="K1294" s="4" t="s">
        <v>28</v>
      </c>
      <c r="L1294" s="4" t="s">
        <v>28</v>
      </c>
      <c r="M1294" s="4" t="s">
        <v>34</v>
      </c>
      <c r="N1294" s="4" t="s">
        <v>27</v>
      </c>
    </row>
    <row r="1295" spans="1:14" ht="14.4" thickBot="1" x14ac:dyDescent="0.35">
      <c r="A1295" s="4" t="s">
        <v>19</v>
      </c>
      <c r="B1295" s="4" t="s">
        <v>505</v>
      </c>
      <c r="C1295" s="4" t="s">
        <v>797</v>
      </c>
      <c r="D1295" s="4" t="s">
        <v>798</v>
      </c>
      <c r="E1295" s="4" t="s">
        <v>87</v>
      </c>
      <c r="F1295" s="4" t="s">
        <v>1690</v>
      </c>
      <c r="G1295" s="4" t="s">
        <v>1691</v>
      </c>
      <c r="H1295" s="4" t="s">
        <v>135</v>
      </c>
      <c r="I1295" s="4" t="s">
        <v>38</v>
      </c>
      <c r="J1295" s="4" t="s">
        <v>28</v>
      </c>
      <c r="K1295" s="4" t="s">
        <v>28</v>
      </c>
      <c r="L1295" s="4" t="s">
        <v>27</v>
      </c>
      <c r="M1295" s="4" t="s">
        <v>34</v>
      </c>
      <c r="N1295" s="4" t="s">
        <v>28</v>
      </c>
    </row>
    <row r="1296" spans="1:14" ht="14.4" thickBot="1" x14ac:dyDescent="0.35">
      <c r="A1296" s="4" t="s">
        <v>19</v>
      </c>
      <c r="B1296" s="4" t="s">
        <v>505</v>
      </c>
      <c r="C1296" s="4" t="s">
        <v>797</v>
      </c>
      <c r="D1296" s="4" t="s">
        <v>798</v>
      </c>
      <c r="E1296" s="4" t="s">
        <v>87</v>
      </c>
      <c r="F1296" s="4" t="s">
        <v>1692</v>
      </c>
      <c r="G1296" s="4" t="s">
        <v>1693</v>
      </c>
      <c r="H1296" s="4" t="s">
        <v>37</v>
      </c>
      <c r="I1296" s="4" t="s">
        <v>38</v>
      </c>
      <c r="J1296" s="4" t="s">
        <v>28</v>
      </c>
      <c r="K1296" s="4" t="s">
        <v>28</v>
      </c>
      <c r="L1296" s="4" t="s">
        <v>27</v>
      </c>
      <c r="M1296" s="4" t="s">
        <v>34</v>
      </c>
      <c r="N1296" s="4" t="s">
        <v>27</v>
      </c>
    </row>
    <row r="1297" spans="1:14" ht="14.4" thickBot="1" x14ac:dyDescent="0.35">
      <c r="A1297" s="4" t="s">
        <v>19</v>
      </c>
      <c r="B1297" s="4" t="s">
        <v>505</v>
      </c>
      <c r="C1297" s="4" t="s">
        <v>797</v>
      </c>
      <c r="D1297" s="4" t="s">
        <v>798</v>
      </c>
      <c r="E1297" s="4" t="s">
        <v>87</v>
      </c>
      <c r="F1297" s="4" t="s">
        <v>1694</v>
      </c>
      <c r="G1297" s="4" t="s">
        <v>1695</v>
      </c>
      <c r="H1297" s="4" t="s">
        <v>26</v>
      </c>
      <c r="I1297" s="4" t="s">
        <v>33</v>
      </c>
      <c r="J1297" s="4" t="s">
        <v>27</v>
      </c>
      <c r="K1297" s="4" t="s">
        <v>28</v>
      </c>
      <c r="L1297" s="4" t="s">
        <v>28</v>
      </c>
      <c r="M1297" s="4" t="s">
        <v>34</v>
      </c>
      <c r="N1297" s="4" t="s">
        <v>28</v>
      </c>
    </row>
    <row r="1298" spans="1:14" ht="14.4" thickBot="1" x14ac:dyDescent="0.35">
      <c r="A1298" s="4" t="s">
        <v>19</v>
      </c>
      <c r="B1298" s="4" t="s">
        <v>505</v>
      </c>
      <c r="C1298" s="4" t="s">
        <v>797</v>
      </c>
      <c r="D1298" s="4" t="s">
        <v>798</v>
      </c>
      <c r="E1298" s="4" t="s">
        <v>87</v>
      </c>
      <c r="F1298" s="4" t="s">
        <v>1696</v>
      </c>
      <c r="G1298" s="4" t="s">
        <v>1697</v>
      </c>
      <c r="H1298" s="4" t="s">
        <v>69</v>
      </c>
      <c r="I1298" s="4" t="s">
        <v>94</v>
      </c>
      <c r="J1298" s="4" t="s">
        <v>28</v>
      </c>
      <c r="K1298" s="4" t="s">
        <v>27</v>
      </c>
      <c r="L1298" s="4" t="s">
        <v>28</v>
      </c>
      <c r="M1298" s="4" t="s">
        <v>34</v>
      </c>
      <c r="N1298" s="4" t="s">
        <v>27</v>
      </c>
    </row>
    <row r="1299" spans="1:14" ht="14.4" thickBot="1" x14ac:dyDescent="0.35">
      <c r="A1299" s="4" t="s">
        <v>19</v>
      </c>
      <c r="B1299" s="4" t="s">
        <v>505</v>
      </c>
      <c r="C1299" s="4" t="s">
        <v>797</v>
      </c>
      <c r="D1299" s="4" t="s">
        <v>798</v>
      </c>
      <c r="E1299" s="4" t="s">
        <v>87</v>
      </c>
      <c r="F1299" s="4" t="s">
        <v>1838</v>
      </c>
      <c r="G1299" s="4" t="s">
        <v>1839</v>
      </c>
      <c r="H1299" s="4" t="s">
        <v>135</v>
      </c>
      <c r="I1299" s="4" t="s">
        <v>94</v>
      </c>
      <c r="J1299" s="4" t="s">
        <v>27</v>
      </c>
      <c r="K1299" s="4" t="s">
        <v>28</v>
      </c>
      <c r="L1299" s="4" t="s">
        <v>28</v>
      </c>
      <c r="M1299" s="4" t="s">
        <v>29</v>
      </c>
      <c r="N1299" s="4" t="s">
        <v>28</v>
      </c>
    </row>
    <row r="1300" spans="1:14" ht="14.4" thickBot="1" x14ac:dyDescent="0.35">
      <c r="A1300" s="4" t="s">
        <v>19</v>
      </c>
      <c r="B1300" s="4" t="s">
        <v>505</v>
      </c>
      <c r="C1300" s="4" t="s">
        <v>797</v>
      </c>
      <c r="D1300" s="4" t="s">
        <v>798</v>
      </c>
      <c r="E1300" s="4" t="s">
        <v>87</v>
      </c>
      <c r="F1300" s="4" t="s">
        <v>1840</v>
      </c>
      <c r="G1300" s="4" t="s">
        <v>1841</v>
      </c>
      <c r="H1300" s="4" t="s">
        <v>26</v>
      </c>
      <c r="I1300" s="4" t="s">
        <v>26</v>
      </c>
      <c r="J1300" s="4" t="s">
        <v>27</v>
      </c>
      <c r="K1300" s="4" t="s">
        <v>28</v>
      </c>
      <c r="L1300" s="4" t="s">
        <v>28</v>
      </c>
      <c r="M1300" s="4" t="s">
        <v>130</v>
      </c>
      <c r="N1300" s="4" t="s">
        <v>28</v>
      </c>
    </row>
    <row r="1301" spans="1:14" ht="14.4" thickBot="1" x14ac:dyDescent="0.35">
      <c r="A1301" s="4" t="s">
        <v>19</v>
      </c>
      <c r="B1301" s="4" t="s">
        <v>505</v>
      </c>
      <c r="C1301" s="4" t="s">
        <v>797</v>
      </c>
      <c r="D1301" s="4" t="s">
        <v>798</v>
      </c>
      <c r="E1301" s="4" t="s">
        <v>87</v>
      </c>
      <c r="F1301" s="4" t="s">
        <v>1842</v>
      </c>
      <c r="G1301" s="4" t="s">
        <v>1843</v>
      </c>
      <c r="H1301" s="4" t="s">
        <v>26</v>
      </c>
      <c r="I1301" s="4" t="s">
        <v>26</v>
      </c>
      <c r="J1301" s="4" t="s">
        <v>27</v>
      </c>
      <c r="K1301" s="4" t="s">
        <v>28</v>
      </c>
      <c r="L1301" s="4" t="s">
        <v>28</v>
      </c>
      <c r="M1301" s="4" t="s">
        <v>130</v>
      </c>
      <c r="N1301" s="4" t="s">
        <v>28</v>
      </c>
    </row>
    <row r="1302" spans="1:14" ht="14.4" thickBot="1" x14ac:dyDescent="0.35">
      <c r="A1302" s="4" t="s">
        <v>19</v>
      </c>
      <c r="B1302" s="4" t="s">
        <v>505</v>
      </c>
      <c r="C1302" s="4" t="s">
        <v>797</v>
      </c>
      <c r="D1302" s="4" t="s">
        <v>798</v>
      </c>
      <c r="E1302" s="4" t="s">
        <v>87</v>
      </c>
      <c r="F1302" s="4" t="s">
        <v>1844</v>
      </c>
      <c r="G1302" s="4" t="s">
        <v>1845</v>
      </c>
      <c r="H1302" s="4" t="s">
        <v>26</v>
      </c>
      <c r="I1302" s="4" t="s">
        <v>26</v>
      </c>
      <c r="J1302" s="4" t="s">
        <v>27</v>
      </c>
      <c r="K1302" s="4" t="s">
        <v>28</v>
      </c>
      <c r="L1302" s="4" t="s">
        <v>28</v>
      </c>
      <c r="M1302" s="4" t="s">
        <v>130</v>
      </c>
      <c r="N1302" s="4" t="s">
        <v>28</v>
      </c>
    </row>
    <row r="1303" spans="1:14" ht="14.4" thickBot="1" x14ac:dyDescent="0.35">
      <c r="A1303" s="4" t="s">
        <v>19</v>
      </c>
      <c r="B1303" s="4" t="s">
        <v>505</v>
      </c>
      <c r="C1303" s="4" t="s">
        <v>797</v>
      </c>
      <c r="D1303" s="4" t="s">
        <v>798</v>
      </c>
      <c r="E1303" s="4" t="s">
        <v>87</v>
      </c>
      <c r="F1303" s="4" t="s">
        <v>1846</v>
      </c>
      <c r="G1303" s="4" t="s">
        <v>625</v>
      </c>
      <c r="H1303" s="4" t="s">
        <v>26</v>
      </c>
      <c r="I1303" s="4" t="s">
        <v>26</v>
      </c>
      <c r="J1303" s="5"/>
      <c r="K1303" s="5"/>
      <c r="L1303" s="5"/>
      <c r="M1303" s="4" t="s">
        <v>130</v>
      </c>
      <c r="N1303" s="5"/>
    </row>
    <row r="1304" spans="1:14" ht="14.4" thickBot="1" x14ac:dyDescent="0.35">
      <c r="A1304" s="4" t="s">
        <v>19</v>
      </c>
      <c r="B1304" s="4" t="s">
        <v>505</v>
      </c>
      <c r="C1304" s="4" t="s">
        <v>797</v>
      </c>
      <c r="D1304" s="4" t="s">
        <v>798</v>
      </c>
      <c r="E1304" s="4" t="s">
        <v>87</v>
      </c>
      <c r="F1304" s="4" t="s">
        <v>2392</v>
      </c>
      <c r="G1304" s="4" t="s">
        <v>2393</v>
      </c>
      <c r="H1304" s="4" t="s">
        <v>26</v>
      </c>
      <c r="I1304" s="4" t="s">
        <v>33</v>
      </c>
      <c r="J1304" s="4" t="s">
        <v>27</v>
      </c>
      <c r="K1304" s="4" t="s">
        <v>28</v>
      </c>
      <c r="L1304" s="4" t="s">
        <v>28</v>
      </c>
      <c r="M1304" s="4" t="s">
        <v>34</v>
      </c>
      <c r="N1304" s="4" t="s">
        <v>28</v>
      </c>
    </row>
    <row r="1305" spans="1:14" ht="14.4" thickBot="1" x14ac:dyDescent="0.35">
      <c r="A1305" s="4" t="s">
        <v>19</v>
      </c>
      <c r="B1305" s="4" t="s">
        <v>505</v>
      </c>
      <c r="C1305" s="4" t="s">
        <v>797</v>
      </c>
      <c r="D1305" s="4" t="s">
        <v>798</v>
      </c>
      <c r="E1305" s="4" t="s">
        <v>87</v>
      </c>
      <c r="F1305" s="4" t="s">
        <v>2486</v>
      </c>
      <c r="G1305" s="4" t="s">
        <v>2487</v>
      </c>
      <c r="H1305" s="4" t="s">
        <v>26</v>
      </c>
      <c r="I1305" s="4" t="s">
        <v>26</v>
      </c>
      <c r="J1305" s="4" t="s">
        <v>27</v>
      </c>
      <c r="K1305" s="4" t="s">
        <v>28</v>
      </c>
      <c r="L1305" s="4" t="s">
        <v>28</v>
      </c>
      <c r="M1305" s="4" t="s">
        <v>130</v>
      </c>
      <c r="N1305" s="4" t="s">
        <v>28</v>
      </c>
    </row>
    <row r="1306" spans="1:14" ht="14.4" thickBot="1" x14ac:dyDescent="0.35">
      <c r="A1306" s="4" t="s">
        <v>19</v>
      </c>
      <c r="B1306" s="4" t="s">
        <v>505</v>
      </c>
      <c r="C1306" s="4" t="s">
        <v>797</v>
      </c>
      <c r="D1306" s="4" t="s">
        <v>798</v>
      </c>
      <c r="E1306" s="4" t="s">
        <v>87</v>
      </c>
      <c r="F1306" s="4" t="s">
        <v>2488</v>
      </c>
      <c r="G1306" s="4" t="s">
        <v>2489</v>
      </c>
      <c r="H1306" s="4" t="s">
        <v>26</v>
      </c>
      <c r="I1306" s="4" t="s">
        <v>26</v>
      </c>
      <c r="J1306" s="4" t="s">
        <v>27</v>
      </c>
      <c r="K1306" s="4" t="s">
        <v>28</v>
      </c>
      <c r="L1306" s="4" t="s">
        <v>28</v>
      </c>
      <c r="M1306" s="4" t="s">
        <v>130</v>
      </c>
      <c r="N1306" s="4" t="s">
        <v>28</v>
      </c>
    </row>
    <row r="1307" spans="1:14" ht="14.4" thickBot="1" x14ac:dyDescent="0.35">
      <c r="A1307" s="4" t="s">
        <v>19</v>
      </c>
      <c r="B1307" s="4" t="s">
        <v>505</v>
      </c>
      <c r="C1307" s="4" t="s">
        <v>797</v>
      </c>
      <c r="D1307" s="4" t="s">
        <v>798</v>
      </c>
      <c r="E1307" s="4" t="s">
        <v>87</v>
      </c>
      <c r="F1307" s="4" t="s">
        <v>3151</v>
      </c>
      <c r="G1307" s="4" t="s">
        <v>3152</v>
      </c>
      <c r="H1307" s="4" t="s">
        <v>69</v>
      </c>
      <c r="I1307" s="4" t="s">
        <v>94</v>
      </c>
      <c r="J1307" s="4" t="s">
        <v>28</v>
      </c>
      <c r="K1307" s="4" t="s">
        <v>27</v>
      </c>
      <c r="L1307" s="4" t="s">
        <v>28</v>
      </c>
      <c r="M1307" s="4" t="s">
        <v>34</v>
      </c>
      <c r="N1307" s="4" t="s">
        <v>28</v>
      </c>
    </row>
    <row r="1308" spans="1:14" ht="14.4" thickBot="1" x14ac:dyDescent="0.35">
      <c r="A1308" s="4" t="s">
        <v>19</v>
      </c>
      <c r="B1308" s="4" t="s">
        <v>505</v>
      </c>
      <c r="C1308" s="4" t="s">
        <v>797</v>
      </c>
      <c r="D1308" s="4" t="s">
        <v>798</v>
      </c>
      <c r="E1308" s="4" t="s">
        <v>87</v>
      </c>
      <c r="F1308" s="4" t="s">
        <v>3153</v>
      </c>
      <c r="G1308" s="4" t="s">
        <v>3154</v>
      </c>
      <c r="H1308" s="4" t="s">
        <v>26</v>
      </c>
      <c r="I1308" s="4" t="s">
        <v>33</v>
      </c>
      <c r="J1308" s="4" t="s">
        <v>27</v>
      </c>
      <c r="K1308" s="4" t="s">
        <v>28</v>
      </c>
      <c r="L1308" s="4" t="s">
        <v>28</v>
      </c>
      <c r="M1308" s="4" t="s">
        <v>34</v>
      </c>
      <c r="N1308" s="4" t="s">
        <v>28</v>
      </c>
    </row>
    <row r="1309" spans="1:14" ht="14.4" thickBot="1" x14ac:dyDescent="0.35">
      <c r="A1309" s="4" t="s">
        <v>19</v>
      </c>
      <c r="B1309" s="4" t="s">
        <v>505</v>
      </c>
      <c r="C1309" s="4" t="s">
        <v>797</v>
      </c>
      <c r="D1309" s="4" t="s">
        <v>798</v>
      </c>
      <c r="E1309" s="4" t="s">
        <v>87</v>
      </c>
      <c r="F1309" s="4" t="s">
        <v>3256</v>
      </c>
      <c r="G1309" s="4" t="s">
        <v>3257</v>
      </c>
      <c r="H1309" s="4" t="s">
        <v>26</v>
      </c>
      <c r="I1309" s="4" t="s">
        <v>26</v>
      </c>
      <c r="J1309" s="4" t="s">
        <v>27</v>
      </c>
      <c r="K1309" s="4" t="s">
        <v>28</v>
      </c>
      <c r="L1309" s="4" t="s">
        <v>28</v>
      </c>
      <c r="M1309" s="4" t="s">
        <v>130</v>
      </c>
      <c r="N1309" s="4" t="s">
        <v>28</v>
      </c>
    </row>
    <row r="1310" spans="1:14" ht="14.4" thickBot="1" x14ac:dyDescent="0.35">
      <c r="A1310" s="4" t="s">
        <v>19</v>
      </c>
      <c r="B1310" s="4" t="s">
        <v>505</v>
      </c>
      <c r="C1310" s="4" t="s">
        <v>797</v>
      </c>
      <c r="D1310" s="4" t="s">
        <v>798</v>
      </c>
      <c r="E1310" s="4" t="s">
        <v>87</v>
      </c>
      <c r="F1310" s="4" t="s">
        <v>3258</v>
      </c>
      <c r="G1310" s="4" t="s">
        <v>3259</v>
      </c>
      <c r="H1310" s="4" t="s">
        <v>26</v>
      </c>
      <c r="I1310" s="4" t="s">
        <v>26</v>
      </c>
      <c r="J1310" s="4" t="s">
        <v>27</v>
      </c>
      <c r="K1310" s="4" t="s">
        <v>28</v>
      </c>
      <c r="L1310" s="4" t="s">
        <v>28</v>
      </c>
      <c r="M1310" s="4" t="s">
        <v>130</v>
      </c>
      <c r="N1310" s="4" t="s">
        <v>28</v>
      </c>
    </row>
    <row r="1311" spans="1:14" ht="14.4" thickBot="1" x14ac:dyDescent="0.35">
      <c r="A1311" s="4" t="s">
        <v>19</v>
      </c>
      <c r="B1311" s="4" t="s">
        <v>505</v>
      </c>
      <c r="C1311" s="4" t="s">
        <v>797</v>
      </c>
      <c r="D1311" s="4" t="s">
        <v>798</v>
      </c>
      <c r="E1311" s="4" t="s">
        <v>87</v>
      </c>
      <c r="F1311" s="4" t="s">
        <v>3956</v>
      </c>
      <c r="G1311" s="4" t="s">
        <v>3957</v>
      </c>
      <c r="H1311" s="4" t="s">
        <v>26</v>
      </c>
      <c r="I1311" s="4" t="s">
        <v>33</v>
      </c>
      <c r="J1311" s="4" t="s">
        <v>27</v>
      </c>
      <c r="K1311" s="4" t="s">
        <v>28</v>
      </c>
      <c r="L1311" s="4" t="s">
        <v>28</v>
      </c>
      <c r="M1311" s="4" t="s">
        <v>34</v>
      </c>
      <c r="N1311" s="4" t="s">
        <v>28</v>
      </c>
    </row>
    <row r="1312" spans="1:14" ht="14.4" thickBot="1" x14ac:dyDescent="0.35">
      <c r="A1312" s="4" t="s">
        <v>19</v>
      </c>
      <c r="B1312" s="4" t="s">
        <v>505</v>
      </c>
      <c r="C1312" s="4" t="s">
        <v>797</v>
      </c>
      <c r="D1312" s="4" t="s">
        <v>798</v>
      </c>
      <c r="E1312" s="4" t="s">
        <v>87</v>
      </c>
      <c r="F1312" s="4" t="s">
        <v>3958</v>
      </c>
      <c r="G1312" s="4" t="s">
        <v>3959</v>
      </c>
      <c r="H1312" s="4" t="s">
        <v>37</v>
      </c>
      <c r="I1312" s="4" t="s">
        <v>38</v>
      </c>
      <c r="J1312" s="4" t="s">
        <v>28</v>
      </c>
      <c r="K1312" s="4" t="s">
        <v>28</v>
      </c>
      <c r="L1312" s="4" t="s">
        <v>27</v>
      </c>
      <c r="M1312" s="4" t="s">
        <v>34</v>
      </c>
      <c r="N1312" s="4" t="s">
        <v>28</v>
      </c>
    </row>
    <row r="1313" spans="1:14" ht="14.4" thickBot="1" x14ac:dyDescent="0.35">
      <c r="A1313" s="4" t="s">
        <v>19</v>
      </c>
      <c r="B1313" s="4" t="s">
        <v>505</v>
      </c>
      <c r="C1313" s="4" t="s">
        <v>797</v>
      </c>
      <c r="D1313" s="4" t="s">
        <v>798</v>
      </c>
      <c r="E1313" s="4" t="s">
        <v>87</v>
      </c>
      <c r="F1313" s="4" t="s">
        <v>3960</v>
      </c>
      <c r="G1313" s="4" t="s">
        <v>3961</v>
      </c>
      <c r="H1313" s="4" t="s">
        <v>26</v>
      </c>
      <c r="I1313" s="4" t="s">
        <v>33</v>
      </c>
      <c r="J1313" s="4" t="s">
        <v>27</v>
      </c>
      <c r="K1313" s="4" t="s">
        <v>28</v>
      </c>
      <c r="L1313" s="4" t="s">
        <v>28</v>
      </c>
      <c r="M1313" s="4" t="s">
        <v>34</v>
      </c>
      <c r="N1313" s="4" t="s">
        <v>28</v>
      </c>
    </row>
    <row r="1314" spans="1:14" ht="14.4" thickBot="1" x14ac:dyDescent="0.35">
      <c r="A1314" s="4" t="s">
        <v>19</v>
      </c>
      <c r="B1314" s="4" t="s">
        <v>505</v>
      </c>
      <c r="C1314" s="4" t="s">
        <v>797</v>
      </c>
      <c r="D1314" s="4" t="s">
        <v>798</v>
      </c>
      <c r="E1314" s="4" t="s">
        <v>87</v>
      </c>
      <c r="F1314" s="4" t="s">
        <v>3962</v>
      </c>
      <c r="G1314" s="4" t="s">
        <v>3963</v>
      </c>
      <c r="H1314" s="4" t="s">
        <v>26</v>
      </c>
      <c r="I1314" s="4" t="s">
        <v>33</v>
      </c>
      <c r="J1314" s="4" t="s">
        <v>27</v>
      </c>
      <c r="K1314" s="4" t="s">
        <v>28</v>
      </c>
      <c r="L1314" s="4" t="s">
        <v>28</v>
      </c>
      <c r="M1314" s="4" t="s">
        <v>34</v>
      </c>
      <c r="N1314" s="4" t="s">
        <v>28</v>
      </c>
    </row>
    <row r="1315" spans="1:14" ht="14.4" thickBot="1" x14ac:dyDescent="0.35">
      <c r="A1315" s="4" t="s">
        <v>19</v>
      </c>
      <c r="B1315" s="4" t="s">
        <v>505</v>
      </c>
      <c r="C1315" s="4" t="s">
        <v>797</v>
      </c>
      <c r="D1315" s="4" t="s">
        <v>798</v>
      </c>
      <c r="E1315" s="4" t="s">
        <v>87</v>
      </c>
      <c r="F1315" s="4" t="s">
        <v>3964</v>
      </c>
      <c r="G1315" s="4" t="s">
        <v>3965</v>
      </c>
      <c r="H1315" s="4" t="s">
        <v>69</v>
      </c>
      <c r="I1315" s="4" t="s">
        <v>94</v>
      </c>
      <c r="J1315" s="4" t="s">
        <v>28</v>
      </c>
      <c r="K1315" s="4" t="s">
        <v>27</v>
      </c>
      <c r="L1315" s="4" t="s">
        <v>28</v>
      </c>
      <c r="M1315" s="4" t="s">
        <v>34</v>
      </c>
      <c r="N1315" s="4" t="s">
        <v>28</v>
      </c>
    </row>
    <row r="1316" spans="1:14" ht="14.4" thickBot="1" x14ac:dyDescent="0.35">
      <c r="A1316" s="4" t="s">
        <v>19</v>
      </c>
      <c r="B1316" s="4" t="s">
        <v>505</v>
      </c>
      <c r="C1316" s="4" t="s">
        <v>797</v>
      </c>
      <c r="D1316" s="4" t="s">
        <v>798</v>
      </c>
      <c r="E1316" s="4" t="s">
        <v>87</v>
      </c>
      <c r="F1316" s="4" t="s">
        <v>4062</v>
      </c>
      <c r="G1316" s="4" t="s">
        <v>4063</v>
      </c>
      <c r="H1316" s="4" t="s">
        <v>26</v>
      </c>
      <c r="I1316" s="4" t="s">
        <v>26</v>
      </c>
      <c r="J1316" s="4" t="s">
        <v>27</v>
      </c>
      <c r="K1316" s="4" t="s">
        <v>28</v>
      </c>
      <c r="L1316" s="4" t="s">
        <v>28</v>
      </c>
      <c r="M1316" s="4" t="s">
        <v>130</v>
      </c>
      <c r="N1316" s="4" t="s">
        <v>28</v>
      </c>
    </row>
    <row r="1317" spans="1:14" ht="14.4" thickBot="1" x14ac:dyDescent="0.35">
      <c r="A1317" s="4" t="s">
        <v>19</v>
      </c>
      <c r="B1317" s="4" t="s">
        <v>505</v>
      </c>
      <c r="C1317" s="4" t="s">
        <v>797</v>
      </c>
      <c r="D1317" s="4" t="s">
        <v>798</v>
      </c>
      <c r="E1317" s="4" t="s">
        <v>87</v>
      </c>
      <c r="F1317" s="4" t="s">
        <v>4064</v>
      </c>
      <c r="G1317" s="4" t="s">
        <v>4065</v>
      </c>
      <c r="H1317" s="4" t="s">
        <v>26</v>
      </c>
      <c r="I1317" s="4" t="s">
        <v>26</v>
      </c>
      <c r="J1317" s="4" t="s">
        <v>27</v>
      </c>
      <c r="K1317" s="4" t="s">
        <v>28</v>
      </c>
      <c r="L1317" s="4" t="s">
        <v>28</v>
      </c>
      <c r="M1317" s="4" t="s">
        <v>130</v>
      </c>
      <c r="N1317" s="4" t="s">
        <v>28</v>
      </c>
    </row>
    <row r="1318" spans="1:14" ht="14.4" thickBot="1" x14ac:dyDescent="0.35">
      <c r="A1318" s="4" t="s">
        <v>19</v>
      </c>
      <c r="B1318" s="4" t="s">
        <v>505</v>
      </c>
      <c r="C1318" s="4" t="s">
        <v>797</v>
      </c>
      <c r="D1318" s="4" t="s">
        <v>798</v>
      </c>
      <c r="E1318" s="4" t="s">
        <v>87</v>
      </c>
      <c r="F1318" s="4" t="s">
        <v>4066</v>
      </c>
      <c r="G1318" s="4" t="s">
        <v>4067</v>
      </c>
      <c r="H1318" s="4" t="s">
        <v>26</v>
      </c>
      <c r="I1318" s="4" t="s">
        <v>26</v>
      </c>
      <c r="J1318" s="4" t="s">
        <v>27</v>
      </c>
      <c r="K1318" s="4" t="s">
        <v>28</v>
      </c>
      <c r="L1318" s="4" t="s">
        <v>28</v>
      </c>
      <c r="M1318" s="4" t="s">
        <v>130</v>
      </c>
      <c r="N1318" s="4" t="s">
        <v>28</v>
      </c>
    </row>
    <row r="1319" spans="1:14" ht="14.4" thickBot="1" x14ac:dyDescent="0.35">
      <c r="A1319" s="4" t="s">
        <v>19</v>
      </c>
      <c r="B1319" s="4" t="s">
        <v>505</v>
      </c>
      <c r="C1319" s="4" t="s">
        <v>797</v>
      </c>
      <c r="D1319" s="4" t="s">
        <v>798</v>
      </c>
      <c r="E1319" s="4" t="s">
        <v>87</v>
      </c>
      <c r="F1319" s="4" t="s">
        <v>4068</v>
      </c>
      <c r="G1319" s="4" t="s">
        <v>4069</v>
      </c>
      <c r="H1319" s="4" t="s">
        <v>26</v>
      </c>
      <c r="I1319" s="4" t="s">
        <v>26</v>
      </c>
      <c r="J1319" s="4" t="s">
        <v>27</v>
      </c>
      <c r="K1319" s="4" t="s">
        <v>28</v>
      </c>
      <c r="L1319" s="4" t="s">
        <v>28</v>
      </c>
      <c r="M1319" s="4" t="s">
        <v>130</v>
      </c>
      <c r="N1319" s="4" t="s">
        <v>28</v>
      </c>
    </row>
    <row r="1320" spans="1:14" ht="14.4" thickBot="1" x14ac:dyDescent="0.35">
      <c r="A1320" s="4" t="s">
        <v>19</v>
      </c>
      <c r="B1320" s="4" t="s">
        <v>505</v>
      </c>
      <c r="C1320" s="4" t="s">
        <v>797</v>
      </c>
      <c r="D1320" s="4" t="s">
        <v>798</v>
      </c>
      <c r="E1320" s="4" t="s">
        <v>87</v>
      </c>
      <c r="F1320" s="4" t="s">
        <v>4657</v>
      </c>
      <c r="G1320" s="4" t="s">
        <v>4658</v>
      </c>
      <c r="H1320" s="4" t="s">
        <v>116</v>
      </c>
      <c r="I1320" s="4" t="s">
        <v>61</v>
      </c>
      <c r="J1320" s="4" t="s">
        <v>27</v>
      </c>
      <c r="K1320" s="4" t="s">
        <v>28</v>
      </c>
      <c r="L1320" s="4" t="s">
        <v>28</v>
      </c>
      <c r="M1320" s="4" t="s">
        <v>34</v>
      </c>
      <c r="N1320" s="4" t="s">
        <v>27</v>
      </c>
    </row>
    <row r="1321" spans="1:14" ht="14.4" thickBot="1" x14ac:dyDescent="0.35">
      <c r="A1321" s="4" t="s">
        <v>19</v>
      </c>
      <c r="B1321" s="4" t="s">
        <v>505</v>
      </c>
      <c r="C1321" s="4" t="s">
        <v>797</v>
      </c>
      <c r="D1321" s="4" t="s">
        <v>798</v>
      </c>
      <c r="E1321" s="4" t="s">
        <v>87</v>
      </c>
      <c r="F1321" s="4" t="s">
        <v>4659</v>
      </c>
      <c r="G1321" s="4" t="s">
        <v>4660</v>
      </c>
      <c r="H1321" s="4" t="s">
        <v>26</v>
      </c>
      <c r="I1321" s="4" t="s">
        <v>94</v>
      </c>
      <c r="J1321" s="4" t="s">
        <v>27</v>
      </c>
      <c r="K1321" s="4" t="s">
        <v>28</v>
      </c>
      <c r="L1321" s="4" t="s">
        <v>28</v>
      </c>
      <c r="M1321" s="4" t="s">
        <v>34</v>
      </c>
      <c r="N1321" s="4" t="s">
        <v>28</v>
      </c>
    </row>
    <row r="1322" spans="1:14" ht="14.4" thickBot="1" x14ac:dyDescent="0.35">
      <c r="A1322" s="4" t="s">
        <v>19</v>
      </c>
      <c r="B1322" s="4" t="s">
        <v>505</v>
      </c>
      <c r="C1322" s="4" t="s">
        <v>797</v>
      </c>
      <c r="D1322" s="4" t="s">
        <v>798</v>
      </c>
      <c r="E1322" s="4" t="s">
        <v>87</v>
      </c>
      <c r="F1322" s="4" t="s">
        <v>4661</v>
      </c>
      <c r="G1322" s="4" t="s">
        <v>4662</v>
      </c>
      <c r="H1322" s="4" t="s">
        <v>26</v>
      </c>
      <c r="I1322" s="4" t="s">
        <v>33</v>
      </c>
      <c r="J1322" s="4" t="s">
        <v>27</v>
      </c>
      <c r="K1322" s="4" t="s">
        <v>28</v>
      </c>
      <c r="L1322" s="4" t="s">
        <v>28</v>
      </c>
      <c r="M1322" s="4" t="s">
        <v>34</v>
      </c>
      <c r="N1322" s="4" t="s">
        <v>28</v>
      </c>
    </row>
    <row r="1323" spans="1:14" ht="14.4" thickBot="1" x14ac:dyDescent="0.35">
      <c r="A1323" s="4" t="s">
        <v>19</v>
      </c>
      <c r="B1323" s="4" t="s">
        <v>505</v>
      </c>
      <c r="C1323" s="4" t="s">
        <v>797</v>
      </c>
      <c r="D1323" s="4" t="s">
        <v>798</v>
      </c>
      <c r="E1323" s="4" t="s">
        <v>87</v>
      </c>
      <c r="F1323" s="4" t="s">
        <v>4663</v>
      </c>
      <c r="G1323" s="4" t="s">
        <v>4664</v>
      </c>
      <c r="H1323" s="4" t="s">
        <v>26</v>
      </c>
      <c r="I1323" s="4" t="s">
        <v>33</v>
      </c>
      <c r="J1323" s="4" t="s">
        <v>27</v>
      </c>
      <c r="K1323" s="4" t="s">
        <v>28</v>
      </c>
      <c r="L1323" s="4" t="s">
        <v>28</v>
      </c>
      <c r="M1323" s="4" t="s">
        <v>34</v>
      </c>
      <c r="N1323" s="4" t="s">
        <v>28</v>
      </c>
    </row>
    <row r="1324" spans="1:14" ht="14.4" thickBot="1" x14ac:dyDescent="0.35">
      <c r="A1324" s="4" t="s">
        <v>19</v>
      </c>
      <c r="B1324" s="4" t="s">
        <v>505</v>
      </c>
      <c r="C1324" s="4" t="s">
        <v>797</v>
      </c>
      <c r="D1324" s="4" t="s">
        <v>798</v>
      </c>
      <c r="E1324" s="4" t="s">
        <v>87</v>
      </c>
      <c r="F1324" s="4" t="s">
        <v>4665</v>
      </c>
      <c r="G1324" s="4" t="s">
        <v>4666</v>
      </c>
      <c r="H1324" s="4" t="s">
        <v>69</v>
      </c>
      <c r="I1324" s="4" t="s">
        <v>94</v>
      </c>
      <c r="J1324" s="4" t="s">
        <v>28</v>
      </c>
      <c r="K1324" s="4" t="s">
        <v>27</v>
      </c>
      <c r="L1324" s="4" t="s">
        <v>28</v>
      </c>
      <c r="M1324" s="4" t="s">
        <v>34</v>
      </c>
      <c r="N1324" s="4" t="s">
        <v>28</v>
      </c>
    </row>
    <row r="1325" spans="1:14" ht="14.4" thickBot="1" x14ac:dyDescent="0.35">
      <c r="A1325" s="4" t="s">
        <v>19</v>
      </c>
      <c r="B1325" s="4" t="s">
        <v>505</v>
      </c>
      <c r="C1325" s="4" t="s">
        <v>797</v>
      </c>
      <c r="D1325" s="4" t="s">
        <v>798</v>
      </c>
      <c r="E1325" s="4" t="s">
        <v>87</v>
      </c>
      <c r="F1325" s="4" t="s">
        <v>4667</v>
      </c>
      <c r="G1325" s="4" t="s">
        <v>4668</v>
      </c>
      <c r="H1325" s="4" t="s">
        <v>37</v>
      </c>
      <c r="I1325" s="4" t="s">
        <v>38</v>
      </c>
      <c r="J1325" s="4" t="s">
        <v>28</v>
      </c>
      <c r="K1325" s="4" t="s">
        <v>28</v>
      </c>
      <c r="L1325" s="4" t="s">
        <v>27</v>
      </c>
      <c r="M1325" s="4" t="s">
        <v>34</v>
      </c>
      <c r="N1325" s="4" t="s">
        <v>28</v>
      </c>
    </row>
    <row r="1326" spans="1:14" ht="14.4" thickBot="1" x14ac:dyDescent="0.35">
      <c r="A1326" s="4" t="s">
        <v>19</v>
      </c>
      <c r="B1326" s="4" t="s">
        <v>505</v>
      </c>
      <c r="C1326" s="4" t="s">
        <v>797</v>
      </c>
      <c r="D1326" s="4" t="s">
        <v>798</v>
      </c>
      <c r="E1326" s="4" t="s">
        <v>87</v>
      </c>
      <c r="F1326" s="4" t="s">
        <v>4772</v>
      </c>
      <c r="G1326" s="4" t="s">
        <v>4773</v>
      </c>
      <c r="H1326" s="4" t="s">
        <v>26</v>
      </c>
      <c r="I1326" s="4" t="s">
        <v>26</v>
      </c>
      <c r="J1326" s="4" t="s">
        <v>27</v>
      </c>
      <c r="K1326" s="4" t="s">
        <v>28</v>
      </c>
      <c r="L1326" s="4" t="s">
        <v>28</v>
      </c>
      <c r="M1326" s="4" t="s">
        <v>130</v>
      </c>
      <c r="N1326" s="4" t="s">
        <v>28</v>
      </c>
    </row>
    <row r="1327" spans="1:14" ht="14.4" thickBot="1" x14ac:dyDescent="0.35">
      <c r="A1327" s="4" t="s">
        <v>19</v>
      </c>
      <c r="B1327" s="4" t="s">
        <v>505</v>
      </c>
      <c r="C1327" s="4" t="s">
        <v>797</v>
      </c>
      <c r="D1327" s="4" t="s">
        <v>798</v>
      </c>
      <c r="E1327" s="4" t="s">
        <v>87</v>
      </c>
      <c r="F1327" s="4" t="s">
        <v>4774</v>
      </c>
      <c r="G1327" s="4" t="s">
        <v>4775</v>
      </c>
      <c r="H1327" s="4" t="s">
        <v>26</v>
      </c>
      <c r="I1327" s="4" t="s">
        <v>26</v>
      </c>
      <c r="J1327" s="4" t="s">
        <v>27</v>
      </c>
      <c r="K1327" s="4" t="s">
        <v>28</v>
      </c>
      <c r="L1327" s="4" t="s">
        <v>28</v>
      </c>
      <c r="M1327" s="4" t="s">
        <v>130</v>
      </c>
      <c r="N1327" s="4" t="s">
        <v>28</v>
      </c>
    </row>
    <row r="1328" spans="1:14" ht="14.4" thickBot="1" x14ac:dyDescent="0.35">
      <c r="A1328" s="4" t="s">
        <v>19</v>
      </c>
      <c r="B1328" s="4" t="s">
        <v>505</v>
      </c>
      <c r="C1328" s="4" t="s">
        <v>797</v>
      </c>
      <c r="D1328" s="4" t="s">
        <v>798</v>
      </c>
      <c r="E1328" s="4" t="s">
        <v>87</v>
      </c>
      <c r="F1328" s="4" t="s">
        <v>5359</v>
      </c>
      <c r="G1328" s="4" t="s">
        <v>5360</v>
      </c>
      <c r="H1328" s="4" t="s">
        <v>33</v>
      </c>
      <c r="I1328" s="4" t="s">
        <v>94</v>
      </c>
      <c r="J1328" s="4" t="s">
        <v>28</v>
      </c>
      <c r="K1328" s="4" t="s">
        <v>27</v>
      </c>
      <c r="L1328" s="4" t="s">
        <v>28</v>
      </c>
      <c r="M1328" s="4" t="s">
        <v>34</v>
      </c>
      <c r="N1328" s="4" t="s">
        <v>27</v>
      </c>
    </row>
    <row r="1329" spans="1:14" ht="14.4" thickBot="1" x14ac:dyDescent="0.35">
      <c r="A1329" s="4" t="s">
        <v>19</v>
      </c>
      <c r="B1329" s="4" t="s">
        <v>505</v>
      </c>
      <c r="C1329" s="4" t="s">
        <v>797</v>
      </c>
      <c r="D1329" s="4" t="s">
        <v>798</v>
      </c>
      <c r="E1329" s="4" t="s">
        <v>87</v>
      </c>
      <c r="F1329" s="4" t="s">
        <v>5361</v>
      </c>
      <c r="G1329" s="4" t="s">
        <v>5362</v>
      </c>
      <c r="H1329" s="4" t="s">
        <v>26</v>
      </c>
      <c r="I1329" s="4" t="s">
        <v>33</v>
      </c>
      <c r="J1329" s="4" t="s">
        <v>27</v>
      </c>
      <c r="K1329" s="4" t="s">
        <v>28</v>
      </c>
      <c r="L1329" s="4" t="s">
        <v>28</v>
      </c>
      <c r="M1329" s="4" t="s">
        <v>34</v>
      </c>
      <c r="N1329" s="4" t="s">
        <v>28</v>
      </c>
    </row>
    <row r="1330" spans="1:14" ht="14.4" thickBot="1" x14ac:dyDescent="0.35">
      <c r="A1330" s="4" t="s">
        <v>19</v>
      </c>
      <c r="B1330" s="4" t="s">
        <v>505</v>
      </c>
      <c r="C1330" s="4" t="s">
        <v>797</v>
      </c>
      <c r="D1330" s="4" t="s">
        <v>798</v>
      </c>
      <c r="E1330" s="4" t="s">
        <v>87</v>
      </c>
      <c r="F1330" s="4" t="s">
        <v>5464</v>
      </c>
      <c r="G1330" s="4" t="s">
        <v>5465</v>
      </c>
      <c r="H1330" s="4" t="s">
        <v>26</v>
      </c>
      <c r="I1330" s="4" t="s">
        <v>26</v>
      </c>
      <c r="J1330" s="4" t="s">
        <v>27</v>
      </c>
      <c r="K1330" s="4" t="s">
        <v>28</v>
      </c>
      <c r="L1330" s="4" t="s">
        <v>28</v>
      </c>
      <c r="M1330" s="4" t="s">
        <v>130</v>
      </c>
      <c r="N1330" s="4" t="s">
        <v>28</v>
      </c>
    </row>
    <row r="1331" spans="1:14" ht="14.4" thickBot="1" x14ac:dyDescent="0.35">
      <c r="A1331" s="4" t="s">
        <v>19</v>
      </c>
      <c r="B1331" s="4" t="s">
        <v>505</v>
      </c>
      <c r="C1331" s="4" t="s">
        <v>797</v>
      </c>
      <c r="D1331" s="4" t="s">
        <v>798</v>
      </c>
      <c r="E1331" s="4" t="s">
        <v>87</v>
      </c>
      <c r="F1331" s="4" t="s">
        <v>5466</v>
      </c>
      <c r="G1331" s="4" t="s">
        <v>5467</v>
      </c>
      <c r="H1331" s="4" t="s">
        <v>26</v>
      </c>
      <c r="I1331" s="4" t="s">
        <v>26</v>
      </c>
      <c r="J1331" s="4" t="s">
        <v>27</v>
      </c>
      <c r="K1331" s="4" t="s">
        <v>28</v>
      </c>
      <c r="L1331" s="4" t="s">
        <v>28</v>
      </c>
      <c r="M1331" s="4" t="s">
        <v>130</v>
      </c>
      <c r="N1331" s="4" t="s">
        <v>28</v>
      </c>
    </row>
    <row r="1332" spans="1:14" ht="14.4" thickBot="1" x14ac:dyDescent="0.35">
      <c r="A1332" s="4" t="s">
        <v>19</v>
      </c>
      <c r="B1332" s="4" t="s">
        <v>505</v>
      </c>
      <c r="C1332" s="4" t="s">
        <v>797</v>
      </c>
      <c r="D1332" s="4" t="s">
        <v>798</v>
      </c>
      <c r="E1332" s="4" t="s">
        <v>87</v>
      </c>
      <c r="F1332" s="4" t="s">
        <v>6058</v>
      </c>
      <c r="G1332" s="4" t="s">
        <v>6059</v>
      </c>
      <c r="H1332" s="4" t="s">
        <v>37</v>
      </c>
      <c r="I1332" s="4" t="s">
        <v>38</v>
      </c>
      <c r="J1332" s="4" t="s">
        <v>28</v>
      </c>
      <c r="K1332" s="4" t="s">
        <v>28</v>
      </c>
      <c r="L1332" s="4" t="s">
        <v>27</v>
      </c>
      <c r="M1332" s="4" t="s">
        <v>34</v>
      </c>
      <c r="N1332" s="4" t="s">
        <v>28</v>
      </c>
    </row>
    <row r="1333" spans="1:14" ht="14.4" thickBot="1" x14ac:dyDescent="0.35">
      <c r="A1333" s="4" t="s">
        <v>19</v>
      </c>
      <c r="B1333" s="4" t="s">
        <v>505</v>
      </c>
      <c r="C1333" s="4" t="s">
        <v>797</v>
      </c>
      <c r="D1333" s="4" t="s">
        <v>798</v>
      </c>
      <c r="E1333" s="4" t="s">
        <v>87</v>
      </c>
      <c r="F1333" s="4" t="s">
        <v>6060</v>
      </c>
      <c r="G1333" s="4" t="s">
        <v>6061</v>
      </c>
      <c r="H1333" s="4" t="s">
        <v>26</v>
      </c>
      <c r="I1333" s="4" t="s">
        <v>33</v>
      </c>
      <c r="J1333" s="4" t="s">
        <v>27</v>
      </c>
      <c r="K1333" s="4" t="s">
        <v>28</v>
      </c>
      <c r="L1333" s="4" t="s">
        <v>28</v>
      </c>
      <c r="M1333" s="4" t="s">
        <v>34</v>
      </c>
      <c r="N1333" s="4" t="s">
        <v>28</v>
      </c>
    </row>
    <row r="1334" spans="1:14" ht="14.4" thickBot="1" x14ac:dyDescent="0.35">
      <c r="A1334" s="4" t="s">
        <v>19</v>
      </c>
      <c r="B1334" s="4" t="s">
        <v>505</v>
      </c>
      <c r="C1334" s="4" t="s">
        <v>797</v>
      </c>
      <c r="D1334" s="4" t="s">
        <v>798</v>
      </c>
      <c r="E1334" s="4" t="s">
        <v>87</v>
      </c>
      <c r="F1334" s="4" t="s">
        <v>805</v>
      </c>
      <c r="G1334" s="4" t="s">
        <v>6062</v>
      </c>
      <c r="H1334" s="4" t="s">
        <v>26</v>
      </c>
      <c r="I1334" s="4" t="s">
        <v>33</v>
      </c>
      <c r="J1334" s="4" t="s">
        <v>27</v>
      </c>
      <c r="K1334" s="4" t="s">
        <v>28</v>
      </c>
      <c r="L1334" s="4" t="s">
        <v>28</v>
      </c>
      <c r="M1334" s="4" t="s">
        <v>34</v>
      </c>
      <c r="N1334" s="4" t="s">
        <v>28</v>
      </c>
    </row>
    <row r="1335" spans="1:14" ht="14.4" thickBot="1" x14ac:dyDescent="0.35">
      <c r="A1335" s="4" t="s">
        <v>19</v>
      </c>
      <c r="B1335" s="4" t="s">
        <v>505</v>
      </c>
      <c r="C1335" s="4" t="s">
        <v>797</v>
      </c>
      <c r="D1335" s="4" t="s">
        <v>798</v>
      </c>
      <c r="E1335" s="4" t="s">
        <v>87</v>
      </c>
      <c r="F1335" s="4" t="s">
        <v>6165</v>
      </c>
      <c r="G1335" s="4" t="s">
        <v>6166</v>
      </c>
      <c r="H1335" s="4" t="s">
        <v>26</v>
      </c>
      <c r="I1335" s="4" t="s">
        <v>26</v>
      </c>
      <c r="J1335" s="4" t="s">
        <v>27</v>
      </c>
      <c r="K1335" s="4" t="s">
        <v>28</v>
      </c>
      <c r="L1335" s="4" t="s">
        <v>28</v>
      </c>
      <c r="M1335" s="4" t="s">
        <v>130</v>
      </c>
      <c r="N1335" s="4" t="s">
        <v>28</v>
      </c>
    </row>
    <row r="1336" spans="1:14" ht="14.4" thickBot="1" x14ac:dyDescent="0.35">
      <c r="A1336" s="4" t="s">
        <v>19</v>
      </c>
      <c r="B1336" s="4" t="s">
        <v>505</v>
      </c>
      <c r="C1336" s="4" t="s">
        <v>797</v>
      </c>
      <c r="D1336" s="4" t="s">
        <v>798</v>
      </c>
      <c r="E1336" s="4" t="s">
        <v>87</v>
      </c>
      <c r="F1336" s="4" t="s">
        <v>6167</v>
      </c>
      <c r="G1336" s="4" t="s">
        <v>6168</v>
      </c>
      <c r="H1336" s="4" t="s">
        <v>26</v>
      </c>
      <c r="I1336" s="4" t="s">
        <v>26</v>
      </c>
      <c r="J1336" s="4" t="s">
        <v>27</v>
      </c>
      <c r="K1336" s="4" t="s">
        <v>28</v>
      </c>
      <c r="L1336" s="4" t="s">
        <v>28</v>
      </c>
      <c r="M1336" s="4" t="s">
        <v>130</v>
      </c>
      <c r="N1336" s="4" t="s">
        <v>28</v>
      </c>
    </row>
    <row r="1337" spans="1:14" ht="14.4" thickBot="1" x14ac:dyDescent="0.35">
      <c r="A1337" s="4" t="s">
        <v>19</v>
      </c>
      <c r="B1337" s="4" t="s">
        <v>505</v>
      </c>
      <c r="C1337" s="4" t="s">
        <v>797</v>
      </c>
      <c r="D1337" s="4" t="s">
        <v>798</v>
      </c>
      <c r="E1337" s="4" t="s">
        <v>87</v>
      </c>
      <c r="F1337" s="4" t="s">
        <v>6169</v>
      </c>
      <c r="G1337" s="4" t="s">
        <v>6170</v>
      </c>
      <c r="H1337" s="4" t="s">
        <v>26</v>
      </c>
      <c r="I1337" s="4" t="s">
        <v>26</v>
      </c>
      <c r="J1337" s="4" t="s">
        <v>27</v>
      </c>
      <c r="K1337" s="4" t="s">
        <v>28</v>
      </c>
      <c r="L1337" s="4" t="s">
        <v>28</v>
      </c>
      <c r="M1337" s="4" t="s">
        <v>130</v>
      </c>
      <c r="N1337" s="4" t="s">
        <v>28</v>
      </c>
    </row>
    <row r="1338" spans="1:14" ht="14.4" thickBot="1" x14ac:dyDescent="0.35">
      <c r="A1338" s="4" t="s">
        <v>19</v>
      </c>
      <c r="B1338" s="4" t="s">
        <v>505</v>
      </c>
      <c r="C1338" s="4" t="s">
        <v>797</v>
      </c>
      <c r="D1338" s="4" t="s">
        <v>798</v>
      </c>
      <c r="E1338" s="4" t="s">
        <v>87</v>
      </c>
      <c r="F1338" s="4" t="s">
        <v>6171</v>
      </c>
      <c r="G1338" s="4" t="s">
        <v>6172</v>
      </c>
      <c r="H1338" s="4" t="s">
        <v>26</v>
      </c>
      <c r="I1338" s="4" t="s">
        <v>26</v>
      </c>
      <c r="J1338" s="4" t="s">
        <v>27</v>
      </c>
      <c r="K1338" s="4" t="s">
        <v>28</v>
      </c>
      <c r="L1338" s="4" t="s">
        <v>28</v>
      </c>
      <c r="M1338" s="4" t="s">
        <v>130</v>
      </c>
      <c r="N1338" s="4" t="s">
        <v>28</v>
      </c>
    </row>
    <row r="1339" spans="1:14" ht="14.4" thickBot="1" x14ac:dyDescent="0.35">
      <c r="A1339" s="4" t="s">
        <v>19</v>
      </c>
      <c r="B1339" s="4" t="s">
        <v>505</v>
      </c>
      <c r="C1339" s="4" t="s">
        <v>610</v>
      </c>
      <c r="D1339" s="4" t="s">
        <v>611</v>
      </c>
      <c r="E1339" s="4" t="s">
        <v>87</v>
      </c>
      <c r="F1339" s="4" t="s">
        <v>612</v>
      </c>
      <c r="G1339" s="4" t="s">
        <v>613</v>
      </c>
      <c r="H1339" s="4" t="s">
        <v>135</v>
      </c>
      <c r="I1339" s="4" t="s">
        <v>33</v>
      </c>
      <c r="J1339" s="4" t="s">
        <v>27</v>
      </c>
      <c r="K1339" s="4" t="s">
        <v>28</v>
      </c>
      <c r="L1339" s="4" t="s">
        <v>28</v>
      </c>
      <c r="M1339" s="4" t="s">
        <v>34</v>
      </c>
      <c r="N1339" s="4" t="s">
        <v>28</v>
      </c>
    </row>
    <row r="1340" spans="1:14" ht="14.4" thickBot="1" x14ac:dyDescent="0.35">
      <c r="A1340" s="4" t="s">
        <v>19</v>
      </c>
      <c r="B1340" s="4" t="s">
        <v>505</v>
      </c>
      <c r="C1340" s="4" t="s">
        <v>610</v>
      </c>
      <c r="D1340" s="4" t="s">
        <v>611</v>
      </c>
      <c r="E1340" s="4" t="s">
        <v>87</v>
      </c>
      <c r="F1340" s="4" t="s">
        <v>1556</v>
      </c>
      <c r="G1340" s="4" t="s">
        <v>1557</v>
      </c>
      <c r="H1340" s="4" t="s">
        <v>26</v>
      </c>
      <c r="I1340" s="4" t="s">
        <v>26</v>
      </c>
      <c r="J1340" s="5"/>
      <c r="K1340" s="5"/>
      <c r="L1340" s="5"/>
      <c r="M1340" s="4" t="s">
        <v>130</v>
      </c>
      <c r="N1340" s="5"/>
    </row>
    <row r="1341" spans="1:14" ht="14.4" thickBot="1" x14ac:dyDescent="0.35">
      <c r="A1341" s="4" t="s">
        <v>19</v>
      </c>
      <c r="B1341" s="4" t="s">
        <v>505</v>
      </c>
      <c r="C1341" s="4" t="s">
        <v>610</v>
      </c>
      <c r="D1341" s="4" t="s">
        <v>611</v>
      </c>
      <c r="E1341" s="4" t="s">
        <v>87</v>
      </c>
      <c r="F1341" s="4" t="s">
        <v>1558</v>
      </c>
      <c r="G1341" s="4" t="s">
        <v>1559</v>
      </c>
      <c r="H1341" s="4" t="s">
        <v>37</v>
      </c>
      <c r="I1341" s="4" t="s">
        <v>38</v>
      </c>
      <c r="J1341" s="5"/>
      <c r="K1341" s="5"/>
      <c r="L1341" s="5"/>
      <c r="M1341" s="4" t="s">
        <v>29</v>
      </c>
      <c r="N1341" s="5"/>
    </row>
    <row r="1342" spans="1:14" ht="14.4" thickBot="1" x14ac:dyDescent="0.35">
      <c r="A1342" s="4" t="s">
        <v>19</v>
      </c>
      <c r="B1342" s="4" t="s">
        <v>505</v>
      </c>
      <c r="C1342" s="4" t="s">
        <v>610</v>
      </c>
      <c r="D1342" s="4" t="s">
        <v>611</v>
      </c>
      <c r="E1342" s="4" t="s">
        <v>87</v>
      </c>
      <c r="F1342" s="4" t="s">
        <v>2266</v>
      </c>
      <c r="G1342" s="4" t="s">
        <v>2267</v>
      </c>
      <c r="H1342" s="4" t="s">
        <v>26</v>
      </c>
      <c r="I1342" s="4" t="s">
        <v>26</v>
      </c>
      <c r="J1342" s="4" t="s">
        <v>27</v>
      </c>
      <c r="K1342" s="4" t="s">
        <v>28</v>
      </c>
      <c r="L1342" s="4" t="s">
        <v>28</v>
      </c>
      <c r="M1342" s="4" t="s">
        <v>130</v>
      </c>
      <c r="N1342" s="4" t="s">
        <v>28</v>
      </c>
    </row>
    <row r="1343" spans="1:14" ht="14.4" thickBot="1" x14ac:dyDescent="0.35">
      <c r="A1343" s="4" t="s">
        <v>19</v>
      </c>
      <c r="B1343" s="4" t="s">
        <v>505</v>
      </c>
      <c r="C1343" s="4" t="s">
        <v>610</v>
      </c>
      <c r="D1343" s="4" t="s">
        <v>611</v>
      </c>
      <c r="E1343" s="4" t="s">
        <v>87</v>
      </c>
      <c r="F1343" s="4" t="s">
        <v>2268</v>
      </c>
      <c r="G1343" s="4" t="s">
        <v>2269</v>
      </c>
      <c r="H1343" s="4" t="s">
        <v>26</v>
      </c>
      <c r="I1343" s="4" t="s">
        <v>26</v>
      </c>
      <c r="J1343" s="5"/>
      <c r="K1343" s="5"/>
      <c r="L1343" s="5"/>
      <c r="M1343" s="4" t="s">
        <v>130</v>
      </c>
      <c r="N1343" s="5"/>
    </row>
    <row r="1344" spans="1:14" ht="14.4" thickBot="1" x14ac:dyDescent="0.35">
      <c r="A1344" s="4" t="s">
        <v>19</v>
      </c>
      <c r="B1344" s="4" t="s">
        <v>505</v>
      </c>
      <c r="C1344" s="4" t="s">
        <v>610</v>
      </c>
      <c r="D1344" s="4" t="s">
        <v>611</v>
      </c>
      <c r="E1344" s="4" t="s">
        <v>87</v>
      </c>
      <c r="F1344" s="4" t="s">
        <v>2270</v>
      </c>
      <c r="G1344" s="4" t="s">
        <v>2271</v>
      </c>
      <c r="H1344" s="4" t="s">
        <v>69</v>
      </c>
      <c r="I1344" s="4" t="s">
        <v>94</v>
      </c>
      <c r="J1344" s="4" t="s">
        <v>28</v>
      </c>
      <c r="K1344" s="4" t="s">
        <v>27</v>
      </c>
      <c r="L1344" s="4" t="s">
        <v>28</v>
      </c>
      <c r="M1344" s="4" t="s">
        <v>34</v>
      </c>
      <c r="N1344" s="4" t="s">
        <v>28</v>
      </c>
    </row>
    <row r="1345" spans="1:14" ht="14.4" thickBot="1" x14ac:dyDescent="0.35">
      <c r="A1345" s="4" t="s">
        <v>19</v>
      </c>
      <c r="B1345" s="4" t="s">
        <v>505</v>
      </c>
      <c r="C1345" s="4" t="s">
        <v>610</v>
      </c>
      <c r="D1345" s="4" t="s">
        <v>611</v>
      </c>
      <c r="E1345" s="4" t="s">
        <v>87</v>
      </c>
      <c r="F1345" s="4" t="s">
        <v>2272</v>
      </c>
      <c r="G1345" s="4" t="s">
        <v>2273</v>
      </c>
      <c r="H1345" s="4" t="s">
        <v>135</v>
      </c>
      <c r="I1345" s="4" t="s">
        <v>33</v>
      </c>
      <c r="J1345" s="4" t="s">
        <v>27</v>
      </c>
      <c r="K1345" s="4" t="s">
        <v>28</v>
      </c>
      <c r="L1345" s="4" t="s">
        <v>28</v>
      </c>
      <c r="M1345" s="4" t="s">
        <v>34</v>
      </c>
      <c r="N1345" s="4" t="s">
        <v>28</v>
      </c>
    </row>
    <row r="1346" spans="1:14" ht="14.4" thickBot="1" x14ac:dyDescent="0.35">
      <c r="A1346" s="4" t="s">
        <v>19</v>
      </c>
      <c r="B1346" s="4" t="s">
        <v>505</v>
      </c>
      <c r="C1346" s="4" t="s">
        <v>610</v>
      </c>
      <c r="D1346" s="4" t="s">
        <v>611</v>
      </c>
      <c r="E1346" s="4" t="s">
        <v>87</v>
      </c>
      <c r="F1346" s="4" t="s">
        <v>3025</v>
      </c>
      <c r="G1346" s="4" t="s">
        <v>3026</v>
      </c>
      <c r="H1346" s="4" t="s">
        <v>37</v>
      </c>
      <c r="I1346" s="4" t="s">
        <v>38</v>
      </c>
      <c r="J1346" s="4" t="s">
        <v>28</v>
      </c>
      <c r="K1346" s="4" t="s">
        <v>28</v>
      </c>
      <c r="L1346" s="4" t="s">
        <v>27</v>
      </c>
      <c r="M1346" s="4" t="s">
        <v>34</v>
      </c>
      <c r="N1346" s="4" t="s">
        <v>28</v>
      </c>
    </row>
    <row r="1347" spans="1:14" ht="14.4" thickBot="1" x14ac:dyDescent="0.35">
      <c r="A1347" s="4" t="s">
        <v>19</v>
      </c>
      <c r="B1347" s="4" t="s">
        <v>505</v>
      </c>
      <c r="C1347" s="4" t="s">
        <v>610</v>
      </c>
      <c r="D1347" s="4" t="s">
        <v>611</v>
      </c>
      <c r="E1347" s="4" t="s">
        <v>87</v>
      </c>
      <c r="F1347" s="4" t="s">
        <v>3759</v>
      </c>
      <c r="G1347" s="4" t="s">
        <v>3760</v>
      </c>
      <c r="H1347" s="4" t="s">
        <v>135</v>
      </c>
      <c r="I1347" s="4" t="s">
        <v>33</v>
      </c>
      <c r="J1347" s="4" t="s">
        <v>27</v>
      </c>
      <c r="K1347" s="4" t="s">
        <v>28</v>
      </c>
      <c r="L1347" s="4" t="s">
        <v>28</v>
      </c>
      <c r="M1347" s="4" t="s">
        <v>34</v>
      </c>
      <c r="N1347" s="4" t="s">
        <v>28</v>
      </c>
    </row>
    <row r="1348" spans="1:14" ht="14.4" thickBot="1" x14ac:dyDescent="0.35">
      <c r="A1348" s="4" t="s">
        <v>19</v>
      </c>
      <c r="B1348" s="4" t="s">
        <v>505</v>
      </c>
      <c r="C1348" s="4" t="s">
        <v>610</v>
      </c>
      <c r="D1348" s="4" t="s">
        <v>611</v>
      </c>
      <c r="E1348" s="4" t="s">
        <v>87</v>
      </c>
      <c r="F1348" s="4" t="s">
        <v>3761</v>
      </c>
      <c r="G1348" s="4" t="s">
        <v>3762</v>
      </c>
      <c r="H1348" s="4" t="s">
        <v>37</v>
      </c>
      <c r="I1348" s="4" t="s">
        <v>38</v>
      </c>
      <c r="J1348" s="4" t="s">
        <v>28</v>
      </c>
      <c r="K1348" s="4" t="s">
        <v>28</v>
      </c>
      <c r="L1348" s="4" t="s">
        <v>27</v>
      </c>
      <c r="M1348" s="4" t="s">
        <v>34</v>
      </c>
      <c r="N1348" s="4" t="s">
        <v>28</v>
      </c>
    </row>
    <row r="1349" spans="1:14" ht="14.4" thickBot="1" x14ac:dyDescent="0.35">
      <c r="A1349" s="4" t="s">
        <v>19</v>
      </c>
      <c r="B1349" s="4" t="s">
        <v>505</v>
      </c>
      <c r="C1349" s="4" t="s">
        <v>610</v>
      </c>
      <c r="D1349" s="4" t="s">
        <v>611</v>
      </c>
      <c r="E1349" s="4" t="s">
        <v>87</v>
      </c>
      <c r="F1349" s="4" t="s">
        <v>3763</v>
      </c>
      <c r="G1349" s="4" t="s">
        <v>3764</v>
      </c>
      <c r="H1349" s="4" t="s">
        <v>69</v>
      </c>
      <c r="I1349" s="4" t="s">
        <v>94</v>
      </c>
      <c r="J1349" s="4" t="s">
        <v>28</v>
      </c>
      <c r="K1349" s="4" t="s">
        <v>27</v>
      </c>
      <c r="L1349" s="4" t="s">
        <v>28</v>
      </c>
      <c r="M1349" s="4" t="s">
        <v>34</v>
      </c>
      <c r="N1349" s="4" t="s">
        <v>28</v>
      </c>
    </row>
    <row r="1350" spans="1:14" ht="14.4" thickBot="1" x14ac:dyDescent="0.35">
      <c r="A1350" s="4" t="s">
        <v>19</v>
      </c>
      <c r="B1350" s="4" t="s">
        <v>505</v>
      </c>
      <c r="C1350" s="4" t="s">
        <v>610</v>
      </c>
      <c r="D1350" s="4" t="s">
        <v>611</v>
      </c>
      <c r="E1350" s="4" t="s">
        <v>87</v>
      </c>
      <c r="F1350" s="4" t="s">
        <v>3765</v>
      </c>
      <c r="G1350" s="4" t="s">
        <v>3766</v>
      </c>
      <c r="H1350" s="4" t="s">
        <v>135</v>
      </c>
      <c r="I1350" s="4" t="s">
        <v>33</v>
      </c>
      <c r="J1350" s="4" t="s">
        <v>27</v>
      </c>
      <c r="K1350" s="4" t="s">
        <v>28</v>
      </c>
      <c r="L1350" s="4" t="s">
        <v>28</v>
      </c>
      <c r="M1350" s="4" t="s">
        <v>34</v>
      </c>
      <c r="N1350" s="4" t="s">
        <v>28</v>
      </c>
    </row>
    <row r="1351" spans="1:14" ht="14.4" thickBot="1" x14ac:dyDescent="0.35">
      <c r="A1351" s="4" t="s">
        <v>19</v>
      </c>
      <c r="B1351" s="4" t="s">
        <v>505</v>
      </c>
      <c r="C1351" s="4" t="s">
        <v>610</v>
      </c>
      <c r="D1351" s="4" t="s">
        <v>611</v>
      </c>
      <c r="E1351" s="4" t="s">
        <v>87</v>
      </c>
      <c r="F1351" s="4" t="s">
        <v>4527</v>
      </c>
      <c r="G1351" s="4" t="s">
        <v>4528</v>
      </c>
      <c r="H1351" s="4" t="s">
        <v>26</v>
      </c>
      <c r="I1351" s="4" t="s">
        <v>94</v>
      </c>
      <c r="J1351" s="4" t="s">
        <v>27</v>
      </c>
      <c r="K1351" s="4" t="s">
        <v>28</v>
      </c>
      <c r="L1351" s="4" t="s">
        <v>28</v>
      </c>
      <c r="M1351" s="4" t="s">
        <v>34</v>
      </c>
      <c r="N1351" s="4" t="s">
        <v>28</v>
      </c>
    </row>
    <row r="1352" spans="1:14" ht="14.4" thickBot="1" x14ac:dyDescent="0.35">
      <c r="A1352" s="4" t="s">
        <v>19</v>
      </c>
      <c r="B1352" s="4" t="s">
        <v>505</v>
      </c>
      <c r="C1352" s="4" t="s">
        <v>610</v>
      </c>
      <c r="D1352" s="4" t="s">
        <v>611</v>
      </c>
      <c r="E1352" s="4" t="s">
        <v>87</v>
      </c>
      <c r="F1352" s="4" t="s">
        <v>4529</v>
      </c>
      <c r="G1352" s="4" t="s">
        <v>4530</v>
      </c>
      <c r="H1352" s="4" t="s">
        <v>135</v>
      </c>
      <c r="I1352" s="4" t="s">
        <v>33</v>
      </c>
      <c r="J1352" s="4" t="s">
        <v>27</v>
      </c>
      <c r="K1352" s="4" t="s">
        <v>28</v>
      </c>
      <c r="L1352" s="4" t="s">
        <v>28</v>
      </c>
      <c r="M1352" s="4" t="s">
        <v>34</v>
      </c>
      <c r="N1352" s="4" t="s">
        <v>28</v>
      </c>
    </row>
    <row r="1353" spans="1:14" ht="14.4" thickBot="1" x14ac:dyDescent="0.35">
      <c r="A1353" s="4" t="s">
        <v>19</v>
      </c>
      <c r="B1353" s="4" t="s">
        <v>505</v>
      </c>
      <c r="C1353" s="4" t="s">
        <v>610</v>
      </c>
      <c r="D1353" s="4" t="s">
        <v>611</v>
      </c>
      <c r="E1353" s="4" t="s">
        <v>87</v>
      </c>
      <c r="F1353" s="4" t="s">
        <v>4531</v>
      </c>
      <c r="G1353" s="4" t="s">
        <v>4532</v>
      </c>
      <c r="H1353" s="4" t="s">
        <v>26</v>
      </c>
      <c r="I1353" s="4" t="s">
        <v>26</v>
      </c>
      <c r="J1353" s="4" t="s">
        <v>27</v>
      </c>
      <c r="K1353" s="4" t="s">
        <v>28</v>
      </c>
      <c r="L1353" s="4" t="s">
        <v>28</v>
      </c>
      <c r="M1353" s="4" t="s">
        <v>34</v>
      </c>
      <c r="N1353" s="4" t="s">
        <v>28</v>
      </c>
    </row>
    <row r="1354" spans="1:14" ht="14.4" thickBot="1" x14ac:dyDescent="0.35">
      <c r="A1354" s="4" t="s">
        <v>19</v>
      </c>
      <c r="B1354" s="4" t="s">
        <v>505</v>
      </c>
      <c r="C1354" s="4" t="s">
        <v>610</v>
      </c>
      <c r="D1354" s="4" t="s">
        <v>611</v>
      </c>
      <c r="E1354" s="4" t="s">
        <v>87</v>
      </c>
      <c r="F1354" s="4" t="s">
        <v>4533</v>
      </c>
      <c r="G1354" s="4" t="s">
        <v>4534</v>
      </c>
      <c r="H1354" s="4" t="s">
        <v>135</v>
      </c>
      <c r="I1354" s="4" t="s">
        <v>33</v>
      </c>
      <c r="J1354" s="4" t="s">
        <v>27</v>
      </c>
      <c r="K1354" s="4" t="s">
        <v>28</v>
      </c>
      <c r="L1354" s="4" t="s">
        <v>28</v>
      </c>
      <c r="M1354" s="4" t="s">
        <v>34</v>
      </c>
      <c r="N1354" s="4" t="s">
        <v>28</v>
      </c>
    </row>
    <row r="1355" spans="1:14" ht="14.4" thickBot="1" x14ac:dyDescent="0.35">
      <c r="A1355" s="4" t="s">
        <v>19</v>
      </c>
      <c r="B1355" s="4" t="s">
        <v>505</v>
      </c>
      <c r="C1355" s="4" t="s">
        <v>610</v>
      </c>
      <c r="D1355" s="4" t="s">
        <v>611</v>
      </c>
      <c r="E1355" s="4" t="s">
        <v>87</v>
      </c>
      <c r="F1355" s="4" t="s">
        <v>4535</v>
      </c>
      <c r="G1355" s="4" t="s">
        <v>4536</v>
      </c>
      <c r="H1355" s="4" t="s">
        <v>69</v>
      </c>
      <c r="I1355" s="4" t="s">
        <v>94</v>
      </c>
      <c r="J1355" s="4" t="s">
        <v>28</v>
      </c>
      <c r="K1355" s="4" t="s">
        <v>27</v>
      </c>
      <c r="L1355" s="4" t="s">
        <v>28</v>
      </c>
      <c r="M1355" s="4" t="s">
        <v>34</v>
      </c>
      <c r="N1355" s="4" t="s">
        <v>28</v>
      </c>
    </row>
    <row r="1356" spans="1:14" ht="14.4" thickBot="1" x14ac:dyDescent="0.35">
      <c r="A1356" s="4" t="s">
        <v>19</v>
      </c>
      <c r="B1356" s="4" t="s">
        <v>505</v>
      </c>
      <c r="C1356" s="4" t="s">
        <v>610</v>
      </c>
      <c r="D1356" s="4" t="s">
        <v>611</v>
      </c>
      <c r="E1356" s="4" t="s">
        <v>87</v>
      </c>
      <c r="F1356" s="4" t="s">
        <v>5218</v>
      </c>
      <c r="G1356" s="4" t="s">
        <v>5219</v>
      </c>
      <c r="H1356" s="4" t="s">
        <v>135</v>
      </c>
      <c r="I1356" s="4" t="s">
        <v>33</v>
      </c>
      <c r="J1356" s="4" t="s">
        <v>27</v>
      </c>
      <c r="K1356" s="4" t="s">
        <v>28</v>
      </c>
      <c r="L1356" s="4" t="s">
        <v>28</v>
      </c>
      <c r="M1356" s="4" t="s">
        <v>34</v>
      </c>
      <c r="N1356" s="4" t="s">
        <v>28</v>
      </c>
    </row>
    <row r="1357" spans="1:14" ht="14.4" thickBot="1" x14ac:dyDescent="0.35">
      <c r="A1357" s="4" t="s">
        <v>19</v>
      </c>
      <c r="B1357" s="4" t="s">
        <v>505</v>
      </c>
      <c r="C1357" s="4" t="s">
        <v>610</v>
      </c>
      <c r="D1357" s="4" t="s">
        <v>611</v>
      </c>
      <c r="E1357" s="4" t="s">
        <v>87</v>
      </c>
      <c r="F1357" s="4" t="s">
        <v>5220</v>
      </c>
      <c r="G1357" s="4" t="s">
        <v>5221</v>
      </c>
      <c r="H1357" s="4" t="s">
        <v>37</v>
      </c>
      <c r="I1357" s="4" t="s">
        <v>38</v>
      </c>
      <c r="J1357" s="4" t="s">
        <v>28</v>
      </c>
      <c r="K1357" s="4" t="s">
        <v>28</v>
      </c>
      <c r="L1357" s="4" t="s">
        <v>27</v>
      </c>
      <c r="M1357" s="4" t="s">
        <v>34</v>
      </c>
      <c r="N1357" s="4" t="s">
        <v>28</v>
      </c>
    </row>
    <row r="1358" spans="1:14" ht="14.4" thickBot="1" x14ac:dyDescent="0.35">
      <c r="A1358" s="4" t="s">
        <v>19</v>
      </c>
      <c r="B1358" s="4" t="s">
        <v>505</v>
      </c>
      <c r="C1358" s="4" t="s">
        <v>610</v>
      </c>
      <c r="D1358" s="4" t="s">
        <v>611</v>
      </c>
      <c r="E1358" s="4" t="s">
        <v>87</v>
      </c>
      <c r="F1358" s="4" t="s">
        <v>5899</v>
      </c>
      <c r="G1358" s="4" t="s">
        <v>5900</v>
      </c>
      <c r="H1358" s="4" t="s">
        <v>26</v>
      </c>
      <c r="I1358" s="4" t="s">
        <v>61</v>
      </c>
      <c r="J1358" s="4" t="s">
        <v>27</v>
      </c>
      <c r="K1358" s="4" t="s">
        <v>28</v>
      </c>
      <c r="L1358" s="4" t="s">
        <v>28</v>
      </c>
      <c r="M1358" s="4" t="s">
        <v>29</v>
      </c>
      <c r="N1358" s="4" t="s">
        <v>28</v>
      </c>
    </row>
    <row r="1359" spans="1:14" ht="14.4" thickBot="1" x14ac:dyDescent="0.35">
      <c r="A1359" s="4" t="s">
        <v>19</v>
      </c>
      <c r="B1359" s="4" t="s">
        <v>505</v>
      </c>
      <c r="C1359" s="4" t="s">
        <v>610</v>
      </c>
      <c r="D1359" s="4" t="s">
        <v>611</v>
      </c>
      <c r="E1359" s="4" t="s">
        <v>87</v>
      </c>
      <c r="F1359" s="4" t="s">
        <v>5901</v>
      </c>
      <c r="G1359" s="4" t="s">
        <v>5902</v>
      </c>
      <c r="H1359" s="4" t="s">
        <v>135</v>
      </c>
      <c r="I1359" s="4" t="s">
        <v>94</v>
      </c>
      <c r="J1359" s="4" t="s">
        <v>27</v>
      </c>
      <c r="K1359" s="4" t="s">
        <v>28</v>
      </c>
      <c r="L1359" s="4" t="s">
        <v>28</v>
      </c>
      <c r="M1359" s="4" t="s">
        <v>34</v>
      </c>
      <c r="N1359" s="4" t="s">
        <v>27</v>
      </c>
    </row>
    <row r="1360" spans="1:14" ht="14.4" thickBot="1" x14ac:dyDescent="0.35">
      <c r="A1360" s="4" t="s">
        <v>19</v>
      </c>
      <c r="B1360" s="4" t="s">
        <v>505</v>
      </c>
      <c r="C1360" s="4" t="s">
        <v>610</v>
      </c>
      <c r="D1360" s="4" t="s">
        <v>611</v>
      </c>
      <c r="E1360" s="4" t="s">
        <v>87</v>
      </c>
      <c r="F1360" s="4" t="s">
        <v>5903</v>
      </c>
      <c r="G1360" s="4" t="s">
        <v>5904</v>
      </c>
      <c r="H1360" s="4" t="s">
        <v>135</v>
      </c>
      <c r="I1360" s="4" t="s">
        <v>33</v>
      </c>
      <c r="J1360" s="4" t="s">
        <v>27</v>
      </c>
      <c r="K1360" s="4" t="s">
        <v>28</v>
      </c>
      <c r="L1360" s="4" t="s">
        <v>28</v>
      </c>
      <c r="M1360" s="4" t="s">
        <v>34</v>
      </c>
      <c r="N1360" s="4" t="s">
        <v>28</v>
      </c>
    </row>
    <row r="1361" spans="1:14" ht="14.4" thickBot="1" x14ac:dyDescent="0.35">
      <c r="A1361" s="4" t="s">
        <v>19</v>
      </c>
      <c r="B1361" s="4" t="s">
        <v>505</v>
      </c>
      <c r="C1361" s="4" t="s">
        <v>805</v>
      </c>
      <c r="D1361" s="4" t="s">
        <v>806</v>
      </c>
      <c r="E1361" s="4" t="s">
        <v>87</v>
      </c>
      <c r="F1361" s="4" t="s">
        <v>807</v>
      </c>
      <c r="G1361" s="4" t="s">
        <v>808</v>
      </c>
      <c r="H1361" s="4" t="s">
        <v>116</v>
      </c>
      <c r="I1361" s="4" t="s">
        <v>33</v>
      </c>
      <c r="J1361" s="4" t="s">
        <v>27</v>
      </c>
      <c r="K1361" s="4" t="s">
        <v>28</v>
      </c>
      <c r="L1361" s="4" t="s">
        <v>28</v>
      </c>
      <c r="M1361" s="4" t="s">
        <v>34</v>
      </c>
      <c r="N1361" s="4" t="s">
        <v>28</v>
      </c>
    </row>
    <row r="1362" spans="1:14" ht="14.4" thickBot="1" x14ac:dyDescent="0.35">
      <c r="A1362" s="4" t="s">
        <v>19</v>
      </c>
      <c r="B1362" s="4" t="s">
        <v>505</v>
      </c>
      <c r="C1362" s="4" t="s">
        <v>805</v>
      </c>
      <c r="D1362" s="4" t="s">
        <v>806</v>
      </c>
      <c r="E1362" s="4" t="s">
        <v>87</v>
      </c>
      <c r="F1362" s="4" t="s">
        <v>809</v>
      </c>
      <c r="G1362" s="4" t="s">
        <v>810</v>
      </c>
      <c r="H1362" s="4" t="s">
        <v>69</v>
      </c>
      <c r="I1362" s="4" t="s">
        <v>94</v>
      </c>
      <c r="J1362" s="4" t="s">
        <v>28</v>
      </c>
      <c r="K1362" s="4" t="s">
        <v>27</v>
      </c>
      <c r="L1362" s="4" t="s">
        <v>28</v>
      </c>
      <c r="M1362" s="4" t="s">
        <v>34</v>
      </c>
      <c r="N1362" s="4" t="s">
        <v>28</v>
      </c>
    </row>
    <row r="1363" spans="1:14" ht="14.4" thickBot="1" x14ac:dyDescent="0.35">
      <c r="A1363" s="4" t="s">
        <v>19</v>
      </c>
      <c r="B1363" s="4" t="s">
        <v>505</v>
      </c>
      <c r="C1363" s="4" t="s">
        <v>805</v>
      </c>
      <c r="D1363" s="4" t="s">
        <v>806</v>
      </c>
      <c r="E1363" s="4" t="s">
        <v>87</v>
      </c>
      <c r="F1363" s="4" t="s">
        <v>960</v>
      </c>
      <c r="G1363" s="4" t="s">
        <v>961</v>
      </c>
      <c r="H1363" s="4" t="s">
        <v>26</v>
      </c>
      <c r="I1363" s="4" t="s">
        <v>26</v>
      </c>
      <c r="J1363" s="4" t="s">
        <v>27</v>
      </c>
      <c r="K1363" s="4" t="s">
        <v>28</v>
      </c>
      <c r="L1363" s="4" t="s">
        <v>28</v>
      </c>
      <c r="M1363" s="4" t="s">
        <v>130</v>
      </c>
      <c r="N1363" s="4" t="s">
        <v>28</v>
      </c>
    </row>
    <row r="1364" spans="1:14" ht="14.4" thickBot="1" x14ac:dyDescent="0.35">
      <c r="A1364" s="4" t="s">
        <v>19</v>
      </c>
      <c r="B1364" s="4" t="s">
        <v>505</v>
      </c>
      <c r="C1364" s="4" t="s">
        <v>805</v>
      </c>
      <c r="D1364" s="4" t="s">
        <v>806</v>
      </c>
      <c r="E1364" s="4" t="s">
        <v>87</v>
      </c>
      <c r="F1364" s="4" t="s">
        <v>1698</v>
      </c>
      <c r="G1364" s="4" t="s">
        <v>1699</v>
      </c>
      <c r="H1364" s="4" t="s">
        <v>69</v>
      </c>
      <c r="I1364" s="4" t="s">
        <v>94</v>
      </c>
      <c r="J1364" s="4" t="s">
        <v>28</v>
      </c>
      <c r="K1364" s="4" t="s">
        <v>27</v>
      </c>
      <c r="L1364" s="4" t="s">
        <v>28</v>
      </c>
      <c r="M1364" s="4" t="s">
        <v>34</v>
      </c>
      <c r="N1364" s="4" t="s">
        <v>28</v>
      </c>
    </row>
    <row r="1365" spans="1:14" ht="14.4" thickBot="1" x14ac:dyDescent="0.35">
      <c r="A1365" s="4" t="s">
        <v>19</v>
      </c>
      <c r="B1365" s="4" t="s">
        <v>505</v>
      </c>
      <c r="C1365" s="4" t="s">
        <v>805</v>
      </c>
      <c r="D1365" s="4" t="s">
        <v>806</v>
      </c>
      <c r="E1365" s="4" t="s">
        <v>87</v>
      </c>
      <c r="F1365" s="4" t="s">
        <v>2490</v>
      </c>
      <c r="G1365" s="4" t="s">
        <v>2491</v>
      </c>
      <c r="H1365" s="4" t="s">
        <v>26</v>
      </c>
      <c r="I1365" s="4" t="s">
        <v>26</v>
      </c>
      <c r="J1365" s="4" t="s">
        <v>27</v>
      </c>
      <c r="K1365" s="4" t="s">
        <v>28</v>
      </c>
      <c r="L1365" s="4" t="s">
        <v>28</v>
      </c>
      <c r="M1365" s="4" t="s">
        <v>130</v>
      </c>
      <c r="N1365" s="4" t="s">
        <v>28</v>
      </c>
    </row>
    <row r="1366" spans="1:14" ht="14.4" thickBot="1" x14ac:dyDescent="0.35">
      <c r="A1366" s="4" t="s">
        <v>19</v>
      </c>
      <c r="B1366" s="4" t="s">
        <v>505</v>
      </c>
      <c r="C1366" s="4" t="s">
        <v>805</v>
      </c>
      <c r="D1366" s="4" t="s">
        <v>806</v>
      </c>
      <c r="E1366" s="4" t="s">
        <v>87</v>
      </c>
      <c r="F1366" s="4" t="s">
        <v>3155</v>
      </c>
      <c r="G1366" s="4" t="s">
        <v>3156</v>
      </c>
      <c r="H1366" s="4" t="s">
        <v>135</v>
      </c>
      <c r="I1366" s="4" t="s">
        <v>33</v>
      </c>
      <c r="J1366" s="4" t="s">
        <v>27</v>
      </c>
      <c r="K1366" s="4" t="s">
        <v>28</v>
      </c>
      <c r="L1366" s="4" t="s">
        <v>28</v>
      </c>
      <c r="M1366" s="4" t="s">
        <v>34</v>
      </c>
      <c r="N1366" s="4" t="s">
        <v>28</v>
      </c>
    </row>
    <row r="1367" spans="1:14" ht="14.4" thickBot="1" x14ac:dyDescent="0.35">
      <c r="A1367" s="4" t="s">
        <v>19</v>
      </c>
      <c r="B1367" s="4" t="s">
        <v>505</v>
      </c>
      <c r="C1367" s="4" t="s">
        <v>805</v>
      </c>
      <c r="D1367" s="4" t="s">
        <v>806</v>
      </c>
      <c r="E1367" s="4" t="s">
        <v>87</v>
      </c>
      <c r="F1367" s="4" t="s">
        <v>3966</v>
      </c>
      <c r="G1367" s="4" t="s">
        <v>3967</v>
      </c>
      <c r="H1367" s="4" t="s">
        <v>26</v>
      </c>
      <c r="I1367" s="4" t="s">
        <v>33</v>
      </c>
      <c r="J1367" s="4" t="s">
        <v>27</v>
      </c>
      <c r="K1367" s="4" t="s">
        <v>28</v>
      </c>
      <c r="L1367" s="4" t="s">
        <v>28</v>
      </c>
      <c r="M1367" s="4" t="s">
        <v>34</v>
      </c>
      <c r="N1367" s="4" t="s">
        <v>28</v>
      </c>
    </row>
    <row r="1368" spans="1:14" ht="14.4" thickBot="1" x14ac:dyDescent="0.35">
      <c r="A1368" s="4" t="s">
        <v>19</v>
      </c>
      <c r="B1368" s="4" t="s">
        <v>505</v>
      </c>
      <c r="C1368" s="4" t="s">
        <v>805</v>
      </c>
      <c r="D1368" s="4" t="s">
        <v>806</v>
      </c>
      <c r="E1368" s="4" t="s">
        <v>87</v>
      </c>
      <c r="F1368" s="4" t="s">
        <v>3968</v>
      </c>
      <c r="G1368" s="4" t="s">
        <v>762</v>
      </c>
      <c r="H1368" s="4" t="s">
        <v>135</v>
      </c>
      <c r="I1368" s="4" t="s">
        <v>33</v>
      </c>
      <c r="J1368" s="4" t="s">
        <v>27</v>
      </c>
      <c r="K1368" s="4" t="s">
        <v>28</v>
      </c>
      <c r="L1368" s="4" t="s">
        <v>28</v>
      </c>
      <c r="M1368" s="4" t="s">
        <v>34</v>
      </c>
      <c r="N1368" s="4" t="s">
        <v>28</v>
      </c>
    </row>
    <row r="1369" spans="1:14" ht="14.4" thickBot="1" x14ac:dyDescent="0.35">
      <c r="A1369" s="4" t="s">
        <v>19</v>
      </c>
      <c r="B1369" s="4" t="s">
        <v>505</v>
      </c>
      <c r="C1369" s="4" t="s">
        <v>805</v>
      </c>
      <c r="D1369" s="4" t="s">
        <v>806</v>
      </c>
      <c r="E1369" s="4" t="s">
        <v>87</v>
      </c>
      <c r="F1369" s="4" t="s">
        <v>3969</v>
      </c>
      <c r="G1369" s="4" t="s">
        <v>3970</v>
      </c>
      <c r="H1369" s="4" t="s">
        <v>135</v>
      </c>
      <c r="I1369" s="4" t="s">
        <v>33</v>
      </c>
      <c r="J1369" s="4" t="s">
        <v>27</v>
      </c>
      <c r="K1369" s="4" t="s">
        <v>28</v>
      </c>
      <c r="L1369" s="4" t="s">
        <v>28</v>
      </c>
      <c r="M1369" s="4" t="s">
        <v>34</v>
      </c>
      <c r="N1369" s="4" t="s">
        <v>28</v>
      </c>
    </row>
    <row r="1370" spans="1:14" ht="14.4" thickBot="1" x14ac:dyDescent="0.35">
      <c r="A1370" s="4" t="s">
        <v>19</v>
      </c>
      <c r="B1370" s="4" t="s">
        <v>505</v>
      </c>
      <c r="C1370" s="4" t="s">
        <v>805</v>
      </c>
      <c r="D1370" s="4" t="s">
        <v>806</v>
      </c>
      <c r="E1370" s="4" t="s">
        <v>87</v>
      </c>
      <c r="F1370" s="4" t="s">
        <v>1423</v>
      </c>
      <c r="G1370" s="4" t="s">
        <v>3971</v>
      </c>
      <c r="H1370" s="4" t="s">
        <v>37</v>
      </c>
      <c r="I1370" s="4" t="s">
        <v>38</v>
      </c>
      <c r="J1370" s="4" t="s">
        <v>28</v>
      </c>
      <c r="K1370" s="4" t="s">
        <v>28</v>
      </c>
      <c r="L1370" s="4" t="s">
        <v>27</v>
      </c>
      <c r="M1370" s="4" t="s">
        <v>34</v>
      </c>
      <c r="N1370" s="4" t="s">
        <v>28</v>
      </c>
    </row>
    <row r="1371" spans="1:14" ht="14.4" thickBot="1" x14ac:dyDescent="0.35">
      <c r="A1371" s="4" t="s">
        <v>19</v>
      </c>
      <c r="B1371" s="4" t="s">
        <v>505</v>
      </c>
      <c r="C1371" s="4" t="s">
        <v>805</v>
      </c>
      <c r="D1371" s="4" t="s">
        <v>806</v>
      </c>
      <c r="E1371" s="4" t="s">
        <v>87</v>
      </c>
      <c r="F1371" s="4" t="s">
        <v>4070</v>
      </c>
      <c r="G1371" s="4" t="s">
        <v>4071</v>
      </c>
      <c r="H1371" s="4" t="s">
        <v>26</v>
      </c>
      <c r="I1371" s="4" t="s">
        <v>26</v>
      </c>
      <c r="J1371" s="4" t="s">
        <v>27</v>
      </c>
      <c r="K1371" s="4" t="s">
        <v>28</v>
      </c>
      <c r="L1371" s="4" t="s">
        <v>28</v>
      </c>
      <c r="M1371" s="4" t="s">
        <v>130</v>
      </c>
      <c r="N1371" s="4" t="s">
        <v>28</v>
      </c>
    </row>
    <row r="1372" spans="1:14" ht="14.4" thickBot="1" x14ac:dyDescent="0.35">
      <c r="A1372" s="4" t="s">
        <v>19</v>
      </c>
      <c r="B1372" s="4" t="s">
        <v>505</v>
      </c>
      <c r="C1372" s="4" t="s">
        <v>805</v>
      </c>
      <c r="D1372" s="4" t="s">
        <v>806</v>
      </c>
      <c r="E1372" s="4" t="s">
        <v>87</v>
      </c>
      <c r="F1372" s="4" t="s">
        <v>4669</v>
      </c>
      <c r="G1372" s="4" t="s">
        <v>4670</v>
      </c>
      <c r="H1372" s="4" t="s">
        <v>26</v>
      </c>
      <c r="I1372" s="4" t="s">
        <v>26</v>
      </c>
      <c r="J1372" s="4" t="s">
        <v>27</v>
      </c>
      <c r="K1372" s="4" t="s">
        <v>28</v>
      </c>
      <c r="L1372" s="4" t="s">
        <v>28</v>
      </c>
      <c r="M1372" s="4" t="s">
        <v>34</v>
      </c>
      <c r="N1372" s="4" t="s">
        <v>28</v>
      </c>
    </row>
    <row r="1373" spans="1:14" ht="14.4" thickBot="1" x14ac:dyDescent="0.35">
      <c r="A1373" s="4" t="s">
        <v>19</v>
      </c>
      <c r="B1373" s="4" t="s">
        <v>505</v>
      </c>
      <c r="C1373" s="4" t="s">
        <v>805</v>
      </c>
      <c r="D1373" s="4" t="s">
        <v>806</v>
      </c>
      <c r="E1373" s="4" t="s">
        <v>87</v>
      </c>
      <c r="F1373" s="4" t="s">
        <v>4671</v>
      </c>
      <c r="G1373" s="4" t="s">
        <v>4672</v>
      </c>
      <c r="H1373" s="4" t="s">
        <v>26</v>
      </c>
      <c r="I1373" s="4" t="s">
        <v>33</v>
      </c>
      <c r="J1373" s="4" t="s">
        <v>27</v>
      </c>
      <c r="K1373" s="4" t="s">
        <v>28</v>
      </c>
      <c r="L1373" s="4" t="s">
        <v>28</v>
      </c>
      <c r="M1373" s="4" t="s">
        <v>34</v>
      </c>
      <c r="N1373" s="4" t="s">
        <v>28</v>
      </c>
    </row>
    <row r="1374" spans="1:14" ht="14.4" thickBot="1" x14ac:dyDescent="0.35">
      <c r="A1374" s="4" t="s">
        <v>19</v>
      </c>
      <c r="B1374" s="4" t="s">
        <v>505</v>
      </c>
      <c r="C1374" s="4" t="s">
        <v>805</v>
      </c>
      <c r="D1374" s="4" t="s">
        <v>806</v>
      </c>
      <c r="E1374" s="4" t="s">
        <v>87</v>
      </c>
      <c r="F1374" s="4" t="s">
        <v>4776</v>
      </c>
      <c r="G1374" s="4" t="s">
        <v>4777</v>
      </c>
      <c r="H1374" s="4" t="s">
        <v>26</v>
      </c>
      <c r="I1374" s="4" t="s">
        <v>26</v>
      </c>
      <c r="J1374" s="4" t="s">
        <v>27</v>
      </c>
      <c r="K1374" s="4" t="s">
        <v>28</v>
      </c>
      <c r="L1374" s="4" t="s">
        <v>28</v>
      </c>
      <c r="M1374" s="4" t="s">
        <v>130</v>
      </c>
      <c r="N1374" s="4" t="s">
        <v>28</v>
      </c>
    </row>
    <row r="1375" spans="1:14" ht="14.4" thickBot="1" x14ac:dyDescent="0.35">
      <c r="A1375" s="4" t="s">
        <v>19</v>
      </c>
      <c r="B1375" s="4" t="s">
        <v>505</v>
      </c>
      <c r="C1375" s="4" t="s">
        <v>805</v>
      </c>
      <c r="D1375" s="4" t="s">
        <v>806</v>
      </c>
      <c r="E1375" s="4" t="s">
        <v>87</v>
      </c>
      <c r="F1375" s="4" t="s">
        <v>5363</v>
      </c>
      <c r="G1375" s="4" t="s">
        <v>5364</v>
      </c>
      <c r="H1375" s="4" t="s">
        <v>69</v>
      </c>
      <c r="I1375" s="4" t="s">
        <v>38</v>
      </c>
      <c r="J1375" s="4" t="s">
        <v>28</v>
      </c>
      <c r="K1375" s="4" t="s">
        <v>28</v>
      </c>
      <c r="L1375" s="4" t="s">
        <v>27</v>
      </c>
      <c r="M1375" s="4" t="s">
        <v>34</v>
      </c>
      <c r="N1375" s="4" t="s">
        <v>28</v>
      </c>
    </row>
    <row r="1376" spans="1:14" ht="14.4" thickBot="1" x14ac:dyDescent="0.35">
      <c r="A1376" s="4" t="s">
        <v>19</v>
      </c>
      <c r="B1376" s="4" t="s">
        <v>505</v>
      </c>
      <c r="C1376" s="4" t="s">
        <v>805</v>
      </c>
      <c r="D1376" s="4" t="s">
        <v>806</v>
      </c>
      <c r="E1376" s="4" t="s">
        <v>87</v>
      </c>
      <c r="F1376" s="4" t="s">
        <v>5365</v>
      </c>
      <c r="G1376" s="4" t="s">
        <v>5366</v>
      </c>
      <c r="H1376" s="4" t="s">
        <v>135</v>
      </c>
      <c r="I1376" s="4" t="s">
        <v>33</v>
      </c>
      <c r="J1376" s="4" t="s">
        <v>27</v>
      </c>
      <c r="K1376" s="4" t="s">
        <v>28</v>
      </c>
      <c r="L1376" s="4" t="s">
        <v>28</v>
      </c>
      <c r="M1376" s="4" t="s">
        <v>34</v>
      </c>
      <c r="N1376" s="4" t="s">
        <v>28</v>
      </c>
    </row>
    <row r="1377" spans="1:14" ht="14.4" thickBot="1" x14ac:dyDescent="0.35">
      <c r="A1377" s="4" t="s">
        <v>19</v>
      </c>
      <c r="B1377" s="4" t="s">
        <v>505</v>
      </c>
      <c r="C1377" s="4" t="s">
        <v>805</v>
      </c>
      <c r="D1377" s="4" t="s">
        <v>806</v>
      </c>
      <c r="E1377" s="4" t="s">
        <v>87</v>
      </c>
      <c r="F1377" s="4" t="s">
        <v>6063</v>
      </c>
      <c r="G1377" s="4" t="s">
        <v>6064</v>
      </c>
      <c r="H1377" s="4" t="s">
        <v>135</v>
      </c>
      <c r="I1377" s="4" t="s">
        <v>33</v>
      </c>
      <c r="J1377" s="4" t="s">
        <v>27</v>
      </c>
      <c r="K1377" s="4" t="s">
        <v>28</v>
      </c>
      <c r="L1377" s="4" t="s">
        <v>28</v>
      </c>
      <c r="M1377" s="4" t="s">
        <v>34</v>
      </c>
      <c r="N1377" s="4" t="s">
        <v>28</v>
      </c>
    </row>
    <row r="1378" spans="1:14" ht="14.4" thickBot="1" x14ac:dyDescent="0.35">
      <c r="A1378" s="4" t="s">
        <v>19</v>
      </c>
      <c r="B1378" s="4" t="s">
        <v>505</v>
      </c>
      <c r="C1378" s="4" t="s">
        <v>614</v>
      </c>
      <c r="D1378" s="4" t="s">
        <v>615</v>
      </c>
      <c r="E1378" s="4" t="s">
        <v>87</v>
      </c>
      <c r="F1378" s="4" t="s">
        <v>616</v>
      </c>
      <c r="G1378" s="4" t="s">
        <v>617</v>
      </c>
      <c r="H1378" s="4" t="s">
        <v>26</v>
      </c>
      <c r="I1378" s="4" t="s">
        <v>26</v>
      </c>
      <c r="J1378" s="4" t="s">
        <v>27</v>
      </c>
      <c r="K1378" s="4" t="s">
        <v>28</v>
      </c>
      <c r="L1378" s="4" t="s">
        <v>28</v>
      </c>
      <c r="M1378" s="4" t="s">
        <v>29</v>
      </c>
      <c r="N1378" s="4" t="s">
        <v>28</v>
      </c>
    </row>
    <row r="1379" spans="1:14" ht="14.4" thickBot="1" x14ac:dyDescent="0.35">
      <c r="A1379" s="4" t="s">
        <v>19</v>
      </c>
      <c r="B1379" s="4" t="s">
        <v>505</v>
      </c>
      <c r="C1379" s="4" t="s">
        <v>614</v>
      </c>
      <c r="D1379" s="4" t="s">
        <v>615</v>
      </c>
      <c r="E1379" s="4" t="s">
        <v>87</v>
      </c>
      <c r="F1379" s="4" t="s">
        <v>618</v>
      </c>
      <c r="G1379" s="4" t="s">
        <v>619</v>
      </c>
      <c r="H1379" s="4" t="s">
        <v>26</v>
      </c>
      <c r="I1379" s="4" t="s">
        <v>26</v>
      </c>
      <c r="J1379" s="4" t="s">
        <v>27</v>
      </c>
      <c r="K1379" s="4" t="s">
        <v>28</v>
      </c>
      <c r="L1379" s="4" t="s">
        <v>28</v>
      </c>
      <c r="M1379" s="4" t="s">
        <v>130</v>
      </c>
      <c r="N1379" s="4" t="s">
        <v>28</v>
      </c>
    </row>
    <row r="1380" spans="1:14" ht="14.4" thickBot="1" x14ac:dyDescent="0.35">
      <c r="A1380" s="4" t="s">
        <v>19</v>
      </c>
      <c r="B1380" s="4" t="s">
        <v>505</v>
      </c>
      <c r="C1380" s="4" t="s">
        <v>614</v>
      </c>
      <c r="D1380" s="4" t="s">
        <v>615</v>
      </c>
      <c r="E1380" s="4" t="s">
        <v>87</v>
      </c>
      <c r="F1380" s="4" t="s">
        <v>620</v>
      </c>
      <c r="G1380" s="4" t="s">
        <v>621</v>
      </c>
      <c r="H1380" s="4" t="s">
        <v>69</v>
      </c>
      <c r="I1380" s="4" t="s">
        <v>94</v>
      </c>
      <c r="J1380" s="4" t="s">
        <v>28</v>
      </c>
      <c r="K1380" s="4" t="s">
        <v>27</v>
      </c>
      <c r="L1380" s="4" t="s">
        <v>28</v>
      </c>
      <c r="M1380" s="4" t="s">
        <v>34</v>
      </c>
      <c r="N1380" s="4" t="s">
        <v>28</v>
      </c>
    </row>
    <row r="1381" spans="1:14" ht="14.4" thickBot="1" x14ac:dyDescent="0.35">
      <c r="A1381" s="4" t="s">
        <v>19</v>
      </c>
      <c r="B1381" s="4" t="s">
        <v>505</v>
      </c>
      <c r="C1381" s="4" t="s">
        <v>614</v>
      </c>
      <c r="D1381" s="4" t="s">
        <v>615</v>
      </c>
      <c r="E1381" s="4" t="s">
        <v>87</v>
      </c>
      <c r="F1381" s="4" t="s">
        <v>622</v>
      </c>
      <c r="G1381" s="4" t="s">
        <v>623</v>
      </c>
      <c r="H1381" s="4" t="s">
        <v>69</v>
      </c>
      <c r="I1381" s="4" t="s">
        <v>94</v>
      </c>
      <c r="J1381" s="4" t="s">
        <v>28</v>
      </c>
      <c r="K1381" s="4" t="s">
        <v>27</v>
      </c>
      <c r="L1381" s="4" t="s">
        <v>28</v>
      </c>
      <c r="M1381" s="4" t="s">
        <v>34</v>
      </c>
      <c r="N1381" s="4" t="s">
        <v>28</v>
      </c>
    </row>
    <row r="1382" spans="1:14" ht="14.4" thickBot="1" x14ac:dyDescent="0.35">
      <c r="A1382" s="4" t="s">
        <v>19</v>
      </c>
      <c r="B1382" s="4" t="s">
        <v>505</v>
      </c>
      <c r="C1382" s="4" t="s">
        <v>614</v>
      </c>
      <c r="D1382" s="4" t="s">
        <v>615</v>
      </c>
      <c r="E1382" s="4" t="s">
        <v>87</v>
      </c>
      <c r="F1382" s="4" t="s">
        <v>624</v>
      </c>
      <c r="G1382" s="4" t="s">
        <v>625</v>
      </c>
      <c r="H1382" s="4" t="s">
        <v>26</v>
      </c>
      <c r="I1382" s="4" t="s">
        <v>26</v>
      </c>
      <c r="J1382" s="4" t="s">
        <v>27</v>
      </c>
      <c r="K1382" s="4" t="s">
        <v>28</v>
      </c>
      <c r="L1382" s="4" t="s">
        <v>28</v>
      </c>
      <c r="M1382" s="4" t="s">
        <v>130</v>
      </c>
      <c r="N1382" s="4" t="s">
        <v>28</v>
      </c>
    </row>
    <row r="1383" spans="1:14" ht="14.4" thickBot="1" x14ac:dyDescent="0.35">
      <c r="A1383" s="4" t="s">
        <v>19</v>
      </c>
      <c r="B1383" s="4" t="s">
        <v>505</v>
      </c>
      <c r="C1383" s="4" t="s">
        <v>614</v>
      </c>
      <c r="D1383" s="4" t="s">
        <v>615</v>
      </c>
      <c r="E1383" s="4" t="s">
        <v>87</v>
      </c>
      <c r="F1383" s="4" t="s">
        <v>626</v>
      </c>
      <c r="G1383" s="4" t="s">
        <v>627</v>
      </c>
      <c r="H1383" s="4" t="s">
        <v>26</v>
      </c>
      <c r="I1383" s="4" t="s">
        <v>26</v>
      </c>
      <c r="J1383" s="4" t="s">
        <v>27</v>
      </c>
      <c r="K1383" s="4" t="s">
        <v>28</v>
      </c>
      <c r="L1383" s="4" t="s">
        <v>28</v>
      </c>
      <c r="M1383" s="4" t="s">
        <v>130</v>
      </c>
      <c r="N1383" s="4" t="s">
        <v>28</v>
      </c>
    </row>
    <row r="1384" spans="1:14" ht="14.4" thickBot="1" x14ac:dyDescent="0.35">
      <c r="A1384" s="4" t="s">
        <v>19</v>
      </c>
      <c r="B1384" s="4" t="s">
        <v>505</v>
      </c>
      <c r="C1384" s="4" t="s">
        <v>614</v>
      </c>
      <c r="D1384" s="4" t="s">
        <v>615</v>
      </c>
      <c r="E1384" s="4" t="s">
        <v>87</v>
      </c>
      <c r="F1384" s="4" t="s">
        <v>628</v>
      </c>
      <c r="G1384" s="4" t="s">
        <v>629</v>
      </c>
      <c r="H1384" s="4" t="s">
        <v>26</v>
      </c>
      <c r="I1384" s="4" t="s">
        <v>33</v>
      </c>
      <c r="J1384" s="4" t="s">
        <v>27</v>
      </c>
      <c r="K1384" s="4" t="s">
        <v>28</v>
      </c>
      <c r="L1384" s="4" t="s">
        <v>28</v>
      </c>
      <c r="M1384" s="4" t="s">
        <v>34</v>
      </c>
      <c r="N1384" s="4" t="s">
        <v>28</v>
      </c>
    </row>
    <row r="1385" spans="1:14" ht="14.4" thickBot="1" x14ac:dyDescent="0.35">
      <c r="A1385" s="4" t="s">
        <v>19</v>
      </c>
      <c r="B1385" s="4" t="s">
        <v>505</v>
      </c>
      <c r="C1385" s="4" t="s">
        <v>614</v>
      </c>
      <c r="D1385" s="4" t="s">
        <v>615</v>
      </c>
      <c r="E1385" s="4" t="s">
        <v>87</v>
      </c>
      <c r="F1385" s="4" t="s">
        <v>630</v>
      </c>
      <c r="G1385" s="4" t="s">
        <v>631</v>
      </c>
      <c r="H1385" s="4" t="s">
        <v>26</v>
      </c>
      <c r="I1385" s="4" t="s">
        <v>26</v>
      </c>
      <c r="J1385" s="5"/>
      <c r="K1385" s="5"/>
      <c r="L1385" s="5"/>
      <c r="M1385" s="4" t="s">
        <v>29</v>
      </c>
      <c r="N1385" s="5"/>
    </row>
    <row r="1386" spans="1:14" ht="14.4" thickBot="1" x14ac:dyDescent="0.35">
      <c r="A1386" s="4" t="s">
        <v>19</v>
      </c>
      <c r="B1386" s="4" t="s">
        <v>505</v>
      </c>
      <c r="C1386" s="4" t="s">
        <v>614</v>
      </c>
      <c r="D1386" s="4" t="s">
        <v>615</v>
      </c>
      <c r="E1386" s="4" t="s">
        <v>87</v>
      </c>
      <c r="F1386" s="4" t="s">
        <v>632</v>
      </c>
      <c r="G1386" s="4" t="s">
        <v>633</v>
      </c>
      <c r="H1386" s="4" t="s">
        <v>69</v>
      </c>
      <c r="I1386" s="4" t="s">
        <v>94</v>
      </c>
      <c r="J1386" s="4" t="s">
        <v>28</v>
      </c>
      <c r="K1386" s="4" t="s">
        <v>27</v>
      </c>
      <c r="L1386" s="4" t="s">
        <v>28</v>
      </c>
      <c r="M1386" s="4" t="s">
        <v>34</v>
      </c>
      <c r="N1386" s="4" t="s">
        <v>28</v>
      </c>
    </row>
    <row r="1387" spans="1:14" ht="14.4" thickBot="1" x14ac:dyDescent="0.35">
      <c r="A1387" s="4" t="s">
        <v>19</v>
      </c>
      <c r="B1387" s="4" t="s">
        <v>505</v>
      </c>
      <c r="C1387" s="4" t="s">
        <v>614</v>
      </c>
      <c r="D1387" s="4" t="s">
        <v>615</v>
      </c>
      <c r="E1387" s="4" t="s">
        <v>87</v>
      </c>
      <c r="F1387" s="4" t="s">
        <v>634</v>
      </c>
      <c r="G1387" s="4" t="s">
        <v>635</v>
      </c>
      <c r="H1387" s="4" t="s">
        <v>26</v>
      </c>
      <c r="I1387" s="4" t="s">
        <v>135</v>
      </c>
      <c r="J1387" s="5"/>
      <c r="K1387" s="5"/>
      <c r="L1387" s="5"/>
      <c r="M1387" s="4" t="s">
        <v>29</v>
      </c>
      <c r="N1387" s="5"/>
    </row>
    <row r="1388" spans="1:14" ht="14.4" thickBot="1" x14ac:dyDescent="0.35">
      <c r="A1388" s="4" t="s">
        <v>19</v>
      </c>
      <c r="B1388" s="4" t="s">
        <v>505</v>
      </c>
      <c r="C1388" s="4" t="s">
        <v>614</v>
      </c>
      <c r="D1388" s="4" t="s">
        <v>615</v>
      </c>
      <c r="E1388" s="4" t="s">
        <v>87</v>
      </c>
      <c r="F1388" s="4" t="s">
        <v>636</v>
      </c>
      <c r="G1388" s="4" t="s">
        <v>637</v>
      </c>
      <c r="H1388" s="4" t="s">
        <v>26</v>
      </c>
      <c r="I1388" s="4" t="s">
        <v>26</v>
      </c>
      <c r="J1388" s="5"/>
      <c r="K1388" s="5"/>
      <c r="L1388" s="5"/>
      <c r="M1388" s="4" t="s">
        <v>29</v>
      </c>
      <c r="N1388" s="5"/>
    </row>
    <row r="1389" spans="1:14" ht="14.4" thickBot="1" x14ac:dyDescent="0.35">
      <c r="A1389" s="4" t="s">
        <v>19</v>
      </c>
      <c r="B1389" s="4" t="s">
        <v>505</v>
      </c>
      <c r="C1389" s="4" t="s">
        <v>614</v>
      </c>
      <c r="D1389" s="4" t="s">
        <v>615</v>
      </c>
      <c r="E1389" s="4" t="s">
        <v>87</v>
      </c>
      <c r="F1389" s="4" t="s">
        <v>638</v>
      </c>
      <c r="G1389" s="4" t="s">
        <v>639</v>
      </c>
      <c r="H1389" s="4" t="s">
        <v>69</v>
      </c>
      <c r="I1389" s="4" t="s">
        <v>94</v>
      </c>
      <c r="J1389" s="4" t="s">
        <v>28</v>
      </c>
      <c r="K1389" s="4" t="s">
        <v>27</v>
      </c>
      <c r="L1389" s="4" t="s">
        <v>28</v>
      </c>
      <c r="M1389" s="4" t="s">
        <v>34</v>
      </c>
      <c r="N1389" s="4" t="s">
        <v>28</v>
      </c>
    </row>
    <row r="1390" spans="1:14" ht="14.4" thickBot="1" x14ac:dyDescent="0.35">
      <c r="A1390" s="4" t="s">
        <v>19</v>
      </c>
      <c r="B1390" s="4" t="s">
        <v>505</v>
      </c>
      <c r="C1390" s="4" t="s">
        <v>614</v>
      </c>
      <c r="D1390" s="4" t="s">
        <v>615</v>
      </c>
      <c r="E1390" s="4" t="s">
        <v>87</v>
      </c>
      <c r="F1390" s="4" t="s">
        <v>640</v>
      </c>
      <c r="G1390" s="4" t="s">
        <v>641</v>
      </c>
      <c r="H1390" s="4" t="s">
        <v>26</v>
      </c>
      <c r="I1390" s="4" t="s">
        <v>33</v>
      </c>
      <c r="J1390" s="4" t="s">
        <v>27</v>
      </c>
      <c r="K1390" s="4" t="s">
        <v>28</v>
      </c>
      <c r="L1390" s="4" t="s">
        <v>28</v>
      </c>
      <c r="M1390" s="4" t="s">
        <v>34</v>
      </c>
      <c r="N1390" s="4" t="s">
        <v>28</v>
      </c>
    </row>
    <row r="1391" spans="1:14" ht="14.4" thickBot="1" x14ac:dyDescent="0.35">
      <c r="A1391" s="4" t="s">
        <v>19</v>
      </c>
      <c r="B1391" s="4" t="s">
        <v>505</v>
      </c>
      <c r="C1391" s="4" t="s">
        <v>614</v>
      </c>
      <c r="D1391" s="4" t="s">
        <v>615</v>
      </c>
      <c r="E1391" s="4" t="s">
        <v>87</v>
      </c>
      <c r="F1391" s="4" t="s">
        <v>642</v>
      </c>
      <c r="G1391" s="4" t="s">
        <v>643</v>
      </c>
      <c r="H1391" s="4" t="s">
        <v>26</v>
      </c>
      <c r="I1391" s="4" t="s">
        <v>26</v>
      </c>
      <c r="J1391" s="4" t="s">
        <v>27</v>
      </c>
      <c r="K1391" s="4" t="s">
        <v>28</v>
      </c>
      <c r="L1391" s="4" t="s">
        <v>28</v>
      </c>
      <c r="M1391" s="4" t="s">
        <v>29</v>
      </c>
      <c r="N1391" s="4" t="s">
        <v>28</v>
      </c>
    </row>
    <row r="1392" spans="1:14" ht="14.4" thickBot="1" x14ac:dyDescent="0.35">
      <c r="A1392" s="4" t="s">
        <v>19</v>
      </c>
      <c r="B1392" s="4" t="s">
        <v>505</v>
      </c>
      <c r="C1392" s="4" t="s">
        <v>614</v>
      </c>
      <c r="D1392" s="4" t="s">
        <v>615</v>
      </c>
      <c r="E1392" s="4" t="s">
        <v>87</v>
      </c>
      <c r="F1392" s="4" t="s">
        <v>644</v>
      </c>
      <c r="G1392" s="4" t="s">
        <v>645</v>
      </c>
      <c r="H1392" s="4" t="s">
        <v>26</v>
      </c>
      <c r="I1392" s="4" t="s">
        <v>135</v>
      </c>
      <c r="J1392" s="5"/>
      <c r="K1392" s="5"/>
      <c r="L1392" s="5"/>
      <c r="M1392" s="4" t="s">
        <v>29</v>
      </c>
      <c r="N1392" s="5"/>
    </row>
    <row r="1393" spans="1:14" ht="14.4" thickBot="1" x14ac:dyDescent="0.35">
      <c r="A1393" s="4" t="s">
        <v>19</v>
      </c>
      <c r="B1393" s="4" t="s">
        <v>505</v>
      </c>
      <c r="C1393" s="4" t="s">
        <v>614</v>
      </c>
      <c r="D1393" s="4" t="s">
        <v>615</v>
      </c>
      <c r="E1393" s="4" t="s">
        <v>87</v>
      </c>
      <c r="F1393" s="4" t="s">
        <v>646</v>
      </c>
      <c r="G1393" s="4" t="s">
        <v>647</v>
      </c>
      <c r="H1393" s="4" t="s">
        <v>26</v>
      </c>
      <c r="I1393" s="4" t="s">
        <v>94</v>
      </c>
      <c r="J1393" s="5"/>
      <c r="K1393" s="5"/>
      <c r="L1393" s="5"/>
      <c r="M1393" s="4" t="s">
        <v>29</v>
      </c>
      <c r="N1393" s="5"/>
    </row>
    <row r="1394" spans="1:14" ht="14.4" thickBot="1" x14ac:dyDescent="0.35">
      <c r="A1394" s="4" t="s">
        <v>19</v>
      </c>
      <c r="B1394" s="4" t="s">
        <v>505</v>
      </c>
      <c r="C1394" s="4" t="s">
        <v>614</v>
      </c>
      <c r="D1394" s="4" t="s">
        <v>615</v>
      </c>
      <c r="E1394" s="4" t="s">
        <v>87</v>
      </c>
      <c r="F1394" s="4" t="s">
        <v>648</v>
      </c>
      <c r="G1394" s="4" t="s">
        <v>649</v>
      </c>
      <c r="H1394" s="4" t="s">
        <v>26</v>
      </c>
      <c r="I1394" s="4" t="s">
        <v>33</v>
      </c>
      <c r="J1394" s="4" t="s">
        <v>27</v>
      </c>
      <c r="K1394" s="4" t="s">
        <v>28</v>
      </c>
      <c r="L1394" s="4" t="s">
        <v>28</v>
      </c>
      <c r="M1394" s="4" t="s">
        <v>34</v>
      </c>
      <c r="N1394" s="4" t="s">
        <v>28</v>
      </c>
    </row>
    <row r="1395" spans="1:14" ht="14.4" thickBot="1" x14ac:dyDescent="0.35">
      <c r="A1395" s="4" t="s">
        <v>19</v>
      </c>
      <c r="B1395" s="4" t="s">
        <v>505</v>
      </c>
      <c r="C1395" s="4" t="s">
        <v>614</v>
      </c>
      <c r="D1395" s="4" t="s">
        <v>615</v>
      </c>
      <c r="E1395" s="4" t="s">
        <v>87</v>
      </c>
      <c r="F1395" s="4" t="s">
        <v>650</v>
      </c>
      <c r="G1395" s="4" t="s">
        <v>651</v>
      </c>
      <c r="H1395" s="4" t="s">
        <v>135</v>
      </c>
      <c r="I1395" s="4" t="s">
        <v>33</v>
      </c>
      <c r="J1395" s="4" t="s">
        <v>27</v>
      </c>
      <c r="K1395" s="4" t="s">
        <v>28</v>
      </c>
      <c r="L1395" s="4" t="s">
        <v>28</v>
      </c>
      <c r="M1395" s="4" t="s">
        <v>34</v>
      </c>
      <c r="N1395" s="4" t="s">
        <v>28</v>
      </c>
    </row>
    <row r="1396" spans="1:14" ht="14.4" thickBot="1" x14ac:dyDescent="0.35">
      <c r="A1396" s="4" t="s">
        <v>19</v>
      </c>
      <c r="B1396" s="4" t="s">
        <v>505</v>
      </c>
      <c r="C1396" s="4" t="s">
        <v>614</v>
      </c>
      <c r="D1396" s="4" t="s">
        <v>615</v>
      </c>
      <c r="E1396" s="4" t="s">
        <v>87</v>
      </c>
      <c r="F1396" s="4" t="s">
        <v>652</v>
      </c>
      <c r="G1396" s="4" t="s">
        <v>653</v>
      </c>
      <c r="H1396" s="4" t="s">
        <v>26</v>
      </c>
      <c r="I1396" s="4" t="s">
        <v>33</v>
      </c>
      <c r="J1396" s="4" t="s">
        <v>27</v>
      </c>
      <c r="K1396" s="4" t="s">
        <v>28</v>
      </c>
      <c r="L1396" s="4" t="s">
        <v>28</v>
      </c>
      <c r="M1396" s="4" t="s">
        <v>34</v>
      </c>
      <c r="N1396" s="4" t="s">
        <v>28</v>
      </c>
    </row>
    <row r="1397" spans="1:14" ht="14.4" thickBot="1" x14ac:dyDescent="0.35">
      <c r="A1397" s="4" t="s">
        <v>19</v>
      </c>
      <c r="B1397" s="4" t="s">
        <v>505</v>
      </c>
      <c r="C1397" s="4" t="s">
        <v>614</v>
      </c>
      <c r="D1397" s="4" t="s">
        <v>615</v>
      </c>
      <c r="E1397" s="4" t="s">
        <v>87</v>
      </c>
      <c r="F1397" s="4" t="s">
        <v>654</v>
      </c>
      <c r="G1397" s="4" t="s">
        <v>655</v>
      </c>
      <c r="H1397" s="4" t="s">
        <v>37</v>
      </c>
      <c r="I1397" s="4" t="s">
        <v>38</v>
      </c>
      <c r="J1397" s="4" t="s">
        <v>28</v>
      </c>
      <c r="K1397" s="4" t="s">
        <v>28</v>
      </c>
      <c r="L1397" s="4" t="s">
        <v>27</v>
      </c>
      <c r="M1397" s="4" t="s">
        <v>34</v>
      </c>
      <c r="N1397" s="4" t="s">
        <v>28</v>
      </c>
    </row>
    <row r="1398" spans="1:14" ht="14.4" thickBot="1" x14ac:dyDescent="0.35">
      <c r="A1398" s="4" t="s">
        <v>19</v>
      </c>
      <c r="B1398" s="4" t="s">
        <v>505</v>
      </c>
      <c r="C1398" s="4" t="s">
        <v>614</v>
      </c>
      <c r="D1398" s="4" t="s">
        <v>615</v>
      </c>
      <c r="E1398" s="4" t="s">
        <v>87</v>
      </c>
      <c r="F1398" s="4" t="s">
        <v>656</v>
      </c>
      <c r="G1398" s="4" t="s">
        <v>657</v>
      </c>
      <c r="H1398" s="4" t="s">
        <v>26</v>
      </c>
      <c r="I1398" s="4" t="s">
        <v>33</v>
      </c>
      <c r="J1398" s="4" t="s">
        <v>27</v>
      </c>
      <c r="K1398" s="4" t="s">
        <v>28</v>
      </c>
      <c r="L1398" s="4" t="s">
        <v>28</v>
      </c>
      <c r="M1398" s="4" t="s">
        <v>34</v>
      </c>
      <c r="N1398" s="4" t="s">
        <v>28</v>
      </c>
    </row>
    <row r="1399" spans="1:14" ht="14.4" thickBot="1" x14ac:dyDescent="0.35">
      <c r="A1399" s="4" t="s">
        <v>19</v>
      </c>
      <c r="B1399" s="4" t="s">
        <v>505</v>
      </c>
      <c r="C1399" s="4" t="s">
        <v>614</v>
      </c>
      <c r="D1399" s="4" t="s">
        <v>615</v>
      </c>
      <c r="E1399" s="4" t="s">
        <v>87</v>
      </c>
      <c r="F1399" s="4" t="s">
        <v>658</v>
      </c>
      <c r="G1399" s="4" t="s">
        <v>659</v>
      </c>
      <c r="H1399" s="4" t="s">
        <v>26</v>
      </c>
      <c r="I1399" s="4" t="s">
        <v>33</v>
      </c>
      <c r="J1399" s="4" t="s">
        <v>27</v>
      </c>
      <c r="K1399" s="4" t="s">
        <v>28</v>
      </c>
      <c r="L1399" s="4" t="s">
        <v>28</v>
      </c>
      <c r="M1399" s="4" t="s">
        <v>34</v>
      </c>
      <c r="N1399" s="4" t="s">
        <v>28</v>
      </c>
    </row>
    <row r="1400" spans="1:14" ht="14.4" thickBot="1" x14ac:dyDescent="0.35">
      <c r="A1400" s="4" t="s">
        <v>19</v>
      </c>
      <c r="B1400" s="4" t="s">
        <v>505</v>
      </c>
      <c r="C1400" s="4" t="s">
        <v>614</v>
      </c>
      <c r="D1400" s="4" t="s">
        <v>615</v>
      </c>
      <c r="E1400" s="4" t="s">
        <v>87</v>
      </c>
      <c r="F1400" s="4" t="s">
        <v>660</v>
      </c>
      <c r="G1400" s="4" t="s">
        <v>661</v>
      </c>
      <c r="H1400" s="4" t="s">
        <v>26</v>
      </c>
      <c r="I1400" s="4" t="s">
        <v>33</v>
      </c>
      <c r="J1400" s="4" t="s">
        <v>27</v>
      </c>
      <c r="K1400" s="4" t="s">
        <v>28</v>
      </c>
      <c r="L1400" s="4" t="s">
        <v>28</v>
      </c>
      <c r="M1400" s="4" t="s">
        <v>34</v>
      </c>
      <c r="N1400" s="4" t="s">
        <v>28</v>
      </c>
    </row>
    <row r="1401" spans="1:14" ht="14.4" thickBot="1" x14ac:dyDescent="0.35">
      <c r="A1401" s="4" t="s">
        <v>19</v>
      </c>
      <c r="B1401" s="4" t="s">
        <v>505</v>
      </c>
      <c r="C1401" s="4" t="s">
        <v>614</v>
      </c>
      <c r="D1401" s="4" t="s">
        <v>615</v>
      </c>
      <c r="E1401" s="4" t="s">
        <v>87</v>
      </c>
      <c r="F1401" s="4" t="s">
        <v>1560</v>
      </c>
      <c r="G1401" s="4" t="s">
        <v>1561</v>
      </c>
      <c r="H1401" s="4" t="s">
        <v>26</v>
      </c>
      <c r="I1401" s="4" t="s">
        <v>33</v>
      </c>
      <c r="J1401" s="4" t="s">
        <v>27</v>
      </c>
      <c r="K1401" s="4" t="s">
        <v>28</v>
      </c>
      <c r="L1401" s="4" t="s">
        <v>28</v>
      </c>
      <c r="M1401" s="4" t="s">
        <v>34</v>
      </c>
      <c r="N1401" s="4" t="s">
        <v>28</v>
      </c>
    </row>
    <row r="1402" spans="1:14" ht="14.4" thickBot="1" x14ac:dyDescent="0.35">
      <c r="A1402" s="4" t="s">
        <v>19</v>
      </c>
      <c r="B1402" s="4" t="s">
        <v>505</v>
      </c>
      <c r="C1402" s="4" t="s">
        <v>614</v>
      </c>
      <c r="D1402" s="4" t="s">
        <v>615</v>
      </c>
      <c r="E1402" s="4" t="s">
        <v>87</v>
      </c>
      <c r="F1402" s="4" t="s">
        <v>1562</v>
      </c>
      <c r="G1402" s="4" t="s">
        <v>1563</v>
      </c>
      <c r="H1402" s="4" t="s">
        <v>26</v>
      </c>
      <c r="I1402" s="4" t="s">
        <v>26</v>
      </c>
      <c r="J1402" s="4" t="s">
        <v>27</v>
      </c>
      <c r="K1402" s="4" t="s">
        <v>28</v>
      </c>
      <c r="L1402" s="4" t="s">
        <v>28</v>
      </c>
      <c r="M1402" s="4" t="s">
        <v>130</v>
      </c>
      <c r="N1402" s="4" t="s">
        <v>28</v>
      </c>
    </row>
    <row r="1403" spans="1:14" ht="14.4" thickBot="1" x14ac:dyDescent="0.35">
      <c r="A1403" s="4" t="s">
        <v>19</v>
      </c>
      <c r="B1403" s="4" t="s">
        <v>505</v>
      </c>
      <c r="C1403" s="4" t="s">
        <v>614</v>
      </c>
      <c r="D1403" s="4" t="s">
        <v>615</v>
      </c>
      <c r="E1403" s="4" t="s">
        <v>87</v>
      </c>
      <c r="F1403" s="4" t="s">
        <v>1564</v>
      </c>
      <c r="G1403" s="4" t="s">
        <v>1565</v>
      </c>
      <c r="H1403" s="4" t="s">
        <v>26</v>
      </c>
      <c r="I1403" s="4" t="s">
        <v>26</v>
      </c>
      <c r="J1403" s="4" t="s">
        <v>27</v>
      </c>
      <c r="K1403" s="4" t="s">
        <v>28</v>
      </c>
      <c r="L1403" s="4" t="s">
        <v>28</v>
      </c>
      <c r="M1403" s="4" t="s">
        <v>130</v>
      </c>
      <c r="N1403" s="4" t="s">
        <v>28</v>
      </c>
    </row>
    <row r="1404" spans="1:14" ht="14.4" thickBot="1" x14ac:dyDescent="0.35">
      <c r="A1404" s="4" t="s">
        <v>19</v>
      </c>
      <c r="B1404" s="4" t="s">
        <v>505</v>
      </c>
      <c r="C1404" s="4" t="s">
        <v>614</v>
      </c>
      <c r="D1404" s="4" t="s">
        <v>615</v>
      </c>
      <c r="E1404" s="4" t="s">
        <v>87</v>
      </c>
      <c r="F1404" s="4" t="s">
        <v>1566</v>
      </c>
      <c r="G1404" s="4" t="s">
        <v>1567</v>
      </c>
      <c r="H1404" s="4" t="s">
        <v>26</v>
      </c>
      <c r="I1404" s="4" t="s">
        <v>26</v>
      </c>
      <c r="J1404" s="4" t="s">
        <v>27</v>
      </c>
      <c r="K1404" s="4" t="s">
        <v>28</v>
      </c>
      <c r="L1404" s="4" t="s">
        <v>28</v>
      </c>
      <c r="M1404" s="4" t="s">
        <v>130</v>
      </c>
      <c r="N1404" s="4" t="s">
        <v>28</v>
      </c>
    </row>
    <row r="1405" spans="1:14" ht="14.4" thickBot="1" x14ac:dyDescent="0.35">
      <c r="A1405" s="4" t="s">
        <v>19</v>
      </c>
      <c r="B1405" s="4" t="s">
        <v>505</v>
      </c>
      <c r="C1405" s="4" t="s">
        <v>614</v>
      </c>
      <c r="D1405" s="4" t="s">
        <v>615</v>
      </c>
      <c r="E1405" s="4" t="s">
        <v>87</v>
      </c>
      <c r="F1405" s="4" t="s">
        <v>1568</v>
      </c>
      <c r="G1405" s="4" t="s">
        <v>1569</v>
      </c>
      <c r="H1405" s="4" t="s">
        <v>26</v>
      </c>
      <c r="I1405" s="4" t="s">
        <v>135</v>
      </c>
      <c r="J1405" s="4" t="s">
        <v>27</v>
      </c>
      <c r="K1405" s="4" t="s">
        <v>28</v>
      </c>
      <c r="L1405" s="4" t="s">
        <v>28</v>
      </c>
      <c r="M1405" s="4" t="s">
        <v>29</v>
      </c>
      <c r="N1405" s="5"/>
    </row>
    <row r="1406" spans="1:14" ht="14.4" thickBot="1" x14ac:dyDescent="0.35">
      <c r="A1406" s="4" t="s">
        <v>19</v>
      </c>
      <c r="B1406" s="4" t="s">
        <v>505</v>
      </c>
      <c r="C1406" s="4" t="s">
        <v>614</v>
      </c>
      <c r="D1406" s="4" t="s">
        <v>615</v>
      </c>
      <c r="E1406" s="4" t="s">
        <v>87</v>
      </c>
      <c r="F1406" s="4" t="s">
        <v>1570</v>
      </c>
      <c r="G1406" s="4" t="s">
        <v>1571</v>
      </c>
      <c r="H1406" s="4" t="s">
        <v>26</v>
      </c>
      <c r="I1406" s="4" t="s">
        <v>61</v>
      </c>
      <c r="J1406" s="5"/>
      <c r="K1406" s="5"/>
      <c r="L1406" s="5"/>
      <c r="M1406" s="4" t="s">
        <v>29</v>
      </c>
      <c r="N1406" s="5"/>
    </row>
    <row r="1407" spans="1:14" ht="14.4" thickBot="1" x14ac:dyDescent="0.35">
      <c r="A1407" s="4" t="s">
        <v>19</v>
      </c>
      <c r="B1407" s="4" t="s">
        <v>505</v>
      </c>
      <c r="C1407" s="4" t="s">
        <v>614</v>
      </c>
      <c r="D1407" s="4" t="s">
        <v>615</v>
      </c>
      <c r="E1407" s="4" t="s">
        <v>87</v>
      </c>
      <c r="F1407" s="4" t="s">
        <v>1572</v>
      </c>
      <c r="G1407" s="4" t="s">
        <v>1573</v>
      </c>
      <c r="H1407" s="4" t="s">
        <v>37</v>
      </c>
      <c r="I1407" s="4" t="s">
        <v>38</v>
      </c>
      <c r="J1407" s="4" t="s">
        <v>28</v>
      </c>
      <c r="K1407" s="4" t="s">
        <v>28</v>
      </c>
      <c r="L1407" s="4" t="s">
        <v>27</v>
      </c>
      <c r="M1407" s="4" t="s">
        <v>34</v>
      </c>
      <c r="N1407" s="4" t="s">
        <v>28</v>
      </c>
    </row>
    <row r="1408" spans="1:14" ht="14.4" thickBot="1" x14ac:dyDescent="0.35">
      <c r="A1408" s="4" t="s">
        <v>19</v>
      </c>
      <c r="B1408" s="4" t="s">
        <v>505</v>
      </c>
      <c r="C1408" s="4" t="s">
        <v>614</v>
      </c>
      <c r="D1408" s="4" t="s">
        <v>615</v>
      </c>
      <c r="E1408" s="4" t="s">
        <v>87</v>
      </c>
      <c r="F1408" s="4" t="s">
        <v>1574</v>
      </c>
      <c r="G1408" s="4" t="s">
        <v>1575</v>
      </c>
      <c r="H1408" s="4" t="s">
        <v>69</v>
      </c>
      <c r="I1408" s="4" t="s">
        <v>94</v>
      </c>
      <c r="J1408" s="4" t="s">
        <v>28</v>
      </c>
      <c r="K1408" s="4" t="s">
        <v>27</v>
      </c>
      <c r="L1408" s="4" t="s">
        <v>28</v>
      </c>
      <c r="M1408" s="4" t="s">
        <v>34</v>
      </c>
      <c r="N1408" s="4" t="s">
        <v>28</v>
      </c>
    </row>
    <row r="1409" spans="1:14" ht="14.4" thickBot="1" x14ac:dyDescent="0.35">
      <c r="A1409" s="4" t="s">
        <v>19</v>
      </c>
      <c r="B1409" s="4" t="s">
        <v>505</v>
      </c>
      <c r="C1409" s="4" t="s">
        <v>614</v>
      </c>
      <c r="D1409" s="4" t="s">
        <v>615</v>
      </c>
      <c r="E1409" s="4" t="s">
        <v>87</v>
      </c>
      <c r="F1409" s="4" t="s">
        <v>1576</v>
      </c>
      <c r="G1409" s="4" t="s">
        <v>1577</v>
      </c>
      <c r="H1409" s="4" t="s">
        <v>26</v>
      </c>
      <c r="I1409" s="4" t="s">
        <v>33</v>
      </c>
      <c r="J1409" s="4" t="s">
        <v>27</v>
      </c>
      <c r="K1409" s="4" t="s">
        <v>28</v>
      </c>
      <c r="L1409" s="4" t="s">
        <v>28</v>
      </c>
      <c r="M1409" s="4" t="s">
        <v>34</v>
      </c>
      <c r="N1409" s="4" t="s">
        <v>28</v>
      </c>
    </row>
    <row r="1410" spans="1:14" ht="14.4" thickBot="1" x14ac:dyDescent="0.35">
      <c r="A1410" s="4" t="s">
        <v>19</v>
      </c>
      <c r="B1410" s="4" t="s">
        <v>505</v>
      </c>
      <c r="C1410" s="4" t="s">
        <v>614</v>
      </c>
      <c r="D1410" s="4" t="s">
        <v>615</v>
      </c>
      <c r="E1410" s="4" t="s">
        <v>87</v>
      </c>
      <c r="F1410" s="4" t="s">
        <v>1578</v>
      </c>
      <c r="G1410" s="4" t="s">
        <v>1579</v>
      </c>
      <c r="H1410" s="4" t="s">
        <v>37</v>
      </c>
      <c r="I1410" s="4" t="s">
        <v>38</v>
      </c>
      <c r="J1410" s="4" t="s">
        <v>28</v>
      </c>
      <c r="K1410" s="4" t="s">
        <v>28</v>
      </c>
      <c r="L1410" s="4" t="s">
        <v>27</v>
      </c>
      <c r="M1410" s="4" t="s">
        <v>34</v>
      </c>
      <c r="N1410" s="4" t="s">
        <v>28</v>
      </c>
    </row>
    <row r="1411" spans="1:14" ht="14.4" thickBot="1" x14ac:dyDescent="0.35">
      <c r="A1411" s="4" t="s">
        <v>19</v>
      </c>
      <c r="B1411" s="4" t="s">
        <v>505</v>
      </c>
      <c r="C1411" s="4" t="s">
        <v>614</v>
      </c>
      <c r="D1411" s="4" t="s">
        <v>615</v>
      </c>
      <c r="E1411" s="4" t="s">
        <v>87</v>
      </c>
      <c r="F1411" s="4" t="s">
        <v>1580</v>
      </c>
      <c r="G1411" s="4" t="s">
        <v>1581</v>
      </c>
      <c r="H1411" s="4" t="s">
        <v>37</v>
      </c>
      <c r="I1411" s="4" t="s">
        <v>38</v>
      </c>
      <c r="J1411" s="4" t="s">
        <v>28</v>
      </c>
      <c r="K1411" s="4" t="s">
        <v>28</v>
      </c>
      <c r="L1411" s="4" t="s">
        <v>27</v>
      </c>
      <c r="M1411" s="4" t="s">
        <v>34</v>
      </c>
      <c r="N1411" s="4" t="s">
        <v>27</v>
      </c>
    </row>
    <row r="1412" spans="1:14" ht="14.4" thickBot="1" x14ac:dyDescent="0.35">
      <c r="A1412" s="4" t="s">
        <v>19</v>
      </c>
      <c r="B1412" s="4" t="s">
        <v>505</v>
      </c>
      <c r="C1412" s="4" t="s">
        <v>614</v>
      </c>
      <c r="D1412" s="4" t="s">
        <v>615</v>
      </c>
      <c r="E1412" s="4" t="s">
        <v>87</v>
      </c>
      <c r="F1412" s="4" t="s">
        <v>1582</v>
      </c>
      <c r="G1412" s="4" t="s">
        <v>1583</v>
      </c>
      <c r="H1412" s="4" t="s">
        <v>26</v>
      </c>
      <c r="I1412" s="4" t="s">
        <v>33</v>
      </c>
      <c r="J1412" s="4" t="s">
        <v>27</v>
      </c>
      <c r="K1412" s="4" t="s">
        <v>28</v>
      </c>
      <c r="L1412" s="4" t="s">
        <v>28</v>
      </c>
      <c r="M1412" s="4" t="s">
        <v>34</v>
      </c>
      <c r="N1412" s="4" t="s">
        <v>28</v>
      </c>
    </row>
    <row r="1413" spans="1:14" ht="14.4" thickBot="1" x14ac:dyDescent="0.35">
      <c r="A1413" s="4" t="s">
        <v>19</v>
      </c>
      <c r="B1413" s="4" t="s">
        <v>505</v>
      </c>
      <c r="C1413" s="4" t="s">
        <v>614</v>
      </c>
      <c r="D1413" s="4" t="s">
        <v>615</v>
      </c>
      <c r="E1413" s="4" t="s">
        <v>87</v>
      </c>
      <c r="F1413" s="4" t="s">
        <v>1584</v>
      </c>
      <c r="G1413" s="4" t="s">
        <v>1585</v>
      </c>
      <c r="H1413" s="4" t="s">
        <v>26</v>
      </c>
      <c r="I1413" s="4" t="s">
        <v>33</v>
      </c>
      <c r="J1413" s="4" t="s">
        <v>27</v>
      </c>
      <c r="K1413" s="4" t="s">
        <v>28</v>
      </c>
      <c r="L1413" s="4" t="s">
        <v>28</v>
      </c>
      <c r="M1413" s="4" t="s">
        <v>34</v>
      </c>
      <c r="N1413" s="4" t="s">
        <v>28</v>
      </c>
    </row>
    <row r="1414" spans="1:14" ht="14.4" thickBot="1" x14ac:dyDescent="0.35">
      <c r="A1414" s="4" t="s">
        <v>19</v>
      </c>
      <c r="B1414" s="4" t="s">
        <v>505</v>
      </c>
      <c r="C1414" s="4" t="s">
        <v>614</v>
      </c>
      <c r="D1414" s="4" t="s">
        <v>615</v>
      </c>
      <c r="E1414" s="4" t="s">
        <v>87</v>
      </c>
      <c r="F1414" s="4" t="s">
        <v>2274</v>
      </c>
      <c r="G1414" s="4" t="s">
        <v>2275</v>
      </c>
      <c r="H1414" s="4" t="s">
        <v>26</v>
      </c>
      <c r="I1414" s="4" t="s">
        <v>135</v>
      </c>
      <c r="J1414" s="5"/>
      <c r="K1414" s="5"/>
      <c r="L1414" s="5"/>
      <c r="M1414" s="4" t="s">
        <v>29</v>
      </c>
      <c r="N1414" s="5"/>
    </row>
    <row r="1415" spans="1:14" ht="14.4" thickBot="1" x14ac:dyDescent="0.35">
      <c r="A1415" s="4" t="s">
        <v>19</v>
      </c>
      <c r="B1415" s="4" t="s">
        <v>505</v>
      </c>
      <c r="C1415" s="4" t="s">
        <v>614</v>
      </c>
      <c r="D1415" s="4" t="s">
        <v>615</v>
      </c>
      <c r="E1415" s="4" t="s">
        <v>87</v>
      </c>
      <c r="F1415" s="4" t="s">
        <v>2276</v>
      </c>
      <c r="G1415" s="4" t="s">
        <v>2277</v>
      </c>
      <c r="H1415" s="4" t="s">
        <v>69</v>
      </c>
      <c r="I1415" s="4" t="s">
        <v>94</v>
      </c>
      <c r="J1415" s="4" t="s">
        <v>28</v>
      </c>
      <c r="K1415" s="4" t="s">
        <v>27</v>
      </c>
      <c r="L1415" s="4" t="s">
        <v>28</v>
      </c>
      <c r="M1415" s="4" t="s">
        <v>34</v>
      </c>
      <c r="N1415" s="4" t="s">
        <v>28</v>
      </c>
    </row>
    <row r="1416" spans="1:14" ht="14.4" thickBot="1" x14ac:dyDescent="0.35">
      <c r="A1416" s="4" t="s">
        <v>19</v>
      </c>
      <c r="B1416" s="4" t="s">
        <v>505</v>
      </c>
      <c r="C1416" s="4" t="s">
        <v>614</v>
      </c>
      <c r="D1416" s="4" t="s">
        <v>615</v>
      </c>
      <c r="E1416" s="4" t="s">
        <v>87</v>
      </c>
      <c r="F1416" s="4" t="s">
        <v>2278</v>
      </c>
      <c r="G1416" s="4" t="s">
        <v>2279</v>
      </c>
      <c r="H1416" s="4" t="s">
        <v>135</v>
      </c>
      <c r="I1416" s="4" t="s">
        <v>69</v>
      </c>
      <c r="J1416" s="4" t="s">
        <v>27</v>
      </c>
      <c r="K1416" s="4" t="s">
        <v>28</v>
      </c>
      <c r="L1416" s="4" t="s">
        <v>28</v>
      </c>
      <c r="M1416" s="4" t="s">
        <v>34</v>
      </c>
      <c r="N1416" s="4" t="s">
        <v>27</v>
      </c>
    </row>
    <row r="1417" spans="1:14" ht="14.4" thickBot="1" x14ac:dyDescent="0.35">
      <c r="A1417" s="4" t="s">
        <v>19</v>
      </c>
      <c r="B1417" s="4" t="s">
        <v>505</v>
      </c>
      <c r="C1417" s="4" t="s">
        <v>614</v>
      </c>
      <c r="D1417" s="4" t="s">
        <v>615</v>
      </c>
      <c r="E1417" s="4" t="s">
        <v>87</v>
      </c>
      <c r="F1417" s="4" t="s">
        <v>2280</v>
      </c>
      <c r="G1417" s="4" t="s">
        <v>2281</v>
      </c>
      <c r="H1417" s="4" t="s">
        <v>26</v>
      </c>
      <c r="I1417" s="4" t="s">
        <v>26</v>
      </c>
      <c r="J1417" s="4" t="s">
        <v>27</v>
      </c>
      <c r="K1417" s="4" t="s">
        <v>28</v>
      </c>
      <c r="L1417" s="4" t="s">
        <v>28</v>
      </c>
      <c r="M1417" s="4" t="s">
        <v>130</v>
      </c>
      <c r="N1417" s="4" t="s">
        <v>28</v>
      </c>
    </row>
    <row r="1418" spans="1:14" ht="14.4" thickBot="1" x14ac:dyDescent="0.35">
      <c r="A1418" s="4" t="s">
        <v>19</v>
      </c>
      <c r="B1418" s="4" t="s">
        <v>505</v>
      </c>
      <c r="C1418" s="4" t="s">
        <v>614</v>
      </c>
      <c r="D1418" s="4" t="s">
        <v>615</v>
      </c>
      <c r="E1418" s="4" t="s">
        <v>87</v>
      </c>
      <c r="F1418" s="4" t="s">
        <v>2282</v>
      </c>
      <c r="G1418" s="4" t="s">
        <v>2283</v>
      </c>
      <c r="H1418" s="4" t="s">
        <v>26</v>
      </c>
      <c r="I1418" s="4" t="s">
        <v>69</v>
      </c>
      <c r="J1418" s="4" t="s">
        <v>27</v>
      </c>
      <c r="K1418" s="4" t="s">
        <v>28</v>
      </c>
      <c r="L1418" s="4" t="s">
        <v>28</v>
      </c>
      <c r="M1418" s="4" t="s">
        <v>29</v>
      </c>
      <c r="N1418" s="4" t="s">
        <v>28</v>
      </c>
    </row>
    <row r="1419" spans="1:14" ht="14.4" thickBot="1" x14ac:dyDescent="0.35">
      <c r="A1419" s="4" t="s">
        <v>19</v>
      </c>
      <c r="B1419" s="4" t="s">
        <v>505</v>
      </c>
      <c r="C1419" s="4" t="s">
        <v>614</v>
      </c>
      <c r="D1419" s="4" t="s">
        <v>615</v>
      </c>
      <c r="E1419" s="4" t="s">
        <v>87</v>
      </c>
      <c r="F1419" s="4" t="s">
        <v>2284</v>
      </c>
      <c r="G1419" s="4" t="s">
        <v>2285</v>
      </c>
      <c r="H1419" s="4" t="s">
        <v>26</v>
      </c>
      <c r="I1419" s="4" t="s">
        <v>33</v>
      </c>
      <c r="J1419" s="4" t="s">
        <v>27</v>
      </c>
      <c r="K1419" s="4" t="s">
        <v>28</v>
      </c>
      <c r="L1419" s="4" t="s">
        <v>28</v>
      </c>
      <c r="M1419" s="4" t="s">
        <v>29</v>
      </c>
      <c r="N1419" s="5"/>
    </row>
    <row r="1420" spans="1:14" ht="14.4" thickBot="1" x14ac:dyDescent="0.35">
      <c r="A1420" s="4" t="s">
        <v>19</v>
      </c>
      <c r="B1420" s="4" t="s">
        <v>505</v>
      </c>
      <c r="C1420" s="4" t="s">
        <v>614</v>
      </c>
      <c r="D1420" s="4" t="s">
        <v>615</v>
      </c>
      <c r="E1420" s="4" t="s">
        <v>87</v>
      </c>
      <c r="F1420" s="4" t="s">
        <v>2286</v>
      </c>
      <c r="G1420" s="4" t="s">
        <v>2287</v>
      </c>
      <c r="H1420" s="4" t="s">
        <v>26</v>
      </c>
      <c r="I1420" s="4" t="s">
        <v>135</v>
      </c>
      <c r="J1420" s="5"/>
      <c r="K1420" s="5"/>
      <c r="L1420" s="5"/>
      <c r="M1420" s="4" t="s">
        <v>29</v>
      </c>
      <c r="N1420" s="5"/>
    </row>
    <row r="1421" spans="1:14" ht="14.4" thickBot="1" x14ac:dyDescent="0.35">
      <c r="A1421" s="4" t="s">
        <v>19</v>
      </c>
      <c r="B1421" s="4" t="s">
        <v>505</v>
      </c>
      <c r="C1421" s="4" t="s">
        <v>614</v>
      </c>
      <c r="D1421" s="4" t="s">
        <v>615</v>
      </c>
      <c r="E1421" s="4" t="s">
        <v>87</v>
      </c>
      <c r="F1421" s="4" t="s">
        <v>2288</v>
      </c>
      <c r="G1421" s="4" t="s">
        <v>2289</v>
      </c>
      <c r="H1421" s="4" t="s">
        <v>26</v>
      </c>
      <c r="I1421" s="4" t="s">
        <v>33</v>
      </c>
      <c r="J1421" s="4" t="s">
        <v>27</v>
      </c>
      <c r="K1421" s="4" t="s">
        <v>28</v>
      </c>
      <c r="L1421" s="4" t="s">
        <v>28</v>
      </c>
      <c r="M1421" s="4" t="s">
        <v>34</v>
      </c>
      <c r="N1421" s="4" t="s">
        <v>28</v>
      </c>
    </row>
    <row r="1422" spans="1:14" ht="14.4" thickBot="1" x14ac:dyDescent="0.35">
      <c r="A1422" s="4" t="s">
        <v>19</v>
      </c>
      <c r="B1422" s="4" t="s">
        <v>505</v>
      </c>
      <c r="C1422" s="4" t="s">
        <v>614</v>
      </c>
      <c r="D1422" s="4" t="s">
        <v>615</v>
      </c>
      <c r="E1422" s="4" t="s">
        <v>87</v>
      </c>
      <c r="F1422" s="4" t="s">
        <v>2290</v>
      </c>
      <c r="G1422" s="4" t="s">
        <v>2291</v>
      </c>
      <c r="H1422" s="4" t="s">
        <v>37</v>
      </c>
      <c r="I1422" s="4" t="s">
        <v>38</v>
      </c>
      <c r="J1422" s="5"/>
      <c r="K1422" s="5"/>
      <c r="L1422" s="5"/>
      <c r="M1422" s="4" t="s">
        <v>29</v>
      </c>
      <c r="N1422" s="5"/>
    </row>
    <row r="1423" spans="1:14" ht="14.4" thickBot="1" x14ac:dyDescent="0.35">
      <c r="A1423" s="4" t="s">
        <v>19</v>
      </c>
      <c r="B1423" s="4" t="s">
        <v>505</v>
      </c>
      <c r="C1423" s="4" t="s">
        <v>614</v>
      </c>
      <c r="D1423" s="4" t="s">
        <v>615</v>
      </c>
      <c r="E1423" s="4" t="s">
        <v>87</v>
      </c>
      <c r="F1423" s="4" t="s">
        <v>2292</v>
      </c>
      <c r="G1423" s="4" t="s">
        <v>2293</v>
      </c>
      <c r="H1423" s="4" t="s">
        <v>26</v>
      </c>
      <c r="I1423" s="4" t="s">
        <v>33</v>
      </c>
      <c r="J1423" s="4" t="s">
        <v>27</v>
      </c>
      <c r="K1423" s="4" t="s">
        <v>28</v>
      </c>
      <c r="L1423" s="4" t="s">
        <v>28</v>
      </c>
      <c r="M1423" s="4" t="s">
        <v>34</v>
      </c>
      <c r="N1423" s="4" t="s">
        <v>28</v>
      </c>
    </row>
    <row r="1424" spans="1:14" ht="14.4" thickBot="1" x14ac:dyDescent="0.35">
      <c r="A1424" s="4" t="s">
        <v>19</v>
      </c>
      <c r="B1424" s="4" t="s">
        <v>505</v>
      </c>
      <c r="C1424" s="4" t="s">
        <v>614</v>
      </c>
      <c r="D1424" s="4" t="s">
        <v>615</v>
      </c>
      <c r="E1424" s="4" t="s">
        <v>87</v>
      </c>
      <c r="F1424" s="4" t="s">
        <v>2294</v>
      </c>
      <c r="G1424" s="4" t="s">
        <v>2295</v>
      </c>
      <c r="H1424" s="4" t="s">
        <v>135</v>
      </c>
      <c r="I1424" s="4" t="s">
        <v>33</v>
      </c>
      <c r="J1424" s="4" t="s">
        <v>27</v>
      </c>
      <c r="K1424" s="4" t="s">
        <v>28</v>
      </c>
      <c r="L1424" s="4" t="s">
        <v>28</v>
      </c>
      <c r="M1424" s="4" t="s">
        <v>34</v>
      </c>
      <c r="N1424" s="4" t="s">
        <v>28</v>
      </c>
    </row>
    <row r="1425" spans="1:14" ht="14.4" thickBot="1" x14ac:dyDescent="0.35">
      <c r="A1425" s="4" t="s">
        <v>19</v>
      </c>
      <c r="B1425" s="4" t="s">
        <v>505</v>
      </c>
      <c r="C1425" s="4" t="s">
        <v>614</v>
      </c>
      <c r="D1425" s="4" t="s">
        <v>615</v>
      </c>
      <c r="E1425" s="4" t="s">
        <v>87</v>
      </c>
      <c r="F1425" s="4" t="s">
        <v>2296</v>
      </c>
      <c r="G1425" s="4" t="s">
        <v>2297</v>
      </c>
      <c r="H1425" s="4" t="s">
        <v>26</v>
      </c>
      <c r="I1425" s="4" t="s">
        <v>33</v>
      </c>
      <c r="J1425" s="4" t="s">
        <v>27</v>
      </c>
      <c r="K1425" s="4" t="s">
        <v>28</v>
      </c>
      <c r="L1425" s="4" t="s">
        <v>28</v>
      </c>
      <c r="M1425" s="4" t="s">
        <v>34</v>
      </c>
      <c r="N1425" s="4" t="s">
        <v>28</v>
      </c>
    </row>
    <row r="1426" spans="1:14" ht="14.4" thickBot="1" x14ac:dyDescent="0.35">
      <c r="A1426" s="4" t="s">
        <v>19</v>
      </c>
      <c r="B1426" s="4" t="s">
        <v>505</v>
      </c>
      <c r="C1426" s="4" t="s">
        <v>614</v>
      </c>
      <c r="D1426" s="4" t="s">
        <v>615</v>
      </c>
      <c r="E1426" s="4" t="s">
        <v>87</v>
      </c>
      <c r="F1426" s="4" t="s">
        <v>3027</v>
      </c>
      <c r="G1426" s="4" t="s">
        <v>3028</v>
      </c>
      <c r="H1426" s="4" t="s">
        <v>135</v>
      </c>
      <c r="I1426" s="4" t="s">
        <v>38</v>
      </c>
      <c r="J1426" s="4" t="s">
        <v>28</v>
      </c>
      <c r="K1426" s="4" t="s">
        <v>28</v>
      </c>
      <c r="L1426" s="4" t="s">
        <v>27</v>
      </c>
      <c r="M1426" s="4" t="s">
        <v>29</v>
      </c>
      <c r="N1426" s="4" t="s">
        <v>28</v>
      </c>
    </row>
    <row r="1427" spans="1:14" ht="14.4" thickBot="1" x14ac:dyDescent="0.35">
      <c r="A1427" s="4" t="s">
        <v>19</v>
      </c>
      <c r="B1427" s="4" t="s">
        <v>505</v>
      </c>
      <c r="C1427" s="4" t="s">
        <v>614</v>
      </c>
      <c r="D1427" s="4" t="s">
        <v>615</v>
      </c>
      <c r="E1427" s="4" t="s">
        <v>87</v>
      </c>
      <c r="F1427" s="4" t="s">
        <v>3029</v>
      </c>
      <c r="G1427" s="4" t="s">
        <v>3030</v>
      </c>
      <c r="H1427" s="4" t="s">
        <v>37</v>
      </c>
      <c r="I1427" s="4" t="s">
        <v>38</v>
      </c>
      <c r="J1427" s="4" t="s">
        <v>28</v>
      </c>
      <c r="K1427" s="4" t="s">
        <v>28</v>
      </c>
      <c r="L1427" s="4" t="s">
        <v>27</v>
      </c>
      <c r="M1427" s="4" t="s">
        <v>34</v>
      </c>
      <c r="N1427" s="4" t="s">
        <v>28</v>
      </c>
    </row>
    <row r="1428" spans="1:14" ht="14.4" thickBot="1" x14ac:dyDescent="0.35">
      <c r="A1428" s="4" t="s">
        <v>19</v>
      </c>
      <c r="B1428" s="4" t="s">
        <v>505</v>
      </c>
      <c r="C1428" s="4" t="s">
        <v>614</v>
      </c>
      <c r="D1428" s="4" t="s">
        <v>615</v>
      </c>
      <c r="E1428" s="4" t="s">
        <v>87</v>
      </c>
      <c r="F1428" s="4" t="s">
        <v>3031</v>
      </c>
      <c r="G1428" s="4" t="s">
        <v>3032</v>
      </c>
      <c r="H1428" s="4" t="s">
        <v>26</v>
      </c>
      <c r="I1428" s="4" t="s">
        <v>26</v>
      </c>
      <c r="J1428" s="4" t="s">
        <v>27</v>
      </c>
      <c r="K1428" s="4" t="s">
        <v>28</v>
      </c>
      <c r="L1428" s="4" t="s">
        <v>28</v>
      </c>
      <c r="M1428" s="4" t="s">
        <v>130</v>
      </c>
      <c r="N1428" s="4" t="s">
        <v>28</v>
      </c>
    </row>
    <row r="1429" spans="1:14" ht="14.4" thickBot="1" x14ac:dyDescent="0.35">
      <c r="A1429" s="4" t="s">
        <v>19</v>
      </c>
      <c r="B1429" s="4" t="s">
        <v>505</v>
      </c>
      <c r="C1429" s="4" t="s">
        <v>614</v>
      </c>
      <c r="D1429" s="4" t="s">
        <v>615</v>
      </c>
      <c r="E1429" s="4" t="s">
        <v>87</v>
      </c>
      <c r="F1429" s="4" t="s">
        <v>3033</v>
      </c>
      <c r="G1429" s="4" t="s">
        <v>3034</v>
      </c>
      <c r="H1429" s="4" t="s">
        <v>26</v>
      </c>
      <c r="I1429" s="4" t="s">
        <v>26</v>
      </c>
      <c r="J1429" s="4" t="s">
        <v>27</v>
      </c>
      <c r="K1429" s="4" t="s">
        <v>28</v>
      </c>
      <c r="L1429" s="4" t="s">
        <v>28</v>
      </c>
      <c r="M1429" s="4" t="s">
        <v>130</v>
      </c>
      <c r="N1429" s="4" t="s">
        <v>28</v>
      </c>
    </row>
    <row r="1430" spans="1:14" ht="14.4" thickBot="1" x14ac:dyDescent="0.35">
      <c r="A1430" s="4" t="s">
        <v>19</v>
      </c>
      <c r="B1430" s="4" t="s">
        <v>505</v>
      </c>
      <c r="C1430" s="4" t="s">
        <v>614</v>
      </c>
      <c r="D1430" s="4" t="s">
        <v>615</v>
      </c>
      <c r="E1430" s="4" t="s">
        <v>87</v>
      </c>
      <c r="F1430" s="4" t="s">
        <v>3035</v>
      </c>
      <c r="G1430" s="4" t="s">
        <v>3036</v>
      </c>
      <c r="H1430" s="4" t="s">
        <v>26</v>
      </c>
      <c r="I1430" s="4" t="s">
        <v>26</v>
      </c>
      <c r="J1430" s="4" t="s">
        <v>27</v>
      </c>
      <c r="K1430" s="4" t="s">
        <v>28</v>
      </c>
      <c r="L1430" s="4" t="s">
        <v>28</v>
      </c>
      <c r="M1430" s="4" t="s">
        <v>130</v>
      </c>
      <c r="N1430" s="4" t="s">
        <v>28</v>
      </c>
    </row>
    <row r="1431" spans="1:14" ht="14.4" thickBot="1" x14ac:dyDescent="0.35">
      <c r="A1431" s="4" t="s">
        <v>19</v>
      </c>
      <c r="B1431" s="4" t="s">
        <v>505</v>
      </c>
      <c r="C1431" s="4" t="s">
        <v>614</v>
      </c>
      <c r="D1431" s="4" t="s">
        <v>615</v>
      </c>
      <c r="E1431" s="4" t="s">
        <v>87</v>
      </c>
      <c r="F1431" s="4" t="s">
        <v>3037</v>
      </c>
      <c r="G1431" s="4" t="s">
        <v>3038</v>
      </c>
      <c r="H1431" s="4" t="s">
        <v>26</v>
      </c>
      <c r="I1431" s="4" t="s">
        <v>33</v>
      </c>
      <c r="J1431" s="5"/>
      <c r="K1431" s="5"/>
      <c r="L1431" s="5"/>
      <c r="M1431" s="4" t="s">
        <v>29</v>
      </c>
      <c r="N1431" s="5"/>
    </row>
    <row r="1432" spans="1:14" ht="14.4" thickBot="1" x14ac:dyDescent="0.35">
      <c r="A1432" s="4" t="s">
        <v>19</v>
      </c>
      <c r="B1432" s="4" t="s">
        <v>505</v>
      </c>
      <c r="C1432" s="4" t="s">
        <v>614</v>
      </c>
      <c r="D1432" s="4" t="s">
        <v>615</v>
      </c>
      <c r="E1432" s="4" t="s">
        <v>87</v>
      </c>
      <c r="F1432" s="4" t="s">
        <v>3039</v>
      </c>
      <c r="G1432" s="4" t="s">
        <v>3040</v>
      </c>
      <c r="H1432" s="4" t="s">
        <v>26</v>
      </c>
      <c r="I1432" s="4" t="s">
        <v>33</v>
      </c>
      <c r="J1432" s="4" t="s">
        <v>27</v>
      </c>
      <c r="K1432" s="4" t="s">
        <v>28</v>
      </c>
      <c r="L1432" s="4" t="s">
        <v>28</v>
      </c>
      <c r="M1432" s="4" t="s">
        <v>34</v>
      </c>
      <c r="N1432" s="4" t="s">
        <v>28</v>
      </c>
    </row>
    <row r="1433" spans="1:14" ht="14.4" thickBot="1" x14ac:dyDescent="0.35">
      <c r="A1433" s="4" t="s">
        <v>19</v>
      </c>
      <c r="B1433" s="4" t="s">
        <v>505</v>
      </c>
      <c r="C1433" s="4" t="s">
        <v>614</v>
      </c>
      <c r="D1433" s="4" t="s">
        <v>615</v>
      </c>
      <c r="E1433" s="4" t="s">
        <v>87</v>
      </c>
      <c r="F1433" s="4" t="s">
        <v>3041</v>
      </c>
      <c r="G1433" s="4" t="s">
        <v>3042</v>
      </c>
      <c r="H1433" s="4" t="s">
        <v>26</v>
      </c>
      <c r="I1433" s="4" t="s">
        <v>33</v>
      </c>
      <c r="J1433" s="4" t="s">
        <v>27</v>
      </c>
      <c r="K1433" s="4" t="s">
        <v>28</v>
      </c>
      <c r="L1433" s="4" t="s">
        <v>28</v>
      </c>
      <c r="M1433" s="4" t="s">
        <v>34</v>
      </c>
      <c r="N1433" s="4" t="s">
        <v>28</v>
      </c>
    </row>
    <row r="1434" spans="1:14" ht="14.4" thickBot="1" x14ac:dyDescent="0.35">
      <c r="A1434" s="4" t="s">
        <v>19</v>
      </c>
      <c r="B1434" s="4" t="s">
        <v>505</v>
      </c>
      <c r="C1434" s="4" t="s">
        <v>614</v>
      </c>
      <c r="D1434" s="4" t="s">
        <v>615</v>
      </c>
      <c r="E1434" s="4" t="s">
        <v>87</v>
      </c>
      <c r="F1434" s="4" t="s">
        <v>3043</v>
      </c>
      <c r="G1434" s="4" t="s">
        <v>3044</v>
      </c>
      <c r="H1434" s="4" t="s">
        <v>26</v>
      </c>
      <c r="I1434" s="4" t="s">
        <v>33</v>
      </c>
      <c r="J1434" s="4" t="s">
        <v>27</v>
      </c>
      <c r="K1434" s="4" t="s">
        <v>28</v>
      </c>
      <c r="L1434" s="4" t="s">
        <v>28</v>
      </c>
      <c r="M1434" s="4" t="s">
        <v>34</v>
      </c>
      <c r="N1434" s="4" t="s">
        <v>28</v>
      </c>
    </row>
    <row r="1435" spans="1:14" ht="14.4" thickBot="1" x14ac:dyDescent="0.35">
      <c r="A1435" s="4" t="s">
        <v>19</v>
      </c>
      <c r="B1435" s="4" t="s">
        <v>505</v>
      </c>
      <c r="C1435" s="4" t="s">
        <v>614</v>
      </c>
      <c r="D1435" s="4" t="s">
        <v>615</v>
      </c>
      <c r="E1435" s="4" t="s">
        <v>87</v>
      </c>
      <c r="F1435" s="4" t="s">
        <v>3045</v>
      </c>
      <c r="G1435" s="4" t="s">
        <v>3046</v>
      </c>
      <c r="H1435" s="4" t="s">
        <v>37</v>
      </c>
      <c r="I1435" s="4" t="s">
        <v>38</v>
      </c>
      <c r="J1435" s="4" t="s">
        <v>28</v>
      </c>
      <c r="K1435" s="4" t="s">
        <v>28</v>
      </c>
      <c r="L1435" s="4" t="s">
        <v>27</v>
      </c>
      <c r="M1435" s="4" t="s">
        <v>34</v>
      </c>
      <c r="N1435" s="4" t="s">
        <v>28</v>
      </c>
    </row>
    <row r="1436" spans="1:14" ht="14.4" thickBot="1" x14ac:dyDescent="0.35">
      <c r="A1436" s="4" t="s">
        <v>19</v>
      </c>
      <c r="B1436" s="4" t="s">
        <v>505</v>
      </c>
      <c r="C1436" s="4" t="s">
        <v>614</v>
      </c>
      <c r="D1436" s="4" t="s">
        <v>615</v>
      </c>
      <c r="E1436" s="4" t="s">
        <v>87</v>
      </c>
      <c r="F1436" s="4" t="s">
        <v>3047</v>
      </c>
      <c r="G1436" s="4" t="s">
        <v>3048</v>
      </c>
      <c r="H1436" s="4" t="s">
        <v>135</v>
      </c>
      <c r="I1436" s="4" t="s">
        <v>33</v>
      </c>
      <c r="J1436" s="4" t="s">
        <v>27</v>
      </c>
      <c r="K1436" s="4" t="s">
        <v>28</v>
      </c>
      <c r="L1436" s="4" t="s">
        <v>28</v>
      </c>
      <c r="M1436" s="4" t="s">
        <v>34</v>
      </c>
      <c r="N1436" s="4" t="s">
        <v>28</v>
      </c>
    </row>
    <row r="1437" spans="1:14" ht="14.4" thickBot="1" x14ac:dyDescent="0.35">
      <c r="A1437" s="4" t="s">
        <v>19</v>
      </c>
      <c r="B1437" s="4" t="s">
        <v>505</v>
      </c>
      <c r="C1437" s="4" t="s">
        <v>614</v>
      </c>
      <c r="D1437" s="4" t="s">
        <v>615</v>
      </c>
      <c r="E1437" s="4" t="s">
        <v>87</v>
      </c>
      <c r="F1437" s="4" t="s">
        <v>3767</v>
      </c>
      <c r="G1437" s="4" t="s">
        <v>3768</v>
      </c>
      <c r="H1437" s="4" t="s">
        <v>26</v>
      </c>
      <c r="I1437" s="4" t="s">
        <v>116</v>
      </c>
      <c r="J1437" s="4" t="s">
        <v>27</v>
      </c>
      <c r="K1437" s="4" t="s">
        <v>28</v>
      </c>
      <c r="L1437" s="4" t="s">
        <v>28</v>
      </c>
      <c r="M1437" s="4" t="s">
        <v>29</v>
      </c>
      <c r="N1437" s="4" t="s">
        <v>28</v>
      </c>
    </row>
    <row r="1438" spans="1:14" ht="14.4" thickBot="1" x14ac:dyDescent="0.35">
      <c r="A1438" s="4" t="s">
        <v>19</v>
      </c>
      <c r="B1438" s="4" t="s">
        <v>505</v>
      </c>
      <c r="C1438" s="4" t="s">
        <v>614</v>
      </c>
      <c r="D1438" s="4" t="s">
        <v>615</v>
      </c>
      <c r="E1438" s="4" t="s">
        <v>87</v>
      </c>
      <c r="F1438" s="4" t="s">
        <v>3769</v>
      </c>
      <c r="G1438" s="4" t="s">
        <v>3770</v>
      </c>
      <c r="H1438" s="4" t="s">
        <v>26</v>
      </c>
      <c r="I1438" s="4" t="s">
        <v>38</v>
      </c>
      <c r="J1438" s="5"/>
      <c r="K1438" s="5"/>
      <c r="L1438" s="5"/>
      <c r="M1438" s="4" t="s">
        <v>29</v>
      </c>
      <c r="N1438" s="5"/>
    </row>
    <row r="1439" spans="1:14" ht="14.4" thickBot="1" x14ac:dyDescent="0.35">
      <c r="A1439" s="4" t="s">
        <v>19</v>
      </c>
      <c r="B1439" s="4" t="s">
        <v>505</v>
      </c>
      <c r="C1439" s="4" t="s">
        <v>614</v>
      </c>
      <c r="D1439" s="4" t="s">
        <v>615</v>
      </c>
      <c r="E1439" s="4" t="s">
        <v>87</v>
      </c>
      <c r="F1439" s="4" t="s">
        <v>3771</v>
      </c>
      <c r="G1439" s="4" t="s">
        <v>3772</v>
      </c>
      <c r="H1439" s="4" t="s">
        <v>135</v>
      </c>
      <c r="I1439" s="4" t="s">
        <v>38</v>
      </c>
      <c r="J1439" s="5"/>
      <c r="K1439" s="5"/>
      <c r="L1439" s="5"/>
      <c r="M1439" s="4" t="s">
        <v>29</v>
      </c>
      <c r="N1439" s="5"/>
    </row>
    <row r="1440" spans="1:14" ht="14.4" thickBot="1" x14ac:dyDescent="0.35">
      <c r="A1440" s="4" t="s">
        <v>19</v>
      </c>
      <c r="B1440" s="4" t="s">
        <v>505</v>
      </c>
      <c r="C1440" s="4" t="s">
        <v>614</v>
      </c>
      <c r="D1440" s="4" t="s">
        <v>615</v>
      </c>
      <c r="E1440" s="4" t="s">
        <v>87</v>
      </c>
      <c r="F1440" s="4" t="s">
        <v>3773</v>
      </c>
      <c r="G1440" s="4" t="s">
        <v>3774</v>
      </c>
      <c r="H1440" s="4" t="s">
        <v>26</v>
      </c>
      <c r="I1440" s="4" t="s">
        <v>33</v>
      </c>
      <c r="J1440" s="4" t="s">
        <v>27</v>
      </c>
      <c r="K1440" s="4" t="s">
        <v>28</v>
      </c>
      <c r="L1440" s="4" t="s">
        <v>28</v>
      </c>
      <c r="M1440" s="4" t="s">
        <v>34</v>
      </c>
      <c r="N1440" s="4" t="s">
        <v>28</v>
      </c>
    </row>
    <row r="1441" spans="1:14" ht="14.4" thickBot="1" x14ac:dyDescent="0.35">
      <c r="A1441" s="4" t="s">
        <v>19</v>
      </c>
      <c r="B1441" s="4" t="s">
        <v>505</v>
      </c>
      <c r="C1441" s="4" t="s">
        <v>614</v>
      </c>
      <c r="D1441" s="4" t="s">
        <v>615</v>
      </c>
      <c r="E1441" s="4" t="s">
        <v>87</v>
      </c>
      <c r="F1441" s="4" t="s">
        <v>3775</v>
      </c>
      <c r="G1441" s="4" t="s">
        <v>3776</v>
      </c>
      <c r="H1441" s="4" t="s">
        <v>69</v>
      </c>
      <c r="I1441" s="4" t="s">
        <v>38</v>
      </c>
      <c r="J1441" s="4" t="s">
        <v>28</v>
      </c>
      <c r="K1441" s="4" t="s">
        <v>28</v>
      </c>
      <c r="L1441" s="4" t="s">
        <v>27</v>
      </c>
      <c r="M1441" s="4" t="s">
        <v>34</v>
      </c>
      <c r="N1441" s="4" t="s">
        <v>28</v>
      </c>
    </row>
    <row r="1442" spans="1:14" ht="14.4" thickBot="1" x14ac:dyDescent="0.35">
      <c r="A1442" s="4" t="s">
        <v>19</v>
      </c>
      <c r="B1442" s="4" t="s">
        <v>505</v>
      </c>
      <c r="C1442" s="4" t="s">
        <v>614</v>
      </c>
      <c r="D1442" s="4" t="s">
        <v>615</v>
      </c>
      <c r="E1442" s="4" t="s">
        <v>87</v>
      </c>
      <c r="F1442" s="4" t="s">
        <v>3777</v>
      </c>
      <c r="G1442" s="4" t="s">
        <v>3778</v>
      </c>
      <c r="H1442" s="4" t="s">
        <v>26</v>
      </c>
      <c r="I1442" s="4" t="s">
        <v>26</v>
      </c>
      <c r="J1442" s="4" t="s">
        <v>27</v>
      </c>
      <c r="K1442" s="4" t="s">
        <v>28</v>
      </c>
      <c r="L1442" s="4" t="s">
        <v>28</v>
      </c>
      <c r="M1442" s="4" t="s">
        <v>29</v>
      </c>
      <c r="N1442" s="4" t="s">
        <v>28</v>
      </c>
    </row>
    <row r="1443" spans="1:14" ht="14.4" thickBot="1" x14ac:dyDescent="0.35">
      <c r="A1443" s="4" t="s">
        <v>19</v>
      </c>
      <c r="B1443" s="4" t="s">
        <v>505</v>
      </c>
      <c r="C1443" s="4" t="s">
        <v>614</v>
      </c>
      <c r="D1443" s="4" t="s">
        <v>615</v>
      </c>
      <c r="E1443" s="4" t="s">
        <v>87</v>
      </c>
      <c r="F1443" s="4" t="s">
        <v>3779</v>
      </c>
      <c r="G1443" s="4" t="s">
        <v>635</v>
      </c>
      <c r="H1443" s="4" t="s">
        <v>26</v>
      </c>
      <c r="I1443" s="4" t="s">
        <v>135</v>
      </c>
      <c r="J1443" s="5"/>
      <c r="K1443" s="5"/>
      <c r="L1443" s="5"/>
      <c r="M1443" s="4" t="s">
        <v>29</v>
      </c>
      <c r="N1443" s="5"/>
    </row>
    <row r="1444" spans="1:14" ht="14.4" thickBot="1" x14ac:dyDescent="0.35">
      <c r="A1444" s="4" t="s">
        <v>19</v>
      </c>
      <c r="B1444" s="4" t="s">
        <v>505</v>
      </c>
      <c r="C1444" s="4" t="s">
        <v>614</v>
      </c>
      <c r="D1444" s="4" t="s">
        <v>615</v>
      </c>
      <c r="E1444" s="4" t="s">
        <v>87</v>
      </c>
      <c r="F1444" s="4" t="s">
        <v>3780</v>
      </c>
      <c r="G1444" s="4" t="s">
        <v>3781</v>
      </c>
      <c r="H1444" s="4" t="s">
        <v>135</v>
      </c>
      <c r="I1444" s="4" t="s">
        <v>33</v>
      </c>
      <c r="J1444" s="4" t="s">
        <v>27</v>
      </c>
      <c r="K1444" s="4" t="s">
        <v>28</v>
      </c>
      <c r="L1444" s="4" t="s">
        <v>28</v>
      </c>
      <c r="M1444" s="4" t="s">
        <v>34</v>
      </c>
      <c r="N1444" s="4" t="s">
        <v>27</v>
      </c>
    </row>
    <row r="1445" spans="1:14" ht="14.4" thickBot="1" x14ac:dyDescent="0.35">
      <c r="A1445" s="4" t="s">
        <v>19</v>
      </c>
      <c r="B1445" s="4" t="s">
        <v>505</v>
      </c>
      <c r="C1445" s="4" t="s">
        <v>614</v>
      </c>
      <c r="D1445" s="4" t="s">
        <v>615</v>
      </c>
      <c r="E1445" s="4" t="s">
        <v>87</v>
      </c>
      <c r="F1445" s="4" t="s">
        <v>3782</v>
      </c>
      <c r="G1445" s="4" t="s">
        <v>3038</v>
      </c>
      <c r="H1445" s="4" t="s">
        <v>26</v>
      </c>
      <c r="I1445" s="4" t="s">
        <v>26</v>
      </c>
      <c r="J1445" s="5"/>
      <c r="K1445" s="5"/>
      <c r="L1445" s="5"/>
      <c r="M1445" s="4" t="s">
        <v>29</v>
      </c>
      <c r="N1445" s="5"/>
    </row>
    <row r="1446" spans="1:14" ht="14.4" thickBot="1" x14ac:dyDescent="0.35">
      <c r="A1446" s="4" t="s">
        <v>19</v>
      </c>
      <c r="B1446" s="4" t="s">
        <v>505</v>
      </c>
      <c r="C1446" s="4" t="s">
        <v>614</v>
      </c>
      <c r="D1446" s="4" t="s">
        <v>615</v>
      </c>
      <c r="E1446" s="4" t="s">
        <v>87</v>
      </c>
      <c r="F1446" s="4" t="s">
        <v>3783</v>
      </c>
      <c r="G1446" s="4" t="s">
        <v>3784</v>
      </c>
      <c r="H1446" s="4" t="s">
        <v>26</v>
      </c>
      <c r="I1446" s="4" t="s">
        <v>26</v>
      </c>
      <c r="J1446" s="5"/>
      <c r="K1446" s="5"/>
      <c r="L1446" s="5"/>
      <c r="M1446" s="4" t="s">
        <v>29</v>
      </c>
      <c r="N1446" s="5"/>
    </row>
    <row r="1447" spans="1:14" ht="14.4" thickBot="1" x14ac:dyDescent="0.35">
      <c r="A1447" s="4" t="s">
        <v>19</v>
      </c>
      <c r="B1447" s="4" t="s">
        <v>505</v>
      </c>
      <c r="C1447" s="4" t="s">
        <v>614</v>
      </c>
      <c r="D1447" s="4" t="s">
        <v>615</v>
      </c>
      <c r="E1447" s="4" t="s">
        <v>87</v>
      </c>
      <c r="F1447" s="4" t="s">
        <v>3785</v>
      </c>
      <c r="G1447" s="4" t="s">
        <v>3786</v>
      </c>
      <c r="H1447" s="4" t="s">
        <v>26</v>
      </c>
      <c r="I1447" s="4" t="s">
        <v>26</v>
      </c>
      <c r="J1447" s="5"/>
      <c r="K1447" s="5"/>
      <c r="L1447" s="5"/>
      <c r="M1447" s="4" t="s">
        <v>29</v>
      </c>
      <c r="N1447" s="5"/>
    </row>
    <row r="1448" spans="1:14" ht="14.4" thickBot="1" x14ac:dyDescent="0.35">
      <c r="A1448" s="4" t="s">
        <v>19</v>
      </c>
      <c r="B1448" s="4" t="s">
        <v>505</v>
      </c>
      <c r="C1448" s="4" t="s">
        <v>614</v>
      </c>
      <c r="D1448" s="4" t="s">
        <v>615</v>
      </c>
      <c r="E1448" s="4" t="s">
        <v>87</v>
      </c>
      <c r="F1448" s="4" t="s">
        <v>3787</v>
      </c>
      <c r="G1448" s="4" t="s">
        <v>3788</v>
      </c>
      <c r="H1448" s="4" t="s">
        <v>26</v>
      </c>
      <c r="I1448" s="4" t="s">
        <v>26</v>
      </c>
      <c r="J1448" s="5"/>
      <c r="K1448" s="5"/>
      <c r="L1448" s="5"/>
      <c r="M1448" s="4" t="s">
        <v>29</v>
      </c>
      <c r="N1448" s="5"/>
    </row>
    <row r="1449" spans="1:14" ht="14.4" thickBot="1" x14ac:dyDescent="0.35">
      <c r="A1449" s="4" t="s">
        <v>19</v>
      </c>
      <c r="B1449" s="4" t="s">
        <v>505</v>
      </c>
      <c r="C1449" s="4" t="s">
        <v>614</v>
      </c>
      <c r="D1449" s="4" t="s">
        <v>615</v>
      </c>
      <c r="E1449" s="4" t="s">
        <v>87</v>
      </c>
      <c r="F1449" s="4" t="s">
        <v>3789</v>
      </c>
      <c r="G1449" s="4" t="s">
        <v>3790</v>
      </c>
      <c r="H1449" s="4" t="s">
        <v>26</v>
      </c>
      <c r="I1449" s="4" t="s">
        <v>26</v>
      </c>
      <c r="J1449" s="4" t="s">
        <v>27</v>
      </c>
      <c r="K1449" s="4" t="s">
        <v>28</v>
      </c>
      <c r="L1449" s="4" t="s">
        <v>28</v>
      </c>
      <c r="M1449" s="4" t="s">
        <v>29</v>
      </c>
      <c r="N1449" s="4" t="s">
        <v>28</v>
      </c>
    </row>
    <row r="1450" spans="1:14" ht="14.4" thickBot="1" x14ac:dyDescent="0.35">
      <c r="A1450" s="4" t="s">
        <v>19</v>
      </c>
      <c r="B1450" s="4" t="s">
        <v>505</v>
      </c>
      <c r="C1450" s="4" t="s">
        <v>614</v>
      </c>
      <c r="D1450" s="4" t="s">
        <v>615</v>
      </c>
      <c r="E1450" s="4" t="s">
        <v>87</v>
      </c>
      <c r="F1450" s="4" t="s">
        <v>3791</v>
      </c>
      <c r="G1450" s="4" t="s">
        <v>3792</v>
      </c>
      <c r="H1450" s="4" t="s">
        <v>26</v>
      </c>
      <c r="I1450" s="4" t="s">
        <v>33</v>
      </c>
      <c r="J1450" s="5"/>
      <c r="K1450" s="5"/>
      <c r="L1450" s="5"/>
      <c r="M1450" s="4" t="s">
        <v>29</v>
      </c>
      <c r="N1450" s="5"/>
    </row>
    <row r="1451" spans="1:14" ht="14.4" thickBot="1" x14ac:dyDescent="0.35">
      <c r="A1451" s="4" t="s">
        <v>19</v>
      </c>
      <c r="B1451" s="4" t="s">
        <v>505</v>
      </c>
      <c r="C1451" s="4" t="s">
        <v>614</v>
      </c>
      <c r="D1451" s="4" t="s">
        <v>615</v>
      </c>
      <c r="E1451" s="4" t="s">
        <v>87</v>
      </c>
      <c r="F1451" s="4" t="s">
        <v>3793</v>
      </c>
      <c r="G1451" s="4" t="s">
        <v>3794</v>
      </c>
      <c r="H1451" s="4" t="s">
        <v>37</v>
      </c>
      <c r="I1451" s="4" t="s">
        <v>38</v>
      </c>
      <c r="J1451" s="4" t="s">
        <v>28</v>
      </c>
      <c r="K1451" s="4" t="s">
        <v>28</v>
      </c>
      <c r="L1451" s="4" t="s">
        <v>27</v>
      </c>
      <c r="M1451" s="4" t="s">
        <v>34</v>
      </c>
      <c r="N1451" s="4" t="s">
        <v>27</v>
      </c>
    </row>
    <row r="1452" spans="1:14" ht="14.4" thickBot="1" x14ac:dyDescent="0.35">
      <c r="A1452" s="4" t="s">
        <v>19</v>
      </c>
      <c r="B1452" s="4" t="s">
        <v>505</v>
      </c>
      <c r="C1452" s="4" t="s">
        <v>614</v>
      </c>
      <c r="D1452" s="4" t="s">
        <v>615</v>
      </c>
      <c r="E1452" s="4" t="s">
        <v>87</v>
      </c>
      <c r="F1452" s="4" t="s">
        <v>3795</v>
      </c>
      <c r="G1452" s="4" t="s">
        <v>2432</v>
      </c>
      <c r="H1452" s="4" t="s">
        <v>26</v>
      </c>
      <c r="I1452" s="4" t="s">
        <v>33</v>
      </c>
      <c r="J1452" s="4" t="s">
        <v>27</v>
      </c>
      <c r="K1452" s="4" t="s">
        <v>28</v>
      </c>
      <c r="L1452" s="4" t="s">
        <v>28</v>
      </c>
      <c r="M1452" s="4" t="s">
        <v>34</v>
      </c>
      <c r="N1452" s="4" t="s">
        <v>28</v>
      </c>
    </row>
    <row r="1453" spans="1:14" ht="14.4" thickBot="1" x14ac:dyDescent="0.35">
      <c r="A1453" s="4" t="s">
        <v>19</v>
      </c>
      <c r="B1453" s="4" t="s">
        <v>505</v>
      </c>
      <c r="C1453" s="4" t="s">
        <v>614</v>
      </c>
      <c r="D1453" s="4" t="s">
        <v>615</v>
      </c>
      <c r="E1453" s="4" t="s">
        <v>87</v>
      </c>
      <c r="F1453" s="4" t="s">
        <v>3796</v>
      </c>
      <c r="G1453" s="4" t="s">
        <v>3797</v>
      </c>
      <c r="H1453" s="4" t="s">
        <v>69</v>
      </c>
      <c r="I1453" s="4" t="s">
        <v>38</v>
      </c>
      <c r="J1453" s="4" t="s">
        <v>28</v>
      </c>
      <c r="K1453" s="4" t="s">
        <v>28</v>
      </c>
      <c r="L1453" s="4" t="s">
        <v>27</v>
      </c>
      <c r="M1453" s="4" t="s">
        <v>34</v>
      </c>
      <c r="N1453" s="4" t="s">
        <v>28</v>
      </c>
    </row>
    <row r="1454" spans="1:14" ht="14.4" thickBot="1" x14ac:dyDescent="0.35">
      <c r="A1454" s="4" t="s">
        <v>19</v>
      </c>
      <c r="B1454" s="4" t="s">
        <v>505</v>
      </c>
      <c r="C1454" s="4" t="s">
        <v>614</v>
      </c>
      <c r="D1454" s="4" t="s">
        <v>615</v>
      </c>
      <c r="E1454" s="4" t="s">
        <v>87</v>
      </c>
      <c r="F1454" s="4" t="s">
        <v>3798</v>
      </c>
      <c r="G1454" s="4" t="s">
        <v>3799</v>
      </c>
      <c r="H1454" s="4" t="s">
        <v>26</v>
      </c>
      <c r="I1454" s="4" t="s">
        <v>33</v>
      </c>
      <c r="J1454" s="4" t="s">
        <v>27</v>
      </c>
      <c r="K1454" s="4" t="s">
        <v>28</v>
      </c>
      <c r="L1454" s="4" t="s">
        <v>28</v>
      </c>
      <c r="M1454" s="4" t="s">
        <v>34</v>
      </c>
      <c r="N1454" s="4" t="s">
        <v>28</v>
      </c>
    </row>
    <row r="1455" spans="1:14" ht="14.4" thickBot="1" x14ac:dyDescent="0.35">
      <c r="A1455" s="4" t="s">
        <v>19</v>
      </c>
      <c r="B1455" s="4" t="s">
        <v>505</v>
      </c>
      <c r="C1455" s="4" t="s">
        <v>614</v>
      </c>
      <c r="D1455" s="4" t="s">
        <v>615</v>
      </c>
      <c r="E1455" s="4" t="s">
        <v>87</v>
      </c>
      <c r="F1455" s="4" t="s">
        <v>1450</v>
      </c>
      <c r="G1455" s="4" t="s">
        <v>3800</v>
      </c>
      <c r="H1455" s="4" t="s">
        <v>135</v>
      </c>
      <c r="I1455" s="4" t="s">
        <v>33</v>
      </c>
      <c r="J1455" s="4" t="s">
        <v>27</v>
      </c>
      <c r="K1455" s="4" t="s">
        <v>28</v>
      </c>
      <c r="L1455" s="4" t="s">
        <v>28</v>
      </c>
      <c r="M1455" s="4" t="s">
        <v>34</v>
      </c>
      <c r="N1455" s="4" t="s">
        <v>28</v>
      </c>
    </row>
    <row r="1456" spans="1:14" ht="14.4" thickBot="1" x14ac:dyDescent="0.35">
      <c r="A1456" s="4" t="s">
        <v>19</v>
      </c>
      <c r="B1456" s="4" t="s">
        <v>505</v>
      </c>
      <c r="C1456" s="4" t="s">
        <v>614</v>
      </c>
      <c r="D1456" s="4" t="s">
        <v>615</v>
      </c>
      <c r="E1456" s="4" t="s">
        <v>87</v>
      </c>
      <c r="F1456" s="4" t="s">
        <v>4537</v>
      </c>
      <c r="G1456" s="4" t="s">
        <v>4538</v>
      </c>
      <c r="H1456" s="4" t="s">
        <v>26</v>
      </c>
      <c r="I1456" s="4" t="s">
        <v>26</v>
      </c>
      <c r="J1456" s="4" t="s">
        <v>27</v>
      </c>
      <c r="K1456" s="4" t="s">
        <v>28</v>
      </c>
      <c r="L1456" s="4" t="s">
        <v>28</v>
      </c>
      <c r="M1456" s="4" t="s">
        <v>130</v>
      </c>
      <c r="N1456" s="4" t="s">
        <v>28</v>
      </c>
    </row>
    <row r="1457" spans="1:14" ht="14.4" thickBot="1" x14ac:dyDescent="0.35">
      <c r="A1457" s="4" t="s">
        <v>19</v>
      </c>
      <c r="B1457" s="4" t="s">
        <v>505</v>
      </c>
      <c r="C1457" s="4" t="s">
        <v>614</v>
      </c>
      <c r="D1457" s="4" t="s">
        <v>615</v>
      </c>
      <c r="E1457" s="4" t="s">
        <v>87</v>
      </c>
      <c r="F1457" s="4" t="s">
        <v>4539</v>
      </c>
      <c r="G1457" s="4" t="s">
        <v>4540</v>
      </c>
      <c r="H1457" s="4" t="s">
        <v>26</v>
      </c>
      <c r="I1457" s="4" t="s">
        <v>135</v>
      </c>
      <c r="J1457" s="5"/>
      <c r="K1457" s="5"/>
      <c r="L1457" s="5"/>
      <c r="M1457" s="4" t="s">
        <v>29</v>
      </c>
      <c r="N1457" s="5"/>
    </row>
    <row r="1458" spans="1:14" ht="14.4" thickBot="1" x14ac:dyDescent="0.35">
      <c r="A1458" s="4" t="s">
        <v>19</v>
      </c>
      <c r="B1458" s="4" t="s">
        <v>505</v>
      </c>
      <c r="C1458" s="4" t="s">
        <v>614</v>
      </c>
      <c r="D1458" s="4" t="s">
        <v>615</v>
      </c>
      <c r="E1458" s="4" t="s">
        <v>87</v>
      </c>
      <c r="F1458" s="4" t="s">
        <v>4541</v>
      </c>
      <c r="G1458" s="4" t="s">
        <v>4542</v>
      </c>
      <c r="H1458" s="4" t="s">
        <v>26</v>
      </c>
      <c r="I1458" s="4" t="s">
        <v>26</v>
      </c>
      <c r="J1458" s="4" t="s">
        <v>27</v>
      </c>
      <c r="K1458" s="4" t="s">
        <v>28</v>
      </c>
      <c r="L1458" s="4" t="s">
        <v>28</v>
      </c>
      <c r="M1458" s="4" t="s">
        <v>130</v>
      </c>
      <c r="N1458" s="4" t="s">
        <v>28</v>
      </c>
    </row>
    <row r="1459" spans="1:14" ht="14.4" thickBot="1" x14ac:dyDescent="0.35">
      <c r="A1459" s="4" t="s">
        <v>19</v>
      </c>
      <c r="B1459" s="4" t="s">
        <v>505</v>
      </c>
      <c r="C1459" s="4" t="s">
        <v>614</v>
      </c>
      <c r="D1459" s="4" t="s">
        <v>615</v>
      </c>
      <c r="E1459" s="4" t="s">
        <v>87</v>
      </c>
      <c r="F1459" s="4" t="s">
        <v>4543</v>
      </c>
      <c r="G1459" s="4" t="s">
        <v>4544</v>
      </c>
      <c r="H1459" s="4" t="s">
        <v>26</v>
      </c>
      <c r="I1459" s="4" t="s">
        <v>26</v>
      </c>
      <c r="J1459" s="4" t="s">
        <v>27</v>
      </c>
      <c r="K1459" s="4" t="s">
        <v>28</v>
      </c>
      <c r="L1459" s="4" t="s">
        <v>28</v>
      </c>
      <c r="M1459" s="4" t="s">
        <v>130</v>
      </c>
      <c r="N1459" s="4" t="s">
        <v>28</v>
      </c>
    </row>
    <row r="1460" spans="1:14" ht="14.4" thickBot="1" x14ac:dyDescent="0.35">
      <c r="A1460" s="4" t="s">
        <v>19</v>
      </c>
      <c r="B1460" s="4" t="s">
        <v>505</v>
      </c>
      <c r="C1460" s="4" t="s">
        <v>614</v>
      </c>
      <c r="D1460" s="4" t="s">
        <v>615</v>
      </c>
      <c r="E1460" s="4" t="s">
        <v>87</v>
      </c>
      <c r="F1460" s="4" t="s">
        <v>4545</v>
      </c>
      <c r="G1460" s="4" t="s">
        <v>4546</v>
      </c>
      <c r="H1460" s="4" t="s">
        <v>26</v>
      </c>
      <c r="I1460" s="4" t="s">
        <v>122</v>
      </c>
      <c r="J1460" s="4" t="s">
        <v>27</v>
      </c>
      <c r="K1460" s="4" t="s">
        <v>28</v>
      </c>
      <c r="L1460" s="4" t="s">
        <v>28</v>
      </c>
      <c r="M1460" s="4" t="s">
        <v>29</v>
      </c>
      <c r="N1460" s="4" t="s">
        <v>28</v>
      </c>
    </row>
    <row r="1461" spans="1:14" ht="14.4" thickBot="1" x14ac:dyDescent="0.35">
      <c r="A1461" s="4" t="s">
        <v>19</v>
      </c>
      <c r="B1461" s="4" t="s">
        <v>505</v>
      </c>
      <c r="C1461" s="4" t="s">
        <v>614</v>
      </c>
      <c r="D1461" s="4" t="s">
        <v>615</v>
      </c>
      <c r="E1461" s="4" t="s">
        <v>87</v>
      </c>
      <c r="F1461" s="4" t="s">
        <v>4547</v>
      </c>
      <c r="G1461" s="4" t="s">
        <v>4395</v>
      </c>
      <c r="H1461" s="4" t="s">
        <v>26</v>
      </c>
      <c r="I1461" s="4" t="s">
        <v>33</v>
      </c>
      <c r="J1461" s="4" t="s">
        <v>27</v>
      </c>
      <c r="K1461" s="4" t="s">
        <v>28</v>
      </c>
      <c r="L1461" s="4" t="s">
        <v>28</v>
      </c>
      <c r="M1461" s="4" t="s">
        <v>34</v>
      </c>
      <c r="N1461" s="4" t="s">
        <v>28</v>
      </c>
    </row>
    <row r="1462" spans="1:14" ht="14.4" thickBot="1" x14ac:dyDescent="0.35">
      <c r="A1462" s="4" t="s">
        <v>19</v>
      </c>
      <c r="B1462" s="4" t="s">
        <v>505</v>
      </c>
      <c r="C1462" s="4" t="s">
        <v>614</v>
      </c>
      <c r="D1462" s="4" t="s">
        <v>615</v>
      </c>
      <c r="E1462" s="4" t="s">
        <v>87</v>
      </c>
      <c r="F1462" s="4" t="s">
        <v>4548</v>
      </c>
      <c r="G1462" s="4" t="s">
        <v>4549</v>
      </c>
      <c r="H1462" s="4" t="s">
        <v>135</v>
      </c>
      <c r="I1462" s="4" t="s">
        <v>94</v>
      </c>
      <c r="J1462" s="5"/>
      <c r="K1462" s="5"/>
      <c r="L1462" s="5"/>
      <c r="M1462" s="4" t="s">
        <v>29</v>
      </c>
      <c r="N1462" s="5"/>
    </row>
    <row r="1463" spans="1:14" ht="14.4" thickBot="1" x14ac:dyDescent="0.35">
      <c r="A1463" s="4" t="s">
        <v>19</v>
      </c>
      <c r="B1463" s="4" t="s">
        <v>505</v>
      </c>
      <c r="C1463" s="4" t="s">
        <v>614</v>
      </c>
      <c r="D1463" s="4" t="s">
        <v>615</v>
      </c>
      <c r="E1463" s="4" t="s">
        <v>87</v>
      </c>
      <c r="F1463" s="4" t="s">
        <v>4550</v>
      </c>
      <c r="G1463" s="4" t="s">
        <v>4551</v>
      </c>
      <c r="H1463" s="4" t="s">
        <v>135</v>
      </c>
      <c r="I1463" s="4" t="s">
        <v>33</v>
      </c>
      <c r="J1463" s="4" t="s">
        <v>27</v>
      </c>
      <c r="K1463" s="4" t="s">
        <v>28</v>
      </c>
      <c r="L1463" s="4" t="s">
        <v>28</v>
      </c>
      <c r="M1463" s="4" t="s">
        <v>34</v>
      </c>
      <c r="N1463" s="4" t="s">
        <v>28</v>
      </c>
    </row>
    <row r="1464" spans="1:14" ht="14.4" thickBot="1" x14ac:dyDescent="0.35">
      <c r="A1464" s="4" t="s">
        <v>19</v>
      </c>
      <c r="B1464" s="4" t="s">
        <v>505</v>
      </c>
      <c r="C1464" s="4" t="s">
        <v>614</v>
      </c>
      <c r="D1464" s="4" t="s">
        <v>615</v>
      </c>
      <c r="E1464" s="4" t="s">
        <v>87</v>
      </c>
      <c r="F1464" s="4" t="s">
        <v>4552</v>
      </c>
      <c r="G1464" s="4" t="s">
        <v>1272</v>
      </c>
      <c r="H1464" s="4" t="s">
        <v>26</v>
      </c>
      <c r="I1464" s="4" t="s">
        <v>33</v>
      </c>
      <c r="J1464" s="4" t="s">
        <v>27</v>
      </c>
      <c r="K1464" s="4" t="s">
        <v>28</v>
      </c>
      <c r="L1464" s="4" t="s">
        <v>28</v>
      </c>
      <c r="M1464" s="4" t="s">
        <v>34</v>
      </c>
      <c r="N1464" s="4" t="s">
        <v>28</v>
      </c>
    </row>
    <row r="1465" spans="1:14" ht="14.4" thickBot="1" x14ac:dyDescent="0.35">
      <c r="A1465" s="4" t="s">
        <v>19</v>
      </c>
      <c r="B1465" s="4" t="s">
        <v>505</v>
      </c>
      <c r="C1465" s="4" t="s">
        <v>614</v>
      </c>
      <c r="D1465" s="4" t="s">
        <v>615</v>
      </c>
      <c r="E1465" s="4" t="s">
        <v>87</v>
      </c>
      <c r="F1465" s="4" t="s">
        <v>4553</v>
      </c>
      <c r="G1465" s="4" t="s">
        <v>4554</v>
      </c>
      <c r="H1465" s="4" t="s">
        <v>26</v>
      </c>
      <c r="I1465" s="4" t="s">
        <v>33</v>
      </c>
      <c r="J1465" s="4" t="s">
        <v>27</v>
      </c>
      <c r="K1465" s="4" t="s">
        <v>28</v>
      </c>
      <c r="L1465" s="4" t="s">
        <v>28</v>
      </c>
      <c r="M1465" s="4" t="s">
        <v>34</v>
      </c>
      <c r="N1465" s="4" t="s">
        <v>28</v>
      </c>
    </row>
    <row r="1466" spans="1:14" ht="14.4" thickBot="1" x14ac:dyDescent="0.35">
      <c r="A1466" s="4" t="s">
        <v>19</v>
      </c>
      <c r="B1466" s="4" t="s">
        <v>505</v>
      </c>
      <c r="C1466" s="4" t="s">
        <v>614</v>
      </c>
      <c r="D1466" s="4" t="s">
        <v>615</v>
      </c>
      <c r="E1466" s="4" t="s">
        <v>87</v>
      </c>
      <c r="F1466" s="4" t="s">
        <v>5222</v>
      </c>
      <c r="G1466" s="4" t="s">
        <v>5223</v>
      </c>
      <c r="H1466" s="4" t="s">
        <v>26</v>
      </c>
      <c r="I1466" s="4" t="s">
        <v>38</v>
      </c>
      <c r="J1466" s="4" t="s">
        <v>28</v>
      </c>
      <c r="K1466" s="4" t="s">
        <v>28</v>
      </c>
      <c r="L1466" s="4" t="s">
        <v>27</v>
      </c>
      <c r="M1466" s="4" t="s">
        <v>29</v>
      </c>
      <c r="N1466" s="4" t="s">
        <v>28</v>
      </c>
    </row>
    <row r="1467" spans="1:14" ht="14.4" thickBot="1" x14ac:dyDescent="0.35">
      <c r="A1467" s="4" t="s">
        <v>19</v>
      </c>
      <c r="B1467" s="4" t="s">
        <v>505</v>
      </c>
      <c r="C1467" s="4" t="s">
        <v>614</v>
      </c>
      <c r="D1467" s="4" t="s">
        <v>615</v>
      </c>
      <c r="E1467" s="4" t="s">
        <v>87</v>
      </c>
      <c r="F1467" s="4" t="s">
        <v>5224</v>
      </c>
      <c r="G1467" s="4" t="s">
        <v>5225</v>
      </c>
      <c r="H1467" s="4" t="s">
        <v>26</v>
      </c>
      <c r="I1467" s="4" t="s">
        <v>26</v>
      </c>
      <c r="J1467" s="4" t="s">
        <v>27</v>
      </c>
      <c r="K1467" s="4" t="s">
        <v>28</v>
      </c>
      <c r="L1467" s="4" t="s">
        <v>28</v>
      </c>
      <c r="M1467" s="4" t="s">
        <v>130</v>
      </c>
      <c r="N1467" s="4" t="s">
        <v>28</v>
      </c>
    </row>
    <row r="1468" spans="1:14" ht="14.4" thickBot="1" x14ac:dyDescent="0.35">
      <c r="A1468" s="4" t="s">
        <v>19</v>
      </c>
      <c r="B1468" s="4" t="s">
        <v>505</v>
      </c>
      <c r="C1468" s="4" t="s">
        <v>614</v>
      </c>
      <c r="D1468" s="4" t="s">
        <v>615</v>
      </c>
      <c r="E1468" s="4" t="s">
        <v>87</v>
      </c>
      <c r="F1468" s="4" t="s">
        <v>5226</v>
      </c>
      <c r="G1468" s="4" t="s">
        <v>5227</v>
      </c>
      <c r="H1468" s="4" t="s">
        <v>38</v>
      </c>
      <c r="I1468" s="4" t="s">
        <v>38</v>
      </c>
      <c r="J1468" s="4" t="s">
        <v>28</v>
      </c>
      <c r="K1468" s="4" t="s">
        <v>28</v>
      </c>
      <c r="L1468" s="4" t="s">
        <v>27</v>
      </c>
      <c r="M1468" s="4" t="s">
        <v>375</v>
      </c>
      <c r="N1468" s="4" t="s">
        <v>28</v>
      </c>
    </row>
    <row r="1469" spans="1:14" ht="14.4" thickBot="1" x14ac:dyDescent="0.35">
      <c r="A1469" s="4" t="s">
        <v>19</v>
      </c>
      <c r="B1469" s="4" t="s">
        <v>505</v>
      </c>
      <c r="C1469" s="4" t="s">
        <v>614</v>
      </c>
      <c r="D1469" s="4" t="s">
        <v>615</v>
      </c>
      <c r="E1469" s="4" t="s">
        <v>87</v>
      </c>
      <c r="F1469" s="4" t="s">
        <v>5228</v>
      </c>
      <c r="G1469" s="4" t="s">
        <v>5229</v>
      </c>
      <c r="H1469" s="4" t="s">
        <v>38</v>
      </c>
      <c r="I1469" s="4" t="s">
        <v>38</v>
      </c>
      <c r="J1469" s="4" t="s">
        <v>28</v>
      </c>
      <c r="K1469" s="4" t="s">
        <v>28</v>
      </c>
      <c r="L1469" s="4" t="s">
        <v>27</v>
      </c>
      <c r="M1469" s="4" t="s">
        <v>375</v>
      </c>
      <c r="N1469" s="4" t="s">
        <v>28</v>
      </c>
    </row>
    <row r="1470" spans="1:14" ht="14.4" thickBot="1" x14ac:dyDescent="0.35">
      <c r="A1470" s="4" t="s">
        <v>19</v>
      </c>
      <c r="B1470" s="4" t="s">
        <v>505</v>
      </c>
      <c r="C1470" s="4" t="s">
        <v>614</v>
      </c>
      <c r="D1470" s="4" t="s">
        <v>615</v>
      </c>
      <c r="E1470" s="4" t="s">
        <v>87</v>
      </c>
      <c r="F1470" s="4" t="s">
        <v>5230</v>
      </c>
      <c r="G1470" s="4" t="s">
        <v>5231</v>
      </c>
      <c r="H1470" s="4" t="s">
        <v>26</v>
      </c>
      <c r="I1470" s="4" t="s">
        <v>26</v>
      </c>
      <c r="J1470" s="4" t="s">
        <v>27</v>
      </c>
      <c r="K1470" s="4" t="s">
        <v>28</v>
      </c>
      <c r="L1470" s="4" t="s">
        <v>28</v>
      </c>
      <c r="M1470" s="4" t="s">
        <v>130</v>
      </c>
      <c r="N1470" s="4" t="s">
        <v>28</v>
      </c>
    </row>
    <row r="1471" spans="1:14" ht="14.4" thickBot="1" x14ac:dyDescent="0.35">
      <c r="A1471" s="4" t="s">
        <v>19</v>
      </c>
      <c r="B1471" s="4" t="s">
        <v>505</v>
      </c>
      <c r="C1471" s="4" t="s">
        <v>614</v>
      </c>
      <c r="D1471" s="4" t="s">
        <v>615</v>
      </c>
      <c r="E1471" s="4" t="s">
        <v>87</v>
      </c>
      <c r="F1471" s="4" t="s">
        <v>5232</v>
      </c>
      <c r="G1471" s="4" t="s">
        <v>5233</v>
      </c>
      <c r="H1471" s="4" t="s">
        <v>26</v>
      </c>
      <c r="I1471" s="4" t="s">
        <v>26</v>
      </c>
      <c r="J1471" s="4" t="s">
        <v>27</v>
      </c>
      <c r="K1471" s="4" t="s">
        <v>28</v>
      </c>
      <c r="L1471" s="4" t="s">
        <v>28</v>
      </c>
      <c r="M1471" s="4" t="s">
        <v>130</v>
      </c>
      <c r="N1471" s="4" t="s">
        <v>28</v>
      </c>
    </row>
    <row r="1472" spans="1:14" ht="14.4" thickBot="1" x14ac:dyDescent="0.35">
      <c r="A1472" s="4" t="s">
        <v>19</v>
      </c>
      <c r="B1472" s="4" t="s">
        <v>505</v>
      </c>
      <c r="C1472" s="4" t="s">
        <v>614</v>
      </c>
      <c r="D1472" s="4" t="s">
        <v>615</v>
      </c>
      <c r="E1472" s="4" t="s">
        <v>87</v>
      </c>
      <c r="F1472" s="4" t="s">
        <v>5234</v>
      </c>
      <c r="G1472" s="4" t="s">
        <v>5235</v>
      </c>
      <c r="H1472" s="4" t="s">
        <v>135</v>
      </c>
      <c r="I1472" s="4" t="s">
        <v>94</v>
      </c>
      <c r="J1472" s="4" t="s">
        <v>27</v>
      </c>
      <c r="K1472" s="4" t="s">
        <v>28</v>
      </c>
      <c r="L1472" s="4" t="s">
        <v>28</v>
      </c>
      <c r="M1472" s="4" t="s">
        <v>34</v>
      </c>
      <c r="N1472" s="4" t="s">
        <v>27</v>
      </c>
    </row>
    <row r="1473" spans="1:14" ht="14.4" thickBot="1" x14ac:dyDescent="0.35">
      <c r="A1473" s="4" t="s">
        <v>19</v>
      </c>
      <c r="B1473" s="4" t="s">
        <v>505</v>
      </c>
      <c r="C1473" s="4" t="s">
        <v>614</v>
      </c>
      <c r="D1473" s="4" t="s">
        <v>615</v>
      </c>
      <c r="E1473" s="4" t="s">
        <v>87</v>
      </c>
      <c r="F1473" s="4" t="s">
        <v>5236</v>
      </c>
      <c r="G1473" s="4" t="s">
        <v>5237</v>
      </c>
      <c r="H1473" s="4" t="s">
        <v>26</v>
      </c>
      <c r="I1473" s="4" t="s">
        <v>38</v>
      </c>
      <c r="J1473" s="4" t="s">
        <v>28</v>
      </c>
      <c r="K1473" s="4" t="s">
        <v>28</v>
      </c>
      <c r="L1473" s="4" t="s">
        <v>27</v>
      </c>
      <c r="M1473" s="4" t="s">
        <v>29</v>
      </c>
      <c r="N1473" s="4" t="s">
        <v>28</v>
      </c>
    </row>
    <row r="1474" spans="1:14" ht="14.4" thickBot="1" x14ac:dyDescent="0.35">
      <c r="A1474" s="4" t="s">
        <v>19</v>
      </c>
      <c r="B1474" s="4" t="s">
        <v>505</v>
      </c>
      <c r="C1474" s="4" t="s">
        <v>614</v>
      </c>
      <c r="D1474" s="4" t="s">
        <v>615</v>
      </c>
      <c r="E1474" s="4" t="s">
        <v>87</v>
      </c>
      <c r="F1474" s="4" t="s">
        <v>5238</v>
      </c>
      <c r="G1474" s="4" t="s">
        <v>5239</v>
      </c>
      <c r="H1474" s="4" t="s">
        <v>26</v>
      </c>
      <c r="I1474" s="4" t="s">
        <v>26</v>
      </c>
      <c r="J1474" s="5"/>
      <c r="K1474" s="5"/>
      <c r="L1474" s="5"/>
      <c r="M1474" s="4" t="s">
        <v>29</v>
      </c>
      <c r="N1474" s="5"/>
    </row>
    <row r="1475" spans="1:14" ht="14.4" thickBot="1" x14ac:dyDescent="0.35">
      <c r="A1475" s="4" t="s">
        <v>19</v>
      </c>
      <c r="B1475" s="4" t="s">
        <v>505</v>
      </c>
      <c r="C1475" s="4" t="s">
        <v>614</v>
      </c>
      <c r="D1475" s="4" t="s">
        <v>615</v>
      </c>
      <c r="E1475" s="4" t="s">
        <v>87</v>
      </c>
      <c r="F1475" s="4" t="s">
        <v>5240</v>
      </c>
      <c r="G1475" s="4" t="s">
        <v>5241</v>
      </c>
      <c r="H1475" s="4" t="s">
        <v>135</v>
      </c>
      <c r="I1475" s="4" t="s">
        <v>33</v>
      </c>
      <c r="J1475" s="4" t="s">
        <v>27</v>
      </c>
      <c r="K1475" s="4" t="s">
        <v>28</v>
      </c>
      <c r="L1475" s="4" t="s">
        <v>28</v>
      </c>
      <c r="M1475" s="4" t="s">
        <v>34</v>
      </c>
      <c r="N1475" s="4" t="s">
        <v>28</v>
      </c>
    </row>
    <row r="1476" spans="1:14" ht="14.4" thickBot="1" x14ac:dyDescent="0.35">
      <c r="A1476" s="4" t="s">
        <v>19</v>
      </c>
      <c r="B1476" s="4" t="s">
        <v>505</v>
      </c>
      <c r="C1476" s="4" t="s">
        <v>614</v>
      </c>
      <c r="D1476" s="4" t="s">
        <v>615</v>
      </c>
      <c r="E1476" s="4" t="s">
        <v>87</v>
      </c>
      <c r="F1476" s="4" t="s">
        <v>5242</v>
      </c>
      <c r="G1476" s="4" t="s">
        <v>5243</v>
      </c>
      <c r="H1476" s="4" t="s">
        <v>37</v>
      </c>
      <c r="I1476" s="4" t="s">
        <v>38</v>
      </c>
      <c r="J1476" s="5"/>
      <c r="K1476" s="5"/>
      <c r="L1476" s="5"/>
      <c r="M1476" s="4" t="s">
        <v>29</v>
      </c>
      <c r="N1476" s="5"/>
    </row>
    <row r="1477" spans="1:14" ht="14.4" thickBot="1" x14ac:dyDescent="0.35">
      <c r="A1477" s="4" t="s">
        <v>19</v>
      </c>
      <c r="B1477" s="4" t="s">
        <v>505</v>
      </c>
      <c r="C1477" s="4" t="s">
        <v>614</v>
      </c>
      <c r="D1477" s="4" t="s">
        <v>615</v>
      </c>
      <c r="E1477" s="4" t="s">
        <v>87</v>
      </c>
      <c r="F1477" s="4" t="s">
        <v>5244</v>
      </c>
      <c r="G1477" s="4" t="s">
        <v>5245</v>
      </c>
      <c r="H1477" s="4" t="s">
        <v>26</v>
      </c>
      <c r="I1477" s="4" t="s">
        <v>94</v>
      </c>
      <c r="J1477" s="5"/>
      <c r="K1477" s="5"/>
      <c r="L1477" s="5"/>
      <c r="M1477" s="4" t="s">
        <v>29</v>
      </c>
      <c r="N1477" s="5"/>
    </row>
    <row r="1478" spans="1:14" ht="14.4" thickBot="1" x14ac:dyDescent="0.35">
      <c r="A1478" s="4" t="s">
        <v>19</v>
      </c>
      <c r="B1478" s="4" t="s">
        <v>505</v>
      </c>
      <c r="C1478" s="4" t="s">
        <v>614</v>
      </c>
      <c r="D1478" s="4" t="s">
        <v>615</v>
      </c>
      <c r="E1478" s="4" t="s">
        <v>87</v>
      </c>
      <c r="F1478" s="4" t="s">
        <v>5246</v>
      </c>
      <c r="G1478" s="4" t="s">
        <v>5247</v>
      </c>
      <c r="H1478" s="4" t="s">
        <v>135</v>
      </c>
      <c r="I1478" s="4" t="s">
        <v>38</v>
      </c>
      <c r="J1478" s="4" t="s">
        <v>28</v>
      </c>
      <c r="K1478" s="4" t="s">
        <v>28</v>
      </c>
      <c r="L1478" s="4" t="s">
        <v>27</v>
      </c>
      <c r="M1478" s="4" t="s">
        <v>29</v>
      </c>
      <c r="N1478" s="4" t="s">
        <v>28</v>
      </c>
    </row>
    <row r="1479" spans="1:14" ht="14.4" thickBot="1" x14ac:dyDescent="0.35">
      <c r="A1479" s="4" t="s">
        <v>19</v>
      </c>
      <c r="B1479" s="4" t="s">
        <v>505</v>
      </c>
      <c r="C1479" s="4" t="s">
        <v>614</v>
      </c>
      <c r="D1479" s="4" t="s">
        <v>615</v>
      </c>
      <c r="E1479" s="4" t="s">
        <v>87</v>
      </c>
      <c r="F1479" s="4" t="s">
        <v>5248</v>
      </c>
      <c r="G1479" s="4" t="s">
        <v>5249</v>
      </c>
      <c r="H1479" s="4" t="s">
        <v>69</v>
      </c>
      <c r="I1479" s="4" t="s">
        <v>94</v>
      </c>
      <c r="J1479" s="4" t="s">
        <v>28</v>
      </c>
      <c r="K1479" s="4" t="s">
        <v>27</v>
      </c>
      <c r="L1479" s="4" t="s">
        <v>28</v>
      </c>
      <c r="M1479" s="4" t="s">
        <v>34</v>
      </c>
      <c r="N1479" s="4" t="s">
        <v>28</v>
      </c>
    </row>
    <row r="1480" spans="1:14" ht="14.4" thickBot="1" x14ac:dyDescent="0.35">
      <c r="A1480" s="4" t="s">
        <v>19</v>
      </c>
      <c r="B1480" s="4" t="s">
        <v>505</v>
      </c>
      <c r="C1480" s="4" t="s">
        <v>614</v>
      </c>
      <c r="D1480" s="4" t="s">
        <v>615</v>
      </c>
      <c r="E1480" s="4" t="s">
        <v>87</v>
      </c>
      <c r="F1480" s="4" t="s">
        <v>5905</v>
      </c>
      <c r="G1480" s="4" t="s">
        <v>5906</v>
      </c>
      <c r="H1480" s="4" t="s">
        <v>26</v>
      </c>
      <c r="I1480" s="4" t="s">
        <v>38</v>
      </c>
      <c r="J1480" s="4" t="s">
        <v>28</v>
      </c>
      <c r="K1480" s="4" t="s">
        <v>28</v>
      </c>
      <c r="L1480" s="4" t="s">
        <v>27</v>
      </c>
      <c r="M1480" s="4" t="s">
        <v>29</v>
      </c>
      <c r="N1480" s="4" t="s">
        <v>28</v>
      </c>
    </row>
    <row r="1481" spans="1:14" ht="14.4" thickBot="1" x14ac:dyDescent="0.35">
      <c r="A1481" s="4" t="s">
        <v>19</v>
      </c>
      <c r="B1481" s="4" t="s">
        <v>505</v>
      </c>
      <c r="C1481" s="4" t="s">
        <v>614</v>
      </c>
      <c r="D1481" s="4" t="s">
        <v>615</v>
      </c>
      <c r="E1481" s="4" t="s">
        <v>87</v>
      </c>
      <c r="F1481" s="4" t="s">
        <v>5907</v>
      </c>
      <c r="G1481" s="4" t="s">
        <v>5908</v>
      </c>
      <c r="H1481" s="4" t="s">
        <v>69</v>
      </c>
      <c r="I1481" s="4" t="s">
        <v>94</v>
      </c>
      <c r="J1481" s="4" t="s">
        <v>28</v>
      </c>
      <c r="K1481" s="4" t="s">
        <v>27</v>
      </c>
      <c r="L1481" s="4" t="s">
        <v>28</v>
      </c>
      <c r="M1481" s="4" t="s">
        <v>34</v>
      </c>
      <c r="N1481" s="4" t="s">
        <v>28</v>
      </c>
    </row>
    <row r="1482" spans="1:14" ht="14.4" thickBot="1" x14ac:dyDescent="0.35">
      <c r="A1482" s="4" t="s">
        <v>19</v>
      </c>
      <c r="B1482" s="4" t="s">
        <v>505</v>
      </c>
      <c r="C1482" s="4" t="s">
        <v>614</v>
      </c>
      <c r="D1482" s="4" t="s">
        <v>615</v>
      </c>
      <c r="E1482" s="4" t="s">
        <v>87</v>
      </c>
      <c r="F1482" s="4" t="s">
        <v>667</v>
      </c>
      <c r="G1482" s="4" t="s">
        <v>5909</v>
      </c>
      <c r="H1482" s="4" t="s">
        <v>26</v>
      </c>
      <c r="I1482" s="4" t="s">
        <v>26</v>
      </c>
      <c r="J1482" s="4" t="s">
        <v>27</v>
      </c>
      <c r="K1482" s="4" t="s">
        <v>28</v>
      </c>
      <c r="L1482" s="4" t="s">
        <v>28</v>
      </c>
      <c r="M1482" s="4" t="s">
        <v>130</v>
      </c>
      <c r="N1482" s="4" t="s">
        <v>28</v>
      </c>
    </row>
    <row r="1483" spans="1:14" ht="14.4" thickBot="1" x14ac:dyDescent="0.35">
      <c r="A1483" s="4" t="s">
        <v>19</v>
      </c>
      <c r="B1483" s="4" t="s">
        <v>505</v>
      </c>
      <c r="C1483" s="4" t="s">
        <v>614</v>
      </c>
      <c r="D1483" s="4" t="s">
        <v>615</v>
      </c>
      <c r="E1483" s="4" t="s">
        <v>87</v>
      </c>
      <c r="F1483" s="4" t="s">
        <v>5910</v>
      </c>
      <c r="G1483" s="4" t="s">
        <v>5911</v>
      </c>
      <c r="H1483" s="4" t="s">
        <v>37</v>
      </c>
      <c r="I1483" s="4" t="s">
        <v>38</v>
      </c>
      <c r="J1483" s="4" t="s">
        <v>28</v>
      </c>
      <c r="K1483" s="4" t="s">
        <v>28</v>
      </c>
      <c r="L1483" s="4" t="s">
        <v>27</v>
      </c>
      <c r="M1483" s="4" t="s">
        <v>34</v>
      </c>
      <c r="N1483" s="4" t="s">
        <v>28</v>
      </c>
    </row>
    <row r="1484" spans="1:14" ht="14.4" thickBot="1" x14ac:dyDescent="0.35">
      <c r="A1484" s="4" t="s">
        <v>19</v>
      </c>
      <c r="B1484" s="4" t="s">
        <v>505</v>
      </c>
      <c r="C1484" s="4" t="s">
        <v>614</v>
      </c>
      <c r="D1484" s="4" t="s">
        <v>615</v>
      </c>
      <c r="E1484" s="4" t="s">
        <v>87</v>
      </c>
      <c r="F1484" s="4" t="s">
        <v>5912</v>
      </c>
      <c r="G1484" s="4" t="s">
        <v>5913</v>
      </c>
      <c r="H1484" s="4" t="s">
        <v>26</v>
      </c>
      <c r="I1484" s="4" t="s">
        <v>135</v>
      </c>
      <c r="J1484" s="5"/>
      <c r="K1484" s="5"/>
      <c r="L1484" s="5"/>
      <c r="M1484" s="4" t="s">
        <v>29</v>
      </c>
      <c r="N1484" s="5"/>
    </row>
    <row r="1485" spans="1:14" ht="14.4" thickBot="1" x14ac:dyDescent="0.35">
      <c r="A1485" s="4" t="s">
        <v>19</v>
      </c>
      <c r="B1485" s="4" t="s">
        <v>505</v>
      </c>
      <c r="C1485" s="4" t="s">
        <v>614</v>
      </c>
      <c r="D1485" s="4" t="s">
        <v>615</v>
      </c>
      <c r="E1485" s="4" t="s">
        <v>87</v>
      </c>
      <c r="F1485" s="4" t="s">
        <v>5914</v>
      </c>
      <c r="G1485" s="4" t="s">
        <v>5400</v>
      </c>
      <c r="H1485" s="4" t="s">
        <v>26</v>
      </c>
      <c r="I1485" s="4" t="s">
        <v>33</v>
      </c>
      <c r="J1485" s="4" t="s">
        <v>27</v>
      </c>
      <c r="K1485" s="4" t="s">
        <v>28</v>
      </c>
      <c r="L1485" s="4" t="s">
        <v>28</v>
      </c>
      <c r="M1485" s="4" t="s">
        <v>34</v>
      </c>
      <c r="N1485" s="4" t="s">
        <v>28</v>
      </c>
    </row>
    <row r="1486" spans="1:14" ht="14.4" thickBot="1" x14ac:dyDescent="0.35">
      <c r="A1486" s="4" t="s">
        <v>19</v>
      </c>
      <c r="B1486" s="4" t="s">
        <v>505</v>
      </c>
      <c r="C1486" s="4" t="s">
        <v>614</v>
      </c>
      <c r="D1486" s="4" t="s">
        <v>615</v>
      </c>
      <c r="E1486" s="4" t="s">
        <v>87</v>
      </c>
      <c r="F1486" s="4" t="s">
        <v>5915</v>
      </c>
      <c r="G1486" s="4" t="s">
        <v>5916</v>
      </c>
      <c r="H1486" s="4" t="s">
        <v>26</v>
      </c>
      <c r="I1486" s="4" t="s">
        <v>38</v>
      </c>
      <c r="J1486" s="5"/>
      <c r="K1486" s="5"/>
      <c r="L1486" s="5"/>
      <c r="M1486" s="4" t="s">
        <v>29</v>
      </c>
      <c r="N1486" s="5"/>
    </row>
    <row r="1487" spans="1:14" ht="14.4" thickBot="1" x14ac:dyDescent="0.35">
      <c r="A1487" s="4" t="s">
        <v>19</v>
      </c>
      <c r="B1487" s="4" t="s">
        <v>505</v>
      </c>
      <c r="C1487" s="4" t="s">
        <v>614</v>
      </c>
      <c r="D1487" s="4" t="s">
        <v>615</v>
      </c>
      <c r="E1487" s="4" t="s">
        <v>87</v>
      </c>
      <c r="F1487" s="4" t="s">
        <v>5917</v>
      </c>
      <c r="G1487" s="4" t="s">
        <v>5918</v>
      </c>
      <c r="H1487" s="4" t="s">
        <v>26</v>
      </c>
      <c r="I1487" s="4" t="s">
        <v>33</v>
      </c>
      <c r="J1487" s="4" t="s">
        <v>27</v>
      </c>
      <c r="K1487" s="4" t="s">
        <v>28</v>
      </c>
      <c r="L1487" s="4" t="s">
        <v>28</v>
      </c>
      <c r="M1487" s="4" t="s">
        <v>34</v>
      </c>
      <c r="N1487" s="4" t="s">
        <v>28</v>
      </c>
    </row>
    <row r="1488" spans="1:14" ht="14.4" thickBot="1" x14ac:dyDescent="0.35">
      <c r="A1488" s="4" t="s">
        <v>19</v>
      </c>
      <c r="B1488" s="4" t="s">
        <v>505</v>
      </c>
      <c r="C1488" s="4" t="s">
        <v>614</v>
      </c>
      <c r="D1488" s="4" t="s">
        <v>615</v>
      </c>
      <c r="E1488" s="4" t="s">
        <v>87</v>
      </c>
      <c r="F1488" s="4" t="s">
        <v>5919</v>
      </c>
      <c r="G1488" s="4" t="s">
        <v>1345</v>
      </c>
      <c r="H1488" s="4" t="s">
        <v>69</v>
      </c>
      <c r="I1488" s="4" t="s">
        <v>94</v>
      </c>
      <c r="J1488" s="4" t="s">
        <v>28</v>
      </c>
      <c r="K1488" s="4" t="s">
        <v>27</v>
      </c>
      <c r="L1488" s="4" t="s">
        <v>28</v>
      </c>
      <c r="M1488" s="4" t="s">
        <v>34</v>
      </c>
      <c r="N1488" s="4" t="s">
        <v>28</v>
      </c>
    </row>
    <row r="1489" spans="1:14" ht="14.4" thickBot="1" x14ac:dyDescent="0.35">
      <c r="A1489" s="4" t="s">
        <v>19</v>
      </c>
      <c r="B1489" s="4" t="s">
        <v>505</v>
      </c>
      <c r="C1489" s="4" t="s">
        <v>614</v>
      </c>
      <c r="D1489" s="4" t="s">
        <v>615</v>
      </c>
      <c r="E1489" s="4" t="s">
        <v>87</v>
      </c>
      <c r="F1489" s="4" t="s">
        <v>5920</v>
      </c>
      <c r="G1489" s="4" t="s">
        <v>5921</v>
      </c>
      <c r="H1489" s="4" t="s">
        <v>135</v>
      </c>
      <c r="I1489" s="4" t="s">
        <v>33</v>
      </c>
      <c r="J1489" s="4" t="s">
        <v>27</v>
      </c>
      <c r="K1489" s="4" t="s">
        <v>28</v>
      </c>
      <c r="L1489" s="4" t="s">
        <v>28</v>
      </c>
      <c r="M1489" s="4" t="s">
        <v>34</v>
      </c>
      <c r="N1489" s="4" t="s">
        <v>28</v>
      </c>
    </row>
    <row r="1490" spans="1:14" ht="14.4" thickBot="1" x14ac:dyDescent="0.35">
      <c r="A1490" s="4" t="s">
        <v>19</v>
      </c>
      <c r="B1490" s="4" t="s">
        <v>505</v>
      </c>
      <c r="C1490" s="4" t="s">
        <v>614</v>
      </c>
      <c r="D1490" s="4" t="s">
        <v>615</v>
      </c>
      <c r="E1490" s="4" t="s">
        <v>87</v>
      </c>
      <c r="F1490" s="4" t="s">
        <v>5922</v>
      </c>
      <c r="G1490" s="4" t="s">
        <v>5923</v>
      </c>
      <c r="H1490" s="4" t="s">
        <v>37</v>
      </c>
      <c r="I1490" s="4" t="s">
        <v>38</v>
      </c>
      <c r="J1490" s="4" t="s">
        <v>28</v>
      </c>
      <c r="K1490" s="4" t="s">
        <v>28</v>
      </c>
      <c r="L1490" s="4" t="s">
        <v>27</v>
      </c>
      <c r="M1490" s="4" t="s">
        <v>34</v>
      </c>
      <c r="N1490" s="4" t="s">
        <v>27</v>
      </c>
    </row>
    <row r="1491" spans="1:14" ht="14.4" thickBot="1" x14ac:dyDescent="0.35">
      <c r="A1491" s="4" t="s">
        <v>19</v>
      </c>
      <c r="B1491" s="4" t="s">
        <v>505</v>
      </c>
      <c r="C1491" s="4" t="s">
        <v>614</v>
      </c>
      <c r="D1491" s="4" t="s">
        <v>615</v>
      </c>
      <c r="E1491" s="4" t="s">
        <v>87</v>
      </c>
      <c r="F1491" s="4" t="s">
        <v>5924</v>
      </c>
      <c r="G1491" s="4" t="s">
        <v>2754</v>
      </c>
      <c r="H1491" s="4" t="s">
        <v>26</v>
      </c>
      <c r="I1491" s="4" t="s">
        <v>33</v>
      </c>
      <c r="J1491" s="4" t="s">
        <v>27</v>
      </c>
      <c r="K1491" s="4" t="s">
        <v>28</v>
      </c>
      <c r="L1491" s="4" t="s">
        <v>28</v>
      </c>
      <c r="M1491" s="4" t="s">
        <v>34</v>
      </c>
      <c r="N1491" s="4" t="s">
        <v>28</v>
      </c>
    </row>
    <row r="1492" spans="1:14" ht="14.4" thickBot="1" x14ac:dyDescent="0.35">
      <c r="A1492" s="4" t="s">
        <v>19</v>
      </c>
      <c r="B1492" s="4" t="s">
        <v>505</v>
      </c>
      <c r="C1492" s="4" t="s">
        <v>962</v>
      </c>
      <c r="D1492" s="4" t="s">
        <v>963</v>
      </c>
      <c r="E1492" s="4" t="s">
        <v>87</v>
      </c>
      <c r="F1492" s="4" t="s">
        <v>964</v>
      </c>
      <c r="G1492" s="4" t="s">
        <v>965</v>
      </c>
      <c r="H1492" s="4" t="s">
        <v>454</v>
      </c>
      <c r="I1492" s="4" t="s">
        <v>38</v>
      </c>
      <c r="J1492" s="4" t="s">
        <v>28</v>
      </c>
      <c r="K1492" s="4" t="s">
        <v>28</v>
      </c>
      <c r="L1492" s="4" t="s">
        <v>27</v>
      </c>
      <c r="M1492" s="4" t="s">
        <v>181</v>
      </c>
      <c r="N1492" s="4" t="s">
        <v>28</v>
      </c>
    </row>
    <row r="1493" spans="1:14" ht="14.4" thickBot="1" x14ac:dyDescent="0.35">
      <c r="A1493" s="4" t="s">
        <v>19</v>
      </c>
      <c r="B1493" s="4" t="s">
        <v>505</v>
      </c>
      <c r="C1493" s="4" t="s">
        <v>962</v>
      </c>
      <c r="D1493" s="4" t="s">
        <v>963</v>
      </c>
      <c r="E1493" s="4" t="s">
        <v>87</v>
      </c>
      <c r="F1493" s="4" t="s">
        <v>1700</v>
      </c>
      <c r="G1493" s="4" t="s">
        <v>1701</v>
      </c>
      <c r="H1493" s="4" t="s">
        <v>26</v>
      </c>
      <c r="I1493" s="4" t="s">
        <v>26</v>
      </c>
      <c r="J1493" s="4" t="s">
        <v>27</v>
      </c>
      <c r="K1493" s="4" t="s">
        <v>28</v>
      </c>
      <c r="L1493" s="4" t="s">
        <v>28</v>
      </c>
      <c r="M1493" s="4" t="s">
        <v>34</v>
      </c>
      <c r="N1493" s="4" t="s">
        <v>28</v>
      </c>
    </row>
    <row r="1494" spans="1:14" ht="14.4" thickBot="1" x14ac:dyDescent="0.35">
      <c r="A1494" s="4" t="s">
        <v>19</v>
      </c>
      <c r="B1494" s="4" t="s">
        <v>505</v>
      </c>
      <c r="C1494" s="4" t="s">
        <v>962</v>
      </c>
      <c r="D1494" s="4" t="s">
        <v>963</v>
      </c>
      <c r="E1494" s="4" t="s">
        <v>87</v>
      </c>
      <c r="F1494" s="4" t="s">
        <v>1702</v>
      </c>
      <c r="G1494" s="4" t="s">
        <v>1703</v>
      </c>
      <c r="H1494" s="4" t="s">
        <v>135</v>
      </c>
      <c r="I1494" s="4" t="s">
        <v>69</v>
      </c>
      <c r="J1494" s="4" t="s">
        <v>27</v>
      </c>
      <c r="K1494" s="4" t="s">
        <v>28</v>
      </c>
      <c r="L1494" s="4" t="s">
        <v>28</v>
      </c>
      <c r="M1494" s="4" t="s">
        <v>34</v>
      </c>
      <c r="N1494" s="4" t="s">
        <v>28</v>
      </c>
    </row>
    <row r="1495" spans="1:14" ht="14.4" thickBot="1" x14ac:dyDescent="0.35">
      <c r="A1495" s="4" t="s">
        <v>19</v>
      </c>
      <c r="B1495" s="4" t="s">
        <v>505</v>
      </c>
      <c r="C1495" s="4" t="s">
        <v>962</v>
      </c>
      <c r="D1495" s="4" t="s">
        <v>963</v>
      </c>
      <c r="E1495" s="4" t="s">
        <v>87</v>
      </c>
      <c r="F1495" s="4" t="s">
        <v>1704</v>
      </c>
      <c r="G1495" s="4" t="s">
        <v>1705</v>
      </c>
      <c r="H1495" s="4" t="s">
        <v>122</v>
      </c>
      <c r="I1495" s="4" t="s">
        <v>94</v>
      </c>
      <c r="J1495" s="4" t="s">
        <v>28</v>
      </c>
      <c r="K1495" s="4" t="s">
        <v>27</v>
      </c>
      <c r="L1495" s="4" t="s">
        <v>28</v>
      </c>
      <c r="M1495" s="4" t="s">
        <v>34</v>
      </c>
      <c r="N1495" s="4" t="s">
        <v>28</v>
      </c>
    </row>
    <row r="1496" spans="1:14" ht="14.4" thickBot="1" x14ac:dyDescent="0.35">
      <c r="A1496" s="4" t="s">
        <v>19</v>
      </c>
      <c r="B1496" s="4" t="s">
        <v>505</v>
      </c>
      <c r="C1496" s="4" t="s">
        <v>962</v>
      </c>
      <c r="D1496" s="4" t="s">
        <v>963</v>
      </c>
      <c r="E1496" s="4" t="s">
        <v>87</v>
      </c>
      <c r="F1496" s="4" t="s">
        <v>2394</v>
      </c>
      <c r="G1496" s="4" t="s">
        <v>2395</v>
      </c>
      <c r="H1496" s="4" t="s">
        <v>37</v>
      </c>
      <c r="I1496" s="4" t="s">
        <v>38</v>
      </c>
      <c r="J1496" s="4" t="s">
        <v>28</v>
      </c>
      <c r="K1496" s="4" t="s">
        <v>28</v>
      </c>
      <c r="L1496" s="4" t="s">
        <v>27</v>
      </c>
      <c r="M1496" s="4" t="s">
        <v>34</v>
      </c>
      <c r="N1496" s="4" t="s">
        <v>27</v>
      </c>
    </row>
    <row r="1497" spans="1:14" ht="14.4" thickBot="1" x14ac:dyDescent="0.35">
      <c r="A1497" s="4" t="s">
        <v>19</v>
      </c>
      <c r="B1497" s="4" t="s">
        <v>505</v>
      </c>
      <c r="C1497" s="4" t="s">
        <v>962</v>
      </c>
      <c r="D1497" s="4" t="s">
        <v>963</v>
      </c>
      <c r="E1497" s="4" t="s">
        <v>87</v>
      </c>
      <c r="F1497" s="4" t="s">
        <v>2396</v>
      </c>
      <c r="G1497" s="4" t="s">
        <v>2397</v>
      </c>
      <c r="H1497" s="4" t="s">
        <v>135</v>
      </c>
      <c r="I1497" s="4" t="s">
        <v>69</v>
      </c>
      <c r="J1497" s="4" t="s">
        <v>27</v>
      </c>
      <c r="K1497" s="4" t="s">
        <v>28</v>
      </c>
      <c r="L1497" s="4" t="s">
        <v>28</v>
      </c>
      <c r="M1497" s="4" t="s">
        <v>34</v>
      </c>
      <c r="N1497" s="4" t="s">
        <v>28</v>
      </c>
    </row>
    <row r="1498" spans="1:14" ht="14.4" thickBot="1" x14ac:dyDescent="0.35">
      <c r="A1498" s="4" t="s">
        <v>19</v>
      </c>
      <c r="B1498" s="4" t="s">
        <v>505</v>
      </c>
      <c r="C1498" s="4" t="s">
        <v>962</v>
      </c>
      <c r="D1498" s="4" t="s">
        <v>963</v>
      </c>
      <c r="E1498" s="4" t="s">
        <v>87</v>
      </c>
      <c r="F1498" s="4" t="s">
        <v>2492</v>
      </c>
      <c r="G1498" s="4" t="s">
        <v>2493</v>
      </c>
      <c r="H1498" s="4" t="s">
        <v>26</v>
      </c>
      <c r="I1498" s="4" t="s">
        <v>38</v>
      </c>
      <c r="J1498" s="5"/>
      <c r="K1498" s="5"/>
      <c r="L1498" s="5"/>
      <c r="M1498" s="4" t="s">
        <v>29</v>
      </c>
      <c r="N1498" s="5"/>
    </row>
    <row r="1499" spans="1:14" ht="14.4" thickBot="1" x14ac:dyDescent="0.35">
      <c r="A1499" s="4" t="s">
        <v>19</v>
      </c>
      <c r="B1499" s="4" t="s">
        <v>505</v>
      </c>
      <c r="C1499" s="4" t="s">
        <v>962</v>
      </c>
      <c r="D1499" s="4" t="s">
        <v>963</v>
      </c>
      <c r="E1499" s="4" t="s">
        <v>87</v>
      </c>
      <c r="F1499" s="4" t="s">
        <v>3157</v>
      </c>
      <c r="G1499" s="4" t="s">
        <v>3158</v>
      </c>
      <c r="H1499" s="4" t="s">
        <v>135</v>
      </c>
      <c r="I1499" s="4" t="s">
        <v>69</v>
      </c>
      <c r="J1499" s="4" t="s">
        <v>27</v>
      </c>
      <c r="K1499" s="4" t="s">
        <v>28</v>
      </c>
      <c r="L1499" s="4" t="s">
        <v>28</v>
      </c>
      <c r="M1499" s="4" t="s">
        <v>34</v>
      </c>
      <c r="N1499" s="4" t="s">
        <v>28</v>
      </c>
    </row>
    <row r="1500" spans="1:14" ht="14.4" thickBot="1" x14ac:dyDescent="0.35">
      <c r="A1500" s="4" t="s">
        <v>19</v>
      </c>
      <c r="B1500" s="4" t="s">
        <v>505</v>
      </c>
      <c r="C1500" s="4" t="s">
        <v>962</v>
      </c>
      <c r="D1500" s="4" t="s">
        <v>963</v>
      </c>
      <c r="E1500" s="4" t="s">
        <v>87</v>
      </c>
      <c r="F1500" s="4" t="s">
        <v>3972</v>
      </c>
      <c r="G1500" s="4" t="s">
        <v>3973</v>
      </c>
      <c r="H1500" s="4" t="s">
        <v>135</v>
      </c>
      <c r="I1500" s="4" t="s">
        <v>69</v>
      </c>
      <c r="J1500" s="4" t="s">
        <v>27</v>
      </c>
      <c r="K1500" s="4" t="s">
        <v>28</v>
      </c>
      <c r="L1500" s="4" t="s">
        <v>28</v>
      </c>
      <c r="M1500" s="4" t="s">
        <v>34</v>
      </c>
      <c r="N1500" s="4" t="s">
        <v>27</v>
      </c>
    </row>
    <row r="1501" spans="1:14" ht="14.4" thickBot="1" x14ac:dyDescent="0.35">
      <c r="A1501" s="4" t="s">
        <v>19</v>
      </c>
      <c r="B1501" s="4" t="s">
        <v>505</v>
      </c>
      <c r="C1501" s="4" t="s">
        <v>962</v>
      </c>
      <c r="D1501" s="4" t="s">
        <v>963</v>
      </c>
      <c r="E1501" s="4" t="s">
        <v>87</v>
      </c>
      <c r="F1501" s="4" t="s">
        <v>5367</v>
      </c>
      <c r="G1501" s="4" t="s">
        <v>5368</v>
      </c>
      <c r="H1501" s="4" t="s">
        <v>122</v>
      </c>
      <c r="I1501" s="4" t="s">
        <v>94</v>
      </c>
      <c r="J1501" s="4" t="s">
        <v>28</v>
      </c>
      <c r="K1501" s="4" t="s">
        <v>27</v>
      </c>
      <c r="L1501" s="4" t="s">
        <v>28</v>
      </c>
      <c r="M1501" s="4" t="s">
        <v>34</v>
      </c>
      <c r="N1501" s="4" t="s">
        <v>27</v>
      </c>
    </row>
    <row r="1502" spans="1:14" ht="14.4" thickBot="1" x14ac:dyDescent="0.35">
      <c r="A1502" s="4" t="s">
        <v>19</v>
      </c>
      <c r="B1502" s="4" t="s">
        <v>505</v>
      </c>
      <c r="C1502" s="4" t="s">
        <v>962</v>
      </c>
      <c r="D1502" s="4" t="s">
        <v>963</v>
      </c>
      <c r="E1502" s="4" t="s">
        <v>87</v>
      </c>
      <c r="F1502" s="4" t="s">
        <v>5369</v>
      </c>
      <c r="G1502" s="4" t="s">
        <v>5370</v>
      </c>
      <c r="H1502" s="4" t="s">
        <v>135</v>
      </c>
      <c r="I1502" s="4" t="s">
        <v>69</v>
      </c>
      <c r="J1502" s="4" t="s">
        <v>27</v>
      </c>
      <c r="K1502" s="4" t="s">
        <v>28</v>
      </c>
      <c r="L1502" s="4" t="s">
        <v>28</v>
      </c>
      <c r="M1502" s="4" t="s">
        <v>34</v>
      </c>
      <c r="N1502" s="4" t="s">
        <v>28</v>
      </c>
    </row>
    <row r="1503" spans="1:14" ht="14.4" thickBot="1" x14ac:dyDescent="0.35">
      <c r="A1503" s="4" t="s">
        <v>19</v>
      </c>
      <c r="B1503" s="4" t="s">
        <v>505</v>
      </c>
      <c r="C1503" s="4" t="s">
        <v>962</v>
      </c>
      <c r="D1503" s="4" t="s">
        <v>963</v>
      </c>
      <c r="E1503" s="4" t="s">
        <v>87</v>
      </c>
      <c r="F1503" s="4" t="s">
        <v>5371</v>
      </c>
      <c r="G1503" s="4" t="s">
        <v>5372</v>
      </c>
      <c r="H1503" s="4" t="s">
        <v>135</v>
      </c>
      <c r="I1503" s="4" t="s">
        <v>69</v>
      </c>
      <c r="J1503" s="4" t="s">
        <v>27</v>
      </c>
      <c r="K1503" s="4" t="s">
        <v>28</v>
      </c>
      <c r="L1503" s="4" t="s">
        <v>28</v>
      </c>
      <c r="M1503" s="4" t="s">
        <v>34</v>
      </c>
      <c r="N1503" s="4" t="s">
        <v>28</v>
      </c>
    </row>
    <row r="1504" spans="1:14" ht="14.4" thickBot="1" x14ac:dyDescent="0.35">
      <c r="A1504" s="4" t="s">
        <v>19</v>
      </c>
      <c r="B1504" s="4" t="s">
        <v>505</v>
      </c>
      <c r="C1504" s="4" t="s">
        <v>962</v>
      </c>
      <c r="D1504" s="4" t="s">
        <v>963</v>
      </c>
      <c r="E1504" s="4" t="s">
        <v>87</v>
      </c>
      <c r="F1504" s="4" t="s">
        <v>247</v>
      </c>
      <c r="G1504" s="4" t="s">
        <v>6065</v>
      </c>
      <c r="H1504" s="4" t="s">
        <v>37</v>
      </c>
      <c r="I1504" s="4" t="s">
        <v>38</v>
      </c>
      <c r="J1504" s="4" t="s">
        <v>28</v>
      </c>
      <c r="K1504" s="4" t="s">
        <v>28</v>
      </c>
      <c r="L1504" s="4" t="s">
        <v>27</v>
      </c>
      <c r="M1504" s="4" t="s">
        <v>34</v>
      </c>
      <c r="N1504" s="4" t="s">
        <v>28</v>
      </c>
    </row>
    <row r="1505" spans="1:14" ht="14.4" thickBot="1" x14ac:dyDescent="0.35">
      <c r="A1505" s="4" t="s">
        <v>19</v>
      </c>
      <c r="B1505" s="4" t="s">
        <v>505</v>
      </c>
      <c r="C1505" s="4" t="s">
        <v>962</v>
      </c>
      <c r="D1505" s="4" t="s">
        <v>963</v>
      </c>
      <c r="E1505" s="4" t="s">
        <v>87</v>
      </c>
      <c r="F1505" s="4" t="s">
        <v>6173</v>
      </c>
      <c r="G1505" s="4" t="s">
        <v>6174</v>
      </c>
      <c r="H1505" s="4" t="s">
        <v>26</v>
      </c>
      <c r="I1505" s="4" t="s">
        <v>94</v>
      </c>
      <c r="J1505" s="4" t="s">
        <v>27</v>
      </c>
      <c r="K1505" s="4" t="s">
        <v>28</v>
      </c>
      <c r="L1505" s="4" t="s">
        <v>28</v>
      </c>
      <c r="M1505" s="4" t="s">
        <v>29</v>
      </c>
      <c r="N1505" s="5"/>
    </row>
    <row r="1506" spans="1:14" ht="14.4" thickBot="1" x14ac:dyDescent="0.35">
      <c r="A1506" s="4" t="s">
        <v>19</v>
      </c>
      <c r="B1506" s="4" t="s">
        <v>505</v>
      </c>
      <c r="C1506" s="4" t="s">
        <v>3801</v>
      </c>
      <c r="D1506" s="4" t="s">
        <v>3802</v>
      </c>
      <c r="E1506" s="4" t="s">
        <v>87</v>
      </c>
      <c r="F1506" s="4" t="s">
        <v>3803</v>
      </c>
      <c r="G1506" s="4" t="s">
        <v>3804</v>
      </c>
      <c r="H1506" s="4" t="s">
        <v>37</v>
      </c>
      <c r="I1506" s="4" t="s">
        <v>38</v>
      </c>
      <c r="J1506" s="4" t="s">
        <v>28</v>
      </c>
      <c r="K1506" s="4" t="s">
        <v>28</v>
      </c>
      <c r="L1506" s="4" t="s">
        <v>27</v>
      </c>
      <c r="M1506" s="4" t="s">
        <v>34</v>
      </c>
      <c r="N1506" s="4" t="s">
        <v>28</v>
      </c>
    </row>
    <row r="1507" spans="1:14" ht="14.4" thickBot="1" x14ac:dyDescent="0.35">
      <c r="A1507" s="4" t="s">
        <v>19</v>
      </c>
      <c r="B1507" s="4" t="s">
        <v>505</v>
      </c>
      <c r="C1507" s="4" t="s">
        <v>3801</v>
      </c>
      <c r="D1507" s="4" t="s">
        <v>3802</v>
      </c>
      <c r="E1507" s="4" t="s">
        <v>87</v>
      </c>
      <c r="F1507" s="4" t="s">
        <v>5250</v>
      </c>
      <c r="G1507" s="4" t="s">
        <v>5251</v>
      </c>
      <c r="H1507" s="4" t="s">
        <v>26</v>
      </c>
      <c r="I1507" s="4" t="s">
        <v>33</v>
      </c>
      <c r="J1507" s="4" t="s">
        <v>27</v>
      </c>
      <c r="K1507" s="4" t="s">
        <v>28</v>
      </c>
      <c r="L1507" s="4" t="s">
        <v>28</v>
      </c>
      <c r="M1507" s="4" t="s">
        <v>34</v>
      </c>
      <c r="N1507" s="4" t="s">
        <v>28</v>
      </c>
    </row>
    <row r="1508" spans="1:14" ht="14.4" thickBot="1" x14ac:dyDescent="0.35">
      <c r="A1508" s="4" t="s">
        <v>19</v>
      </c>
      <c r="B1508" s="4" t="s">
        <v>505</v>
      </c>
      <c r="C1508" s="4" t="s">
        <v>3801</v>
      </c>
      <c r="D1508" s="4" t="s">
        <v>3802</v>
      </c>
      <c r="E1508" s="4" t="s">
        <v>87</v>
      </c>
      <c r="F1508" s="4" t="s">
        <v>5925</v>
      </c>
      <c r="G1508" s="4" t="s">
        <v>5926</v>
      </c>
      <c r="H1508" s="4" t="s">
        <v>69</v>
      </c>
      <c r="I1508" s="4" t="s">
        <v>94</v>
      </c>
      <c r="J1508" s="4" t="s">
        <v>28</v>
      </c>
      <c r="K1508" s="4" t="s">
        <v>27</v>
      </c>
      <c r="L1508" s="4" t="s">
        <v>28</v>
      </c>
      <c r="M1508" s="4" t="s">
        <v>34</v>
      </c>
      <c r="N1508" s="4" t="s">
        <v>28</v>
      </c>
    </row>
    <row r="1509" spans="1:14" ht="14.4" thickBot="1" x14ac:dyDescent="0.35">
      <c r="A1509" s="4" t="s">
        <v>19</v>
      </c>
      <c r="B1509" s="4" t="s">
        <v>505</v>
      </c>
      <c r="C1509" s="4" t="s">
        <v>3801</v>
      </c>
      <c r="D1509" s="4" t="s">
        <v>3802</v>
      </c>
      <c r="E1509" s="4" t="s">
        <v>87</v>
      </c>
      <c r="F1509" s="4" t="s">
        <v>5927</v>
      </c>
      <c r="G1509" s="4" t="s">
        <v>5928</v>
      </c>
      <c r="H1509" s="4" t="s">
        <v>26</v>
      </c>
      <c r="I1509" s="4" t="s">
        <v>69</v>
      </c>
      <c r="J1509" s="4" t="s">
        <v>27</v>
      </c>
      <c r="K1509" s="4" t="s">
        <v>28</v>
      </c>
      <c r="L1509" s="4" t="s">
        <v>28</v>
      </c>
      <c r="M1509" s="4" t="s">
        <v>34</v>
      </c>
      <c r="N1509" s="4" t="s">
        <v>28</v>
      </c>
    </row>
    <row r="1510" spans="1:14" ht="14.4" thickBot="1" x14ac:dyDescent="0.35">
      <c r="A1510" s="4" t="s">
        <v>19</v>
      </c>
      <c r="B1510" s="4" t="s">
        <v>505</v>
      </c>
      <c r="C1510" s="4" t="s">
        <v>506</v>
      </c>
      <c r="D1510" s="4" t="s">
        <v>507</v>
      </c>
      <c r="E1510" s="4" t="s">
        <v>87</v>
      </c>
      <c r="F1510" s="4" t="s">
        <v>508</v>
      </c>
      <c r="G1510" s="4" t="s">
        <v>509</v>
      </c>
      <c r="H1510" s="4" t="s">
        <v>26</v>
      </c>
      <c r="I1510" s="4" t="s">
        <v>33</v>
      </c>
      <c r="J1510" s="4" t="s">
        <v>27</v>
      </c>
      <c r="K1510" s="4" t="s">
        <v>28</v>
      </c>
      <c r="L1510" s="4" t="s">
        <v>28</v>
      </c>
      <c r="M1510" s="4" t="s">
        <v>34</v>
      </c>
      <c r="N1510" s="4" t="s">
        <v>28</v>
      </c>
    </row>
    <row r="1511" spans="1:14" ht="14.4" thickBot="1" x14ac:dyDescent="0.35">
      <c r="A1511" s="4" t="s">
        <v>19</v>
      </c>
      <c r="B1511" s="4" t="s">
        <v>505</v>
      </c>
      <c r="C1511" s="4" t="s">
        <v>506</v>
      </c>
      <c r="D1511" s="4" t="s">
        <v>507</v>
      </c>
      <c r="E1511" s="4" t="s">
        <v>87</v>
      </c>
      <c r="F1511" s="4" t="s">
        <v>510</v>
      </c>
      <c r="G1511" s="4" t="s">
        <v>511</v>
      </c>
      <c r="H1511" s="4" t="s">
        <v>122</v>
      </c>
      <c r="I1511" s="4" t="s">
        <v>38</v>
      </c>
      <c r="J1511" s="4" t="s">
        <v>28</v>
      </c>
      <c r="K1511" s="4" t="s">
        <v>28</v>
      </c>
      <c r="L1511" s="4" t="s">
        <v>27</v>
      </c>
      <c r="M1511" s="4" t="s">
        <v>34</v>
      </c>
      <c r="N1511" s="4" t="s">
        <v>27</v>
      </c>
    </row>
    <row r="1512" spans="1:14" ht="14.4" thickBot="1" x14ac:dyDescent="0.35">
      <c r="A1512" s="4" t="s">
        <v>19</v>
      </c>
      <c r="B1512" s="4" t="s">
        <v>505</v>
      </c>
      <c r="C1512" s="4" t="s">
        <v>506</v>
      </c>
      <c r="D1512" s="4" t="s">
        <v>507</v>
      </c>
      <c r="E1512" s="4" t="s">
        <v>87</v>
      </c>
      <c r="F1512" s="4" t="s">
        <v>512</v>
      </c>
      <c r="G1512" s="4" t="s">
        <v>513</v>
      </c>
      <c r="H1512" s="4" t="s">
        <v>26</v>
      </c>
      <c r="I1512" s="4" t="s">
        <v>33</v>
      </c>
      <c r="J1512" s="4" t="s">
        <v>27</v>
      </c>
      <c r="K1512" s="4" t="s">
        <v>28</v>
      </c>
      <c r="L1512" s="4" t="s">
        <v>28</v>
      </c>
      <c r="M1512" s="4" t="s">
        <v>34</v>
      </c>
      <c r="N1512" s="4" t="s">
        <v>28</v>
      </c>
    </row>
    <row r="1513" spans="1:14" ht="14.4" thickBot="1" x14ac:dyDescent="0.35">
      <c r="A1513" s="4" t="s">
        <v>19</v>
      </c>
      <c r="B1513" s="4" t="s">
        <v>505</v>
      </c>
      <c r="C1513" s="4" t="s">
        <v>506</v>
      </c>
      <c r="D1513" s="4" t="s">
        <v>507</v>
      </c>
      <c r="E1513" s="4" t="s">
        <v>87</v>
      </c>
      <c r="F1513" s="4" t="s">
        <v>514</v>
      </c>
      <c r="G1513" s="4" t="s">
        <v>515</v>
      </c>
      <c r="H1513" s="4" t="s">
        <v>135</v>
      </c>
      <c r="I1513" s="4" t="s">
        <v>33</v>
      </c>
      <c r="J1513" s="4" t="s">
        <v>27</v>
      </c>
      <c r="K1513" s="4" t="s">
        <v>28</v>
      </c>
      <c r="L1513" s="4" t="s">
        <v>28</v>
      </c>
      <c r="M1513" s="4" t="s">
        <v>34</v>
      </c>
      <c r="N1513" s="4" t="s">
        <v>28</v>
      </c>
    </row>
    <row r="1514" spans="1:14" ht="14.4" thickBot="1" x14ac:dyDescent="0.35">
      <c r="A1514" s="4" t="s">
        <v>19</v>
      </c>
      <c r="B1514" s="4" t="s">
        <v>505</v>
      </c>
      <c r="C1514" s="4" t="s">
        <v>506</v>
      </c>
      <c r="D1514" s="4" t="s">
        <v>507</v>
      </c>
      <c r="E1514" s="4" t="s">
        <v>87</v>
      </c>
      <c r="F1514" s="4" t="s">
        <v>516</v>
      </c>
      <c r="G1514" s="4" t="s">
        <v>517</v>
      </c>
      <c r="H1514" s="4" t="s">
        <v>135</v>
      </c>
      <c r="I1514" s="4" t="s">
        <v>33</v>
      </c>
      <c r="J1514" s="4" t="s">
        <v>27</v>
      </c>
      <c r="K1514" s="4" t="s">
        <v>28</v>
      </c>
      <c r="L1514" s="4" t="s">
        <v>28</v>
      </c>
      <c r="M1514" s="4" t="s">
        <v>34</v>
      </c>
      <c r="N1514" s="4" t="s">
        <v>28</v>
      </c>
    </row>
    <row r="1515" spans="1:14" ht="14.4" thickBot="1" x14ac:dyDescent="0.35">
      <c r="A1515" s="4" t="s">
        <v>19</v>
      </c>
      <c r="B1515" s="4" t="s">
        <v>505</v>
      </c>
      <c r="C1515" s="4" t="s">
        <v>506</v>
      </c>
      <c r="D1515" s="4" t="s">
        <v>507</v>
      </c>
      <c r="E1515" s="4" t="s">
        <v>87</v>
      </c>
      <c r="F1515" s="4" t="s">
        <v>518</v>
      </c>
      <c r="G1515" s="4" t="s">
        <v>519</v>
      </c>
      <c r="H1515" s="4" t="s">
        <v>37</v>
      </c>
      <c r="I1515" s="4" t="s">
        <v>38</v>
      </c>
      <c r="J1515" s="4" t="s">
        <v>28</v>
      </c>
      <c r="K1515" s="4" t="s">
        <v>28</v>
      </c>
      <c r="L1515" s="4" t="s">
        <v>27</v>
      </c>
      <c r="M1515" s="4" t="s">
        <v>34</v>
      </c>
      <c r="N1515" s="4" t="s">
        <v>28</v>
      </c>
    </row>
    <row r="1516" spans="1:14" ht="14.4" thickBot="1" x14ac:dyDescent="0.35">
      <c r="A1516" s="4" t="s">
        <v>19</v>
      </c>
      <c r="B1516" s="4" t="s">
        <v>505</v>
      </c>
      <c r="C1516" s="4" t="s">
        <v>506</v>
      </c>
      <c r="D1516" s="4" t="s">
        <v>507</v>
      </c>
      <c r="E1516" s="4" t="s">
        <v>87</v>
      </c>
      <c r="F1516" s="4" t="s">
        <v>520</v>
      </c>
      <c r="G1516" s="4" t="s">
        <v>521</v>
      </c>
      <c r="H1516" s="4" t="s">
        <v>135</v>
      </c>
      <c r="I1516" s="4" t="s">
        <v>33</v>
      </c>
      <c r="J1516" s="4" t="s">
        <v>27</v>
      </c>
      <c r="K1516" s="4" t="s">
        <v>28</v>
      </c>
      <c r="L1516" s="4" t="s">
        <v>28</v>
      </c>
      <c r="M1516" s="4" t="s">
        <v>34</v>
      </c>
      <c r="N1516" s="4" t="s">
        <v>28</v>
      </c>
    </row>
    <row r="1517" spans="1:14" ht="14.4" thickBot="1" x14ac:dyDescent="0.35">
      <c r="A1517" s="4" t="s">
        <v>19</v>
      </c>
      <c r="B1517" s="4" t="s">
        <v>505</v>
      </c>
      <c r="C1517" s="4" t="s">
        <v>506</v>
      </c>
      <c r="D1517" s="4" t="s">
        <v>507</v>
      </c>
      <c r="E1517" s="4" t="s">
        <v>87</v>
      </c>
      <c r="F1517" s="4" t="s">
        <v>592</v>
      </c>
      <c r="G1517" s="4" t="s">
        <v>593</v>
      </c>
      <c r="H1517" s="4" t="s">
        <v>26</v>
      </c>
      <c r="I1517" s="4" t="s">
        <v>116</v>
      </c>
      <c r="J1517" s="4" t="s">
        <v>27</v>
      </c>
      <c r="K1517" s="4" t="s">
        <v>28</v>
      </c>
      <c r="L1517" s="4" t="s">
        <v>28</v>
      </c>
      <c r="M1517" s="4" t="s">
        <v>29</v>
      </c>
      <c r="N1517" s="4" t="s">
        <v>28</v>
      </c>
    </row>
    <row r="1518" spans="1:14" ht="14.4" thickBot="1" x14ac:dyDescent="0.35">
      <c r="A1518" s="4" t="s">
        <v>19</v>
      </c>
      <c r="B1518" s="4" t="s">
        <v>505</v>
      </c>
      <c r="C1518" s="4" t="s">
        <v>506</v>
      </c>
      <c r="D1518" s="4" t="s">
        <v>507</v>
      </c>
      <c r="E1518" s="4" t="s">
        <v>87</v>
      </c>
      <c r="F1518" s="4" t="s">
        <v>594</v>
      </c>
      <c r="G1518" s="4" t="s">
        <v>595</v>
      </c>
      <c r="H1518" s="4" t="s">
        <v>135</v>
      </c>
      <c r="I1518" s="4" t="s">
        <v>38</v>
      </c>
      <c r="J1518" s="4" t="s">
        <v>28</v>
      </c>
      <c r="K1518" s="4" t="s">
        <v>28</v>
      </c>
      <c r="L1518" s="4" t="s">
        <v>27</v>
      </c>
      <c r="M1518" s="4" t="s">
        <v>29</v>
      </c>
      <c r="N1518" s="4" t="s">
        <v>28</v>
      </c>
    </row>
    <row r="1519" spans="1:14" ht="14.4" thickBot="1" x14ac:dyDescent="0.35">
      <c r="A1519" s="4" t="s">
        <v>19</v>
      </c>
      <c r="B1519" s="4" t="s">
        <v>505</v>
      </c>
      <c r="C1519" s="4" t="s">
        <v>506</v>
      </c>
      <c r="D1519" s="4" t="s">
        <v>507</v>
      </c>
      <c r="E1519" s="4" t="s">
        <v>87</v>
      </c>
      <c r="F1519" s="4" t="s">
        <v>1456</v>
      </c>
      <c r="G1519" s="4" t="s">
        <v>1457</v>
      </c>
      <c r="H1519" s="4" t="s">
        <v>135</v>
      </c>
      <c r="I1519" s="4" t="s">
        <v>94</v>
      </c>
      <c r="J1519" s="4" t="s">
        <v>27</v>
      </c>
      <c r="K1519" s="4" t="s">
        <v>28</v>
      </c>
      <c r="L1519" s="4" t="s">
        <v>28</v>
      </c>
      <c r="M1519" s="4" t="s">
        <v>34</v>
      </c>
      <c r="N1519" s="4" t="s">
        <v>28</v>
      </c>
    </row>
    <row r="1520" spans="1:14" ht="14.4" thickBot="1" x14ac:dyDescent="0.35">
      <c r="A1520" s="4" t="s">
        <v>19</v>
      </c>
      <c r="B1520" s="4" t="s">
        <v>505</v>
      </c>
      <c r="C1520" s="4" t="s">
        <v>506</v>
      </c>
      <c r="D1520" s="4" t="s">
        <v>507</v>
      </c>
      <c r="E1520" s="4" t="s">
        <v>87</v>
      </c>
      <c r="F1520" s="4" t="s">
        <v>1458</v>
      </c>
      <c r="G1520" s="4" t="s">
        <v>1459</v>
      </c>
      <c r="H1520" s="4" t="s">
        <v>122</v>
      </c>
      <c r="I1520" s="4" t="s">
        <v>94</v>
      </c>
      <c r="J1520" s="4" t="s">
        <v>28</v>
      </c>
      <c r="K1520" s="4" t="s">
        <v>27</v>
      </c>
      <c r="L1520" s="4" t="s">
        <v>28</v>
      </c>
      <c r="M1520" s="4" t="s">
        <v>34</v>
      </c>
      <c r="N1520" s="4" t="s">
        <v>27</v>
      </c>
    </row>
    <row r="1521" spans="1:14" ht="14.4" thickBot="1" x14ac:dyDescent="0.35">
      <c r="A1521" s="4" t="s">
        <v>19</v>
      </c>
      <c r="B1521" s="4" t="s">
        <v>505</v>
      </c>
      <c r="C1521" s="4" t="s">
        <v>506</v>
      </c>
      <c r="D1521" s="4" t="s">
        <v>507</v>
      </c>
      <c r="E1521" s="4" t="s">
        <v>87</v>
      </c>
      <c r="F1521" s="4" t="s">
        <v>1460</v>
      </c>
      <c r="G1521" s="4" t="s">
        <v>1461</v>
      </c>
      <c r="H1521" s="4" t="s">
        <v>37</v>
      </c>
      <c r="I1521" s="4" t="s">
        <v>38</v>
      </c>
      <c r="J1521" s="4" t="s">
        <v>28</v>
      </c>
      <c r="K1521" s="4" t="s">
        <v>28</v>
      </c>
      <c r="L1521" s="4" t="s">
        <v>27</v>
      </c>
      <c r="M1521" s="4" t="s">
        <v>34</v>
      </c>
      <c r="N1521" s="4" t="s">
        <v>27</v>
      </c>
    </row>
    <row r="1522" spans="1:14" ht="14.4" thickBot="1" x14ac:dyDescent="0.35">
      <c r="A1522" s="4" t="s">
        <v>19</v>
      </c>
      <c r="B1522" s="4" t="s">
        <v>505</v>
      </c>
      <c r="C1522" s="4" t="s">
        <v>506</v>
      </c>
      <c r="D1522" s="4" t="s">
        <v>507</v>
      </c>
      <c r="E1522" s="4" t="s">
        <v>87</v>
      </c>
      <c r="F1522" s="4" t="s">
        <v>1462</v>
      </c>
      <c r="G1522" s="4" t="s">
        <v>1463</v>
      </c>
      <c r="H1522" s="4" t="s">
        <v>69</v>
      </c>
      <c r="I1522" s="4" t="s">
        <v>94</v>
      </c>
      <c r="J1522" s="4" t="s">
        <v>28</v>
      </c>
      <c r="K1522" s="4" t="s">
        <v>27</v>
      </c>
      <c r="L1522" s="4" t="s">
        <v>28</v>
      </c>
      <c r="M1522" s="4" t="s">
        <v>34</v>
      </c>
      <c r="N1522" s="4" t="s">
        <v>28</v>
      </c>
    </row>
    <row r="1523" spans="1:14" ht="14.4" thickBot="1" x14ac:dyDescent="0.35">
      <c r="A1523" s="4" t="s">
        <v>19</v>
      </c>
      <c r="B1523" s="4" t="s">
        <v>505</v>
      </c>
      <c r="C1523" s="4" t="s">
        <v>506</v>
      </c>
      <c r="D1523" s="4" t="s">
        <v>507</v>
      </c>
      <c r="E1523" s="4" t="s">
        <v>87</v>
      </c>
      <c r="F1523" s="4" t="s">
        <v>1464</v>
      </c>
      <c r="G1523" s="4" t="s">
        <v>1465</v>
      </c>
      <c r="H1523" s="4" t="s">
        <v>135</v>
      </c>
      <c r="I1523" s="4" t="s">
        <v>33</v>
      </c>
      <c r="J1523" s="4" t="s">
        <v>27</v>
      </c>
      <c r="K1523" s="4" t="s">
        <v>28</v>
      </c>
      <c r="L1523" s="4" t="s">
        <v>28</v>
      </c>
      <c r="M1523" s="4" t="s">
        <v>34</v>
      </c>
      <c r="N1523" s="4" t="s">
        <v>28</v>
      </c>
    </row>
    <row r="1524" spans="1:14" ht="14.4" thickBot="1" x14ac:dyDescent="0.35">
      <c r="A1524" s="4" t="s">
        <v>19</v>
      </c>
      <c r="B1524" s="4" t="s">
        <v>505</v>
      </c>
      <c r="C1524" s="4" t="s">
        <v>506</v>
      </c>
      <c r="D1524" s="4" t="s">
        <v>507</v>
      </c>
      <c r="E1524" s="4" t="s">
        <v>87</v>
      </c>
      <c r="F1524" s="4" t="s">
        <v>1466</v>
      </c>
      <c r="G1524" s="4" t="s">
        <v>1467</v>
      </c>
      <c r="H1524" s="4" t="s">
        <v>37</v>
      </c>
      <c r="I1524" s="4" t="s">
        <v>38</v>
      </c>
      <c r="J1524" s="4" t="s">
        <v>28</v>
      </c>
      <c r="K1524" s="4" t="s">
        <v>28</v>
      </c>
      <c r="L1524" s="4" t="s">
        <v>27</v>
      </c>
      <c r="M1524" s="4" t="s">
        <v>34</v>
      </c>
      <c r="N1524" s="4" t="s">
        <v>28</v>
      </c>
    </row>
    <row r="1525" spans="1:14" ht="14.4" thickBot="1" x14ac:dyDescent="0.35">
      <c r="A1525" s="4" t="s">
        <v>19</v>
      </c>
      <c r="B1525" s="4" t="s">
        <v>505</v>
      </c>
      <c r="C1525" s="4" t="s">
        <v>506</v>
      </c>
      <c r="D1525" s="4" t="s">
        <v>507</v>
      </c>
      <c r="E1525" s="4" t="s">
        <v>87</v>
      </c>
      <c r="F1525" s="4" t="s">
        <v>1468</v>
      </c>
      <c r="G1525" s="4" t="s">
        <v>1469</v>
      </c>
      <c r="H1525" s="4" t="s">
        <v>26</v>
      </c>
      <c r="I1525" s="4" t="s">
        <v>33</v>
      </c>
      <c r="J1525" s="4" t="s">
        <v>27</v>
      </c>
      <c r="K1525" s="4" t="s">
        <v>28</v>
      </c>
      <c r="L1525" s="4" t="s">
        <v>28</v>
      </c>
      <c r="M1525" s="4" t="s">
        <v>34</v>
      </c>
      <c r="N1525" s="4" t="s">
        <v>28</v>
      </c>
    </row>
    <row r="1526" spans="1:14" ht="14.4" thickBot="1" x14ac:dyDescent="0.35">
      <c r="A1526" s="4" t="s">
        <v>19</v>
      </c>
      <c r="B1526" s="4" t="s">
        <v>505</v>
      </c>
      <c r="C1526" s="4" t="s">
        <v>506</v>
      </c>
      <c r="D1526" s="4" t="s">
        <v>507</v>
      </c>
      <c r="E1526" s="4" t="s">
        <v>87</v>
      </c>
      <c r="F1526" s="4" t="s">
        <v>1538</v>
      </c>
      <c r="G1526" s="4" t="s">
        <v>1539</v>
      </c>
      <c r="H1526" s="4" t="s">
        <v>190</v>
      </c>
      <c r="I1526" s="4" t="s">
        <v>38</v>
      </c>
      <c r="J1526" s="4" t="s">
        <v>28</v>
      </c>
      <c r="K1526" s="4" t="s">
        <v>28</v>
      </c>
      <c r="L1526" s="4" t="s">
        <v>27</v>
      </c>
      <c r="M1526" s="4" t="s">
        <v>29</v>
      </c>
      <c r="N1526" s="4" t="s">
        <v>28</v>
      </c>
    </row>
    <row r="1527" spans="1:14" ht="14.4" thickBot="1" x14ac:dyDescent="0.35">
      <c r="A1527" s="4" t="s">
        <v>19</v>
      </c>
      <c r="B1527" s="4" t="s">
        <v>505</v>
      </c>
      <c r="C1527" s="4" t="s">
        <v>506</v>
      </c>
      <c r="D1527" s="4" t="s">
        <v>507</v>
      </c>
      <c r="E1527" s="4" t="s">
        <v>87</v>
      </c>
      <c r="F1527" s="4" t="s">
        <v>2201</v>
      </c>
      <c r="G1527" s="4" t="s">
        <v>2202</v>
      </c>
      <c r="H1527" s="4" t="s">
        <v>116</v>
      </c>
      <c r="I1527" s="4" t="s">
        <v>38</v>
      </c>
      <c r="J1527" s="4" t="s">
        <v>28</v>
      </c>
      <c r="K1527" s="4" t="s">
        <v>28</v>
      </c>
      <c r="L1527" s="4" t="s">
        <v>27</v>
      </c>
      <c r="M1527" s="4" t="s">
        <v>34</v>
      </c>
      <c r="N1527" s="4" t="s">
        <v>28</v>
      </c>
    </row>
    <row r="1528" spans="1:14" ht="14.4" thickBot="1" x14ac:dyDescent="0.35">
      <c r="A1528" s="4" t="s">
        <v>19</v>
      </c>
      <c r="B1528" s="4" t="s">
        <v>505</v>
      </c>
      <c r="C1528" s="4" t="s">
        <v>506</v>
      </c>
      <c r="D1528" s="4" t="s">
        <v>507</v>
      </c>
      <c r="E1528" s="4" t="s">
        <v>87</v>
      </c>
      <c r="F1528" s="4" t="s">
        <v>2185</v>
      </c>
      <c r="G1528" s="4" t="s">
        <v>2203</v>
      </c>
      <c r="H1528" s="4" t="s">
        <v>37</v>
      </c>
      <c r="I1528" s="4" t="s">
        <v>38</v>
      </c>
      <c r="J1528" s="4" t="s">
        <v>28</v>
      </c>
      <c r="K1528" s="4" t="s">
        <v>28</v>
      </c>
      <c r="L1528" s="4" t="s">
        <v>27</v>
      </c>
      <c r="M1528" s="4" t="s">
        <v>34</v>
      </c>
      <c r="N1528" s="4" t="s">
        <v>28</v>
      </c>
    </row>
    <row r="1529" spans="1:14" ht="14.4" thickBot="1" x14ac:dyDescent="0.35">
      <c r="A1529" s="4" t="s">
        <v>19</v>
      </c>
      <c r="B1529" s="4" t="s">
        <v>505</v>
      </c>
      <c r="C1529" s="4" t="s">
        <v>506</v>
      </c>
      <c r="D1529" s="4" t="s">
        <v>507</v>
      </c>
      <c r="E1529" s="4" t="s">
        <v>87</v>
      </c>
      <c r="F1529" s="4" t="s">
        <v>2204</v>
      </c>
      <c r="G1529" s="4" t="s">
        <v>2205</v>
      </c>
      <c r="H1529" s="4" t="s">
        <v>26</v>
      </c>
      <c r="I1529" s="4" t="s">
        <v>33</v>
      </c>
      <c r="J1529" s="4" t="s">
        <v>27</v>
      </c>
      <c r="K1529" s="4" t="s">
        <v>28</v>
      </c>
      <c r="L1529" s="4" t="s">
        <v>28</v>
      </c>
      <c r="M1529" s="4" t="s">
        <v>34</v>
      </c>
      <c r="N1529" s="4" t="s">
        <v>28</v>
      </c>
    </row>
    <row r="1530" spans="1:14" ht="14.4" thickBot="1" x14ac:dyDescent="0.35">
      <c r="A1530" s="4" t="s">
        <v>19</v>
      </c>
      <c r="B1530" s="4" t="s">
        <v>505</v>
      </c>
      <c r="C1530" s="4" t="s">
        <v>506</v>
      </c>
      <c r="D1530" s="4" t="s">
        <v>507</v>
      </c>
      <c r="E1530" s="4" t="s">
        <v>87</v>
      </c>
      <c r="F1530" s="4" t="s">
        <v>2206</v>
      </c>
      <c r="G1530" s="4" t="s">
        <v>2207</v>
      </c>
      <c r="H1530" s="4" t="s">
        <v>37</v>
      </c>
      <c r="I1530" s="4" t="s">
        <v>38</v>
      </c>
      <c r="J1530" s="4" t="s">
        <v>28</v>
      </c>
      <c r="K1530" s="4" t="s">
        <v>28</v>
      </c>
      <c r="L1530" s="4" t="s">
        <v>27</v>
      </c>
      <c r="M1530" s="4" t="s">
        <v>34</v>
      </c>
      <c r="N1530" s="4" t="s">
        <v>28</v>
      </c>
    </row>
    <row r="1531" spans="1:14" ht="14.4" thickBot="1" x14ac:dyDescent="0.35">
      <c r="A1531" s="4" t="s">
        <v>19</v>
      </c>
      <c r="B1531" s="4" t="s">
        <v>505</v>
      </c>
      <c r="C1531" s="4" t="s">
        <v>506</v>
      </c>
      <c r="D1531" s="4" t="s">
        <v>507</v>
      </c>
      <c r="E1531" s="4" t="s">
        <v>87</v>
      </c>
      <c r="F1531" s="4" t="s">
        <v>2208</v>
      </c>
      <c r="G1531" s="4" t="s">
        <v>2209</v>
      </c>
      <c r="H1531" s="4" t="s">
        <v>135</v>
      </c>
      <c r="I1531" s="4" t="s">
        <v>69</v>
      </c>
      <c r="J1531" s="4" t="s">
        <v>27</v>
      </c>
      <c r="K1531" s="4" t="s">
        <v>28</v>
      </c>
      <c r="L1531" s="4" t="s">
        <v>28</v>
      </c>
      <c r="M1531" s="4" t="s">
        <v>34</v>
      </c>
      <c r="N1531" s="4" t="s">
        <v>27</v>
      </c>
    </row>
    <row r="1532" spans="1:14" ht="14.4" thickBot="1" x14ac:dyDescent="0.35">
      <c r="A1532" s="4" t="s">
        <v>19</v>
      </c>
      <c r="B1532" s="4" t="s">
        <v>505</v>
      </c>
      <c r="C1532" s="4" t="s">
        <v>506</v>
      </c>
      <c r="D1532" s="4" t="s">
        <v>507</v>
      </c>
      <c r="E1532" s="4" t="s">
        <v>87</v>
      </c>
      <c r="F1532" s="4" t="s">
        <v>2254</v>
      </c>
      <c r="G1532" s="4" t="s">
        <v>2255</v>
      </c>
      <c r="H1532" s="4" t="s">
        <v>26</v>
      </c>
      <c r="I1532" s="4" t="s">
        <v>38</v>
      </c>
      <c r="J1532" s="4" t="s">
        <v>28</v>
      </c>
      <c r="K1532" s="4" t="s">
        <v>28</v>
      </c>
      <c r="L1532" s="4" t="s">
        <v>27</v>
      </c>
      <c r="M1532" s="4" t="s">
        <v>29</v>
      </c>
      <c r="N1532" s="4" t="s">
        <v>28</v>
      </c>
    </row>
    <row r="1533" spans="1:14" ht="14.4" thickBot="1" x14ac:dyDescent="0.35">
      <c r="A1533" s="4" t="s">
        <v>19</v>
      </c>
      <c r="B1533" s="4" t="s">
        <v>505</v>
      </c>
      <c r="C1533" s="4" t="s">
        <v>506</v>
      </c>
      <c r="D1533" s="4" t="s">
        <v>507</v>
      </c>
      <c r="E1533" s="4" t="s">
        <v>87</v>
      </c>
      <c r="F1533" s="4" t="s">
        <v>2256</v>
      </c>
      <c r="G1533" s="4" t="s">
        <v>2257</v>
      </c>
      <c r="H1533" s="4" t="s">
        <v>26</v>
      </c>
      <c r="I1533" s="4" t="s">
        <v>454</v>
      </c>
      <c r="J1533" s="4" t="s">
        <v>27</v>
      </c>
      <c r="K1533" s="4" t="s">
        <v>28</v>
      </c>
      <c r="L1533" s="4" t="s">
        <v>28</v>
      </c>
      <c r="M1533" s="4" t="s">
        <v>29</v>
      </c>
      <c r="N1533" s="4" t="s">
        <v>28</v>
      </c>
    </row>
    <row r="1534" spans="1:14" ht="14.4" thickBot="1" x14ac:dyDescent="0.35">
      <c r="A1534" s="4" t="s">
        <v>19</v>
      </c>
      <c r="B1534" s="4" t="s">
        <v>505</v>
      </c>
      <c r="C1534" s="4" t="s">
        <v>506</v>
      </c>
      <c r="D1534" s="4" t="s">
        <v>507</v>
      </c>
      <c r="E1534" s="4" t="s">
        <v>87</v>
      </c>
      <c r="F1534" s="4" t="s">
        <v>2942</v>
      </c>
      <c r="G1534" s="4" t="s">
        <v>2943</v>
      </c>
      <c r="H1534" s="4" t="s">
        <v>135</v>
      </c>
      <c r="I1534" s="4" t="s">
        <v>94</v>
      </c>
      <c r="J1534" s="4" t="s">
        <v>27</v>
      </c>
      <c r="K1534" s="4" t="s">
        <v>28</v>
      </c>
      <c r="L1534" s="4" t="s">
        <v>28</v>
      </c>
      <c r="M1534" s="4" t="s">
        <v>34</v>
      </c>
      <c r="N1534" s="4" t="s">
        <v>27</v>
      </c>
    </row>
    <row r="1535" spans="1:14" ht="14.4" thickBot="1" x14ac:dyDescent="0.35">
      <c r="A1535" s="4" t="s">
        <v>19</v>
      </c>
      <c r="B1535" s="4" t="s">
        <v>505</v>
      </c>
      <c r="C1535" s="4" t="s">
        <v>506</v>
      </c>
      <c r="D1535" s="4" t="s">
        <v>507</v>
      </c>
      <c r="E1535" s="4" t="s">
        <v>87</v>
      </c>
      <c r="F1535" s="4" t="s">
        <v>2944</v>
      </c>
      <c r="G1535" s="4" t="s">
        <v>2945</v>
      </c>
      <c r="H1535" s="4" t="s">
        <v>135</v>
      </c>
      <c r="I1535" s="4" t="s">
        <v>33</v>
      </c>
      <c r="J1535" s="4" t="s">
        <v>27</v>
      </c>
      <c r="K1535" s="4" t="s">
        <v>28</v>
      </c>
      <c r="L1535" s="4" t="s">
        <v>28</v>
      </c>
      <c r="M1535" s="4" t="s">
        <v>34</v>
      </c>
      <c r="N1535" s="4" t="s">
        <v>28</v>
      </c>
    </row>
    <row r="1536" spans="1:14" ht="14.4" thickBot="1" x14ac:dyDescent="0.35">
      <c r="A1536" s="4" t="s">
        <v>19</v>
      </c>
      <c r="B1536" s="4" t="s">
        <v>505</v>
      </c>
      <c r="C1536" s="4" t="s">
        <v>506</v>
      </c>
      <c r="D1536" s="4" t="s">
        <v>507</v>
      </c>
      <c r="E1536" s="4" t="s">
        <v>87</v>
      </c>
      <c r="F1536" s="4" t="s">
        <v>2946</v>
      </c>
      <c r="G1536" s="4" t="s">
        <v>1309</v>
      </c>
      <c r="H1536" s="4" t="s">
        <v>135</v>
      </c>
      <c r="I1536" s="4" t="s">
        <v>33</v>
      </c>
      <c r="J1536" s="4" t="s">
        <v>27</v>
      </c>
      <c r="K1536" s="4" t="s">
        <v>28</v>
      </c>
      <c r="L1536" s="4" t="s">
        <v>28</v>
      </c>
      <c r="M1536" s="4" t="s">
        <v>34</v>
      </c>
      <c r="N1536" s="4" t="s">
        <v>28</v>
      </c>
    </row>
    <row r="1537" spans="1:14" ht="14.4" thickBot="1" x14ac:dyDescent="0.35">
      <c r="A1537" s="4" t="s">
        <v>19</v>
      </c>
      <c r="B1537" s="4" t="s">
        <v>505</v>
      </c>
      <c r="C1537" s="4" t="s">
        <v>506</v>
      </c>
      <c r="D1537" s="4" t="s">
        <v>507</v>
      </c>
      <c r="E1537" s="4" t="s">
        <v>87</v>
      </c>
      <c r="F1537" s="4" t="s">
        <v>2947</v>
      </c>
      <c r="G1537" s="4" t="s">
        <v>2948</v>
      </c>
      <c r="H1537" s="4" t="s">
        <v>69</v>
      </c>
      <c r="I1537" s="4" t="s">
        <v>94</v>
      </c>
      <c r="J1537" s="4" t="s">
        <v>28</v>
      </c>
      <c r="K1537" s="4" t="s">
        <v>27</v>
      </c>
      <c r="L1537" s="4" t="s">
        <v>28</v>
      </c>
      <c r="M1537" s="4" t="s">
        <v>34</v>
      </c>
      <c r="N1537" s="4" t="s">
        <v>28</v>
      </c>
    </row>
    <row r="1538" spans="1:14" ht="14.4" thickBot="1" x14ac:dyDescent="0.35">
      <c r="A1538" s="4" t="s">
        <v>19</v>
      </c>
      <c r="B1538" s="4" t="s">
        <v>505</v>
      </c>
      <c r="C1538" s="4" t="s">
        <v>506</v>
      </c>
      <c r="D1538" s="4" t="s">
        <v>507</v>
      </c>
      <c r="E1538" s="4" t="s">
        <v>87</v>
      </c>
      <c r="F1538" s="4" t="s">
        <v>3683</v>
      </c>
      <c r="G1538" s="4" t="s">
        <v>3684</v>
      </c>
      <c r="H1538" s="4" t="s">
        <v>69</v>
      </c>
      <c r="I1538" s="4" t="s">
        <v>94</v>
      </c>
      <c r="J1538" s="4" t="s">
        <v>28</v>
      </c>
      <c r="K1538" s="4" t="s">
        <v>27</v>
      </c>
      <c r="L1538" s="4" t="s">
        <v>28</v>
      </c>
      <c r="M1538" s="4" t="s">
        <v>34</v>
      </c>
      <c r="N1538" s="4" t="s">
        <v>28</v>
      </c>
    </row>
    <row r="1539" spans="1:14" ht="14.4" thickBot="1" x14ac:dyDescent="0.35">
      <c r="A1539" s="4" t="s">
        <v>19</v>
      </c>
      <c r="B1539" s="4" t="s">
        <v>505</v>
      </c>
      <c r="C1539" s="4" t="s">
        <v>506</v>
      </c>
      <c r="D1539" s="4" t="s">
        <v>507</v>
      </c>
      <c r="E1539" s="4" t="s">
        <v>87</v>
      </c>
      <c r="F1539" s="4" t="s">
        <v>3685</v>
      </c>
      <c r="G1539" s="4" t="s">
        <v>3686</v>
      </c>
      <c r="H1539" s="4" t="s">
        <v>26</v>
      </c>
      <c r="I1539" s="4" t="s">
        <v>33</v>
      </c>
      <c r="J1539" s="4" t="s">
        <v>27</v>
      </c>
      <c r="K1539" s="4" t="s">
        <v>28</v>
      </c>
      <c r="L1539" s="4" t="s">
        <v>28</v>
      </c>
      <c r="M1539" s="4" t="s">
        <v>34</v>
      </c>
      <c r="N1539" s="4" t="s">
        <v>28</v>
      </c>
    </row>
    <row r="1540" spans="1:14" ht="14.4" thickBot="1" x14ac:dyDescent="0.35">
      <c r="A1540" s="4" t="s">
        <v>19</v>
      </c>
      <c r="B1540" s="4" t="s">
        <v>505</v>
      </c>
      <c r="C1540" s="4" t="s">
        <v>506</v>
      </c>
      <c r="D1540" s="4" t="s">
        <v>507</v>
      </c>
      <c r="E1540" s="4" t="s">
        <v>87</v>
      </c>
      <c r="F1540" s="4" t="s">
        <v>3687</v>
      </c>
      <c r="G1540" s="4" t="s">
        <v>3688</v>
      </c>
      <c r="H1540" s="4" t="s">
        <v>26</v>
      </c>
      <c r="I1540" s="4" t="s">
        <v>33</v>
      </c>
      <c r="J1540" s="4" t="s">
        <v>27</v>
      </c>
      <c r="K1540" s="4" t="s">
        <v>28</v>
      </c>
      <c r="L1540" s="4" t="s">
        <v>28</v>
      </c>
      <c r="M1540" s="4" t="s">
        <v>34</v>
      </c>
      <c r="N1540" s="4" t="s">
        <v>28</v>
      </c>
    </row>
    <row r="1541" spans="1:14" ht="14.4" thickBot="1" x14ac:dyDescent="0.35">
      <c r="A1541" s="4" t="s">
        <v>19</v>
      </c>
      <c r="B1541" s="4" t="s">
        <v>505</v>
      </c>
      <c r="C1541" s="4" t="s">
        <v>506</v>
      </c>
      <c r="D1541" s="4" t="s">
        <v>507</v>
      </c>
      <c r="E1541" s="4" t="s">
        <v>87</v>
      </c>
      <c r="F1541" s="4" t="s">
        <v>3689</v>
      </c>
      <c r="G1541" s="4" t="s">
        <v>3690</v>
      </c>
      <c r="H1541" s="4" t="s">
        <v>37</v>
      </c>
      <c r="I1541" s="4" t="s">
        <v>38</v>
      </c>
      <c r="J1541" s="4" t="s">
        <v>28</v>
      </c>
      <c r="K1541" s="4" t="s">
        <v>28</v>
      </c>
      <c r="L1541" s="4" t="s">
        <v>27</v>
      </c>
      <c r="M1541" s="4" t="s">
        <v>34</v>
      </c>
      <c r="N1541" s="4" t="s">
        <v>28</v>
      </c>
    </row>
    <row r="1542" spans="1:14" ht="14.4" thickBot="1" x14ac:dyDescent="0.35">
      <c r="A1542" s="4" t="s">
        <v>19</v>
      </c>
      <c r="B1542" s="4" t="s">
        <v>505</v>
      </c>
      <c r="C1542" s="4" t="s">
        <v>506</v>
      </c>
      <c r="D1542" s="4" t="s">
        <v>507</v>
      </c>
      <c r="E1542" s="4" t="s">
        <v>87</v>
      </c>
      <c r="F1542" s="4" t="s">
        <v>3691</v>
      </c>
      <c r="G1542" s="4" t="s">
        <v>3692</v>
      </c>
      <c r="H1542" s="4" t="s">
        <v>26</v>
      </c>
      <c r="I1542" s="4" t="s">
        <v>33</v>
      </c>
      <c r="J1542" s="4" t="s">
        <v>27</v>
      </c>
      <c r="K1542" s="4" t="s">
        <v>28</v>
      </c>
      <c r="L1542" s="4" t="s">
        <v>28</v>
      </c>
      <c r="M1542" s="4" t="s">
        <v>34</v>
      </c>
      <c r="N1542" s="4" t="s">
        <v>28</v>
      </c>
    </row>
    <row r="1543" spans="1:14" ht="14.4" thickBot="1" x14ac:dyDescent="0.35">
      <c r="A1543" s="4" t="s">
        <v>19</v>
      </c>
      <c r="B1543" s="4" t="s">
        <v>505</v>
      </c>
      <c r="C1543" s="4" t="s">
        <v>506</v>
      </c>
      <c r="D1543" s="4" t="s">
        <v>507</v>
      </c>
      <c r="E1543" s="4" t="s">
        <v>87</v>
      </c>
      <c r="F1543" s="4" t="s">
        <v>3693</v>
      </c>
      <c r="G1543" s="4" t="s">
        <v>3694</v>
      </c>
      <c r="H1543" s="4" t="s">
        <v>26</v>
      </c>
      <c r="I1543" s="4" t="s">
        <v>33</v>
      </c>
      <c r="J1543" s="4" t="s">
        <v>27</v>
      </c>
      <c r="K1543" s="4" t="s">
        <v>28</v>
      </c>
      <c r="L1543" s="4" t="s">
        <v>28</v>
      </c>
      <c r="M1543" s="4" t="s">
        <v>34</v>
      </c>
      <c r="N1543" s="4" t="s">
        <v>28</v>
      </c>
    </row>
    <row r="1544" spans="1:14" ht="14.4" thickBot="1" x14ac:dyDescent="0.35">
      <c r="A1544" s="4" t="s">
        <v>19</v>
      </c>
      <c r="B1544" s="4" t="s">
        <v>505</v>
      </c>
      <c r="C1544" s="4" t="s">
        <v>506</v>
      </c>
      <c r="D1544" s="4" t="s">
        <v>507</v>
      </c>
      <c r="E1544" s="4" t="s">
        <v>87</v>
      </c>
      <c r="F1544" s="4" t="s">
        <v>3695</v>
      </c>
      <c r="G1544" s="4" t="s">
        <v>3696</v>
      </c>
      <c r="H1544" s="4" t="s">
        <v>122</v>
      </c>
      <c r="I1544" s="4" t="s">
        <v>38</v>
      </c>
      <c r="J1544" s="4" t="s">
        <v>28</v>
      </c>
      <c r="K1544" s="4" t="s">
        <v>28</v>
      </c>
      <c r="L1544" s="4" t="s">
        <v>27</v>
      </c>
      <c r="M1544" s="4" t="s">
        <v>34</v>
      </c>
      <c r="N1544" s="4" t="s">
        <v>28</v>
      </c>
    </row>
    <row r="1545" spans="1:14" ht="14.4" thickBot="1" x14ac:dyDescent="0.35">
      <c r="A1545" s="4" t="s">
        <v>19</v>
      </c>
      <c r="B1545" s="4" t="s">
        <v>505</v>
      </c>
      <c r="C1545" s="4" t="s">
        <v>506</v>
      </c>
      <c r="D1545" s="4" t="s">
        <v>507</v>
      </c>
      <c r="E1545" s="4" t="s">
        <v>87</v>
      </c>
      <c r="F1545" s="4" t="s">
        <v>3743</v>
      </c>
      <c r="G1545" s="4" t="s">
        <v>1292</v>
      </c>
      <c r="H1545" s="4" t="s">
        <v>26</v>
      </c>
      <c r="I1545" s="4" t="s">
        <v>116</v>
      </c>
      <c r="J1545" s="4" t="s">
        <v>27</v>
      </c>
      <c r="K1545" s="4" t="s">
        <v>28</v>
      </c>
      <c r="L1545" s="4" t="s">
        <v>28</v>
      </c>
      <c r="M1545" s="4" t="s">
        <v>29</v>
      </c>
      <c r="N1545" s="4" t="s">
        <v>28</v>
      </c>
    </row>
    <row r="1546" spans="1:14" ht="14.4" thickBot="1" x14ac:dyDescent="0.35">
      <c r="A1546" s="4" t="s">
        <v>19</v>
      </c>
      <c r="B1546" s="4" t="s">
        <v>505</v>
      </c>
      <c r="C1546" s="4" t="s">
        <v>506</v>
      </c>
      <c r="D1546" s="4" t="s">
        <v>507</v>
      </c>
      <c r="E1546" s="4" t="s">
        <v>87</v>
      </c>
      <c r="F1546" s="4" t="s">
        <v>3744</v>
      </c>
      <c r="G1546" s="4" t="s">
        <v>3745</v>
      </c>
      <c r="H1546" s="4" t="s">
        <v>26</v>
      </c>
      <c r="I1546" s="4" t="s">
        <v>26</v>
      </c>
      <c r="J1546" s="4" t="s">
        <v>27</v>
      </c>
      <c r="K1546" s="4" t="s">
        <v>28</v>
      </c>
      <c r="L1546" s="4" t="s">
        <v>28</v>
      </c>
      <c r="M1546" s="4" t="s">
        <v>130</v>
      </c>
      <c r="N1546" s="4" t="s">
        <v>28</v>
      </c>
    </row>
    <row r="1547" spans="1:14" ht="14.4" thickBot="1" x14ac:dyDescent="0.35">
      <c r="A1547" s="4" t="s">
        <v>19</v>
      </c>
      <c r="B1547" s="4" t="s">
        <v>505</v>
      </c>
      <c r="C1547" s="4" t="s">
        <v>506</v>
      </c>
      <c r="D1547" s="4" t="s">
        <v>507</v>
      </c>
      <c r="E1547" s="4" t="s">
        <v>87</v>
      </c>
      <c r="F1547" s="4" t="s">
        <v>4465</v>
      </c>
      <c r="G1547" s="4" t="s">
        <v>4466</v>
      </c>
      <c r="H1547" s="4" t="s">
        <v>26</v>
      </c>
      <c r="I1547" s="4" t="s">
        <v>26</v>
      </c>
      <c r="J1547" s="4" t="s">
        <v>27</v>
      </c>
      <c r="K1547" s="4" t="s">
        <v>28</v>
      </c>
      <c r="L1547" s="4" t="s">
        <v>28</v>
      </c>
      <c r="M1547" s="4" t="s">
        <v>34</v>
      </c>
      <c r="N1547" s="4" t="s">
        <v>28</v>
      </c>
    </row>
    <row r="1548" spans="1:14" ht="14.4" thickBot="1" x14ac:dyDescent="0.35">
      <c r="A1548" s="4" t="s">
        <v>19</v>
      </c>
      <c r="B1548" s="4" t="s">
        <v>505</v>
      </c>
      <c r="C1548" s="4" t="s">
        <v>506</v>
      </c>
      <c r="D1548" s="4" t="s">
        <v>507</v>
      </c>
      <c r="E1548" s="4" t="s">
        <v>87</v>
      </c>
      <c r="F1548" s="4" t="s">
        <v>4467</v>
      </c>
      <c r="G1548" s="4" t="s">
        <v>4468</v>
      </c>
      <c r="H1548" s="4" t="s">
        <v>135</v>
      </c>
      <c r="I1548" s="4" t="s">
        <v>33</v>
      </c>
      <c r="J1548" s="4" t="s">
        <v>27</v>
      </c>
      <c r="K1548" s="4" t="s">
        <v>28</v>
      </c>
      <c r="L1548" s="4" t="s">
        <v>28</v>
      </c>
      <c r="M1548" s="4" t="s">
        <v>34</v>
      </c>
      <c r="N1548" s="4" t="s">
        <v>28</v>
      </c>
    </row>
    <row r="1549" spans="1:14" ht="14.4" thickBot="1" x14ac:dyDescent="0.35">
      <c r="A1549" s="4" t="s">
        <v>19</v>
      </c>
      <c r="B1549" s="4" t="s">
        <v>505</v>
      </c>
      <c r="C1549" s="4" t="s">
        <v>506</v>
      </c>
      <c r="D1549" s="4" t="s">
        <v>507</v>
      </c>
      <c r="E1549" s="4" t="s">
        <v>87</v>
      </c>
      <c r="F1549" s="4" t="s">
        <v>4521</v>
      </c>
      <c r="G1549" s="4" t="s">
        <v>4522</v>
      </c>
      <c r="H1549" s="4" t="s">
        <v>26</v>
      </c>
      <c r="I1549" s="4" t="s">
        <v>116</v>
      </c>
      <c r="J1549" s="4" t="s">
        <v>27</v>
      </c>
      <c r="K1549" s="4" t="s">
        <v>28</v>
      </c>
      <c r="L1549" s="4" t="s">
        <v>28</v>
      </c>
      <c r="M1549" s="4" t="s">
        <v>29</v>
      </c>
      <c r="N1549" s="4" t="s">
        <v>28</v>
      </c>
    </row>
    <row r="1550" spans="1:14" ht="14.4" thickBot="1" x14ac:dyDescent="0.35">
      <c r="A1550" s="4" t="s">
        <v>19</v>
      </c>
      <c r="B1550" s="4" t="s">
        <v>505</v>
      </c>
      <c r="C1550" s="4" t="s">
        <v>506</v>
      </c>
      <c r="D1550" s="4" t="s">
        <v>507</v>
      </c>
      <c r="E1550" s="4" t="s">
        <v>87</v>
      </c>
      <c r="F1550" s="4" t="s">
        <v>5163</v>
      </c>
      <c r="G1550" s="4" t="s">
        <v>5164</v>
      </c>
      <c r="H1550" s="4" t="s">
        <v>69</v>
      </c>
      <c r="I1550" s="4" t="s">
        <v>94</v>
      </c>
      <c r="J1550" s="4" t="s">
        <v>28</v>
      </c>
      <c r="K1550" s="4" t="s">
        <v>27</v>
      </c>
      <c r="L1550" s="4" t="s">
        <v>28</v>
      </c>
      <c r="M1550" s="4" t="s">
        <v>34</v>
      </c>
      <c r="N1550" s="4" t="s">
        <v>28</v>
      </c>
    </row>
    <row r="1551" spans="1:14" ht="14.4" thickBot="1" x14ac:dyDescent="0.35">
      <c r="A1551" s="4" t="s">
        <v>19</v>
      </c>
      <c r="B1551" s="4" t="s">
        <v>505</v>
      </c>
      <c r="C1551" s="4" t="s">
        <v>506</v>
      </c>
      <c r="D1551" s="4" t="s">
        <v>507</v>
      </c>
      <c r="E1551" s="4" t="s">
        <v>87</v>
      </c>
      <c r="F1551" s="4" t="s">
        <v>5839</v>
      </c>
      <c r="G1551" s="4" t="s">
        <v>5840</v>
      </c>
      <c r="H1551" s="4" t="s">
        <v>37</v>
      </c>
      <c r="I1551" s="4" t="s">
        <v>38</v>
      </c>
      <c r="J1551" s="4" t="s">
        <v>28</v>
      </c>
      <c r="K1551" s="4" t="s">
        <v>28</v>
      </c>
      <c r="L1551" s="4" t="s">
        <v>27</v>
      </c>
      <c r="M1551" s="4" t="s">
        <v>34</v>
      </c>
      <c r="N1551" s="4" t="s">
        <v>28</v>
      </c>
    </row>
    <row r="1552" spans="1:14" ht="14.4" thickBot="1" x14ac:dyDescent="0.35">
      <c r="A1552" s="4" t="s">
        <v>19</v>
      </c>
      <c r="B1552" s="4" t="s">
        <v>505</v>
      </c>
      <c r="C1552" s="4" t="s">
        <v>506</v>
      </c>
      <c r="D1552" s="4" t="s">
        <v>507</v>
      </c>
      <c r="E1552" s="4" t="s">
        <v>87</v>
      </c>
      <c r="F1552" s="4" t="s">
        <v>5841</v>
      </c>
      <c r="G1552" s="4" t="s">
        <v>5842</v>
      </c>
      <c r="H1552" s="4" t="s">
        <v>135</v>
      </c>
      <c r="I1552" s="4" t="s">
        <v>33</v>
      </c>
      <c r="J1552" s="4" t="s">
        <v>27</v>
      </c>
      <c r="K1552" s="4" t="s">
        <v>28</v>
      </c>
      <c r="L1552" s="4" t="s">
        <v>28</v>
      </c>
      <c r="M1552" s="4" t="s">
        <v>34</v>
      </c>
      <c r="N1552" s="4" t="s">
        <v>28</v>
      </c>
    </row>
    <row r="1553" spans="1:14" ht="14.4" thickBot="1" x14ac:dyDescent="0.35">
      <c r="A1553" s="4" t="s">
        <v>19</v>
      </c>
      <c r="B1553" s="4" t="s">
        <v>505</v>
      </c>
      <c r="C1553" s="4" t="s">
        <v>506</v>
      </c>
      <c r="D1553" s="4" t="s">
        <v>507</v>
      </c>
      <c r="E1553" s="4" t="s">
        <v>87</v>
      </c>
      <c r="F1553" s="4" t="s">
        <v>5843</v>
      </c>
      <c r="G1553" s="4" t="s">
        <v>5756</v>
      </c>
      <c r="H1553" s="4" t="s">
        <v>26</v>
      </c>
      <c r="I1553" s="4" t="s">
        <v>33</v>
      </c>
      <c r="J1553" s="4" t="s">
        <v>27</v>
      </c>
      <c r="K1553" s="4" t="s">
        <v>28</v>
      </c>
      <c r="L1553" s="4" t="s">
        <v>28</v>
      </c>
      <c r="M1553" s="4" t="s">
        <v>34</v>
      </c>
      <c r="N1553" s="4" t="s">
        <v>28</v>
      </c>
    </row>
    <row r="1554" spans="1:14" ht="14.4" thickBot="1" x14ac:dyDescent="0.35">
      <c r="A1554" s="4" t="s">
        <v>19</v>
      </c>
      <c r="B1554" s="4" t="s">
        <v>505</v>
      </c>
      <c r="C1554" s="4" t="s">
        <v>506</v>
      </c>
      <c r="D1554" s="4" t="s">
        <v>507</v>
      </c>
      <c r="E1554" s="4" t="s">
        <v>87</v>
      </c>
      <c r="F1554" s="4" t="s">
        <v>1048</v>
      </c>
      <c r="G1554" s="4" t="s">
        <v>5844</v>
      </c>
      <c r="H1554" s="4" t="s">
        <v>26</v>
      </c>
      <c r="I1554" s="4" t="s">
        <v>33</v>
      </c>
      <c r="J1554" s="4" t="s">
        <v>27</v>
      </c>
      <c r="K1554" s="4" t="s">
        <v>28</v>
      </c>
      <c r="L1554" s="4" t="s">
        <v>28</v>
      </c>
      <c r="M1554" s="4" t="s">
        <v>34</v>
      </c>
      <c r="N1554" s="4" t="s">
        <v>28</v>
      </c>
    </row>
    <row r="1555" spans="1:14" ht="14.4" thickBot="1" x14ac:dyDescent="0.35">
      <c r="A1555" s="4" t="s">
        <v>19</v>
      </c>
      <c r="B1555" s="4" t="s">
        <v>505</v>
      </c>
      <c r="C1555" s="4" t="s">
        <v>506</v>
      </c>
      <c r="D1555" s="4" t="s">
        <v>507</v>
      </c>
      <c r="E1555" s="4" t="s">
        <v>87</v>
      </c>
      <c r="F1555" s="4" t="s">
        <v>5845</v>
      </c>
      <c r="G1555" s="4" t="s">
        <v>5846</v>
      </c>
      <c r="H1555" s="4" t="s">
        <v>69</v>
      </c>
      <c r="I1555" s="4" t="s">
        <v>94</v>
      </c>
      <c r="J1555" s="4" t="s">
        <v>28</v>
      </c>
      <c r="K1555" s="4" t="s">
        <v>27</v>
      </c>
      <c r="L1555" s="4" t="s">
        <v>28</v>
      </c>
      <c r="M1555" s="4" t="s">
        <v>34</v>
      </c>
      <c r="N1555" s="4" t="s">
        <v>28</v>
      </c>
    </row>
    <row r="1556" spans="1:14" ht="14.4" thickBot="1" x14ac:dyDescent="0.35">
      <c r="A1556" s="4" t="s">
        <v>19</v>
      </c>
      <c r="B1556" s="4" t="s">
        <v>505</v>
      </c>
      <c r="C1556" s="4" t="s">
        <v>506</v>
      </c>
      <c r="D1556" s="4" t="s">
        <v>507</v>
      </c>
      <c r="E1556" s="4" t="s">
        <v>87</v>
      </c>
      <c r="F1556" s="4" t="s">
        <v>5847</v>
      </c>
      <c r="G1556" s="4" t="s">
        <v>5848</v>
      </c>
      <c r="H1556" s="4" t="s">
        <v>69</v>
      </c>
      <c r="I1556" s="4" t="s">
        <v>94</v>
      </c>
      <c r="J1556" s="4" t="s">
        <v>28</v>
      </c>
      <c r="K1556" s="4" t="s">
        <v>27</v>
      </c>
      <c r="L1556" s="4" t="s">
        <v>28</v>
      </c>
      <c r="M1556" s="4" t="s">
        <v>34</v>
      </c>
      <c r="N1556" s="4" t="s">
        <v>28</v>
      </c>
    </row>
    <row r="1557" spans="1:14" ht="14.4" thickBot="1" x14ac:dyDescent="0.35">
      <c r="A1557" s="4" t="s">
        <v>19</v>
      </c>
      <c r="B1557" s="4" t="s">
        <v>505</v>
      </c>
      <c r="C1557" s="4" t="s">
        <v>506</v>
      </c>
      <c r="D1557" s="4" t="s">
        <v>507</v>
      </c>
      <c r="E1557" s="4" t="s">
        <v>87</v>
      </c>
      <c r="F1557" s="4" t="s">
        <v>5849</v>
      </c>
      <c r="G1557" s="4" t="s">
        <v>5850</v>
      </c>
      <c r="H1557" s="4" t="s">
        <v>26</v>
      </c>
      <c r="I1557" s="4" t="s">
        <v>33</v>
      </c>
      <c r="J1557" s="4" t="s">
        <v>27</v>
      </c>
      <c r="K1557" s="4" t="s">
        <v>28</v>
      </c>
      <c r="L1557" s="4" t="s">
        <v>28</v>
      </c>
      <c r="M1557" s="4" t="s">
        <v>34</v>
      </c>
      <c r="N1557" s="4" t="s">
        <v>28</v>
      </c>
    </row>
    <row r="1558" spans="1:14" ht="14.4" thickBot="1" x14ac:dyDescent="0.35">
      <c r="A1558" s="4" t="s">
        <v>19</v>
      </c>
      <c r="B1558" s="4" t="s">
        <v>505</v>
      </c>
      <c r="C1558" s="4" t="s">
        <v>506</v>
      </c>
      <c r="D1558" s="4" t="s">
        <v>507</v>
      </c>
      <c r="E1558" s="4" t="s">
        <v>87</v>
      </c>
      <c r="F1558" s="4" t="s">
        <v>5893</v>
      </c>
      <c r="G1558" s="4" t="s">
        <v>5894</v>
      </c>
      <c r="H1558" s="4" t="s">
        <v>26</v>
      </c>
      <c r="I1558" s="4" t="s">
        <v>135</v>
      </c>
      <c r="J1558" s="4" t="s">
        <v>27</v>
      </c>
      <c r="K1558" s="4" t="s">
        <v>28</v>
      </c>
      <c r="L1558" s="4" t="s">
        <v>28</v>
      </c>
      <c r="M1558" s="4" t="s">
        <v>29</v>
      </c>
      <c r="N1558" s="4" t="s">
        <v>28</v>
      </c>
    </row>
    <row r="1559" spans="1:14" ht="14.4" thickBot="1" x14ac:dyDescent="0.35">
      <c r="A1559" s="4" t="s">
        <v>19</v>
      </c>
      <c r="B1559" s="4" t="s">
        <v>505</v>
      </c>
      <c r="C1559" s="4" t="s">
        <v>522</v>
      </c>
      <c r="D1559" s="4" t="s">
        <v>523</v>
      </c>
      <c r="E1559" s="4" t="s">
        <v>48</v>
      </c>
      <c r="F1559" s="4" t="s">
        <v>524</v>
      </c>
      <c r="G1559" s="4" t="s">
        <v>525</v>
      </c>
      <c r="H1559" s="4" t="s">
        <v>26</v>
      </c>
      <c r="I1559" s="4" t="s">
        <v>33</v>
      </c>
      <c r="J1559" s="4" t="s">
        <v>27</v>
      </c>
      <c r="K1559" s="4" t="s">
        <v>28</v>
      </c>
      <c r="L1559" s="4" t="s">
        <v>28</v>
      </c>
      <c r="M1559" s="4" t="s">
        <v>34</v>
      </c>
      <c r="N1559" s="4" t="s">
        <v>28</v>
      </c>
    </row>
    <row r="1560" spans="1:14" ht="14.4" thickBot="1" x14ac:dyDescent="0.35">
      <c r="A1560" s="4" t="s">
        <v>19</v>
      </c>
      <c r="B1560" s="4" t="s">
        <v>505</v>
      </c>
      <c r="C1560" s="4" t="s">
        <v>522</v>
      </c>
      <c r="D1560" s="4" t="s">
        <v>523</v>
      </c>
      <c r="E1560" s="4" t="s">
        <v>48</v>
      </c>
      <c r="F1560" s="4" t="s">
        <v>832</v>
      </c>
      <c r="G1560" s="4" t="s">
        <v>1470</v>
      </c>
      <c r="H1560" s="4" t="s">
        <v>69</v>
      </c>
      <c r="I1560" s="4" t="s">
        <v>94</v>
      </c>
      <c r="J1560" s="4" t="s">
        <v>28</v>
      </c>
      <c r="K1560" s="4" t="s">
        <v>27</v>
      </c>
      <c r="L1560" s="4" t="s">
        <v>28</v>
      </c>
      <c r="M1560" s="4" t="s">
        <v>34</v>
      </c>
      <c r="N1560" s="4" t="s">
        <v>28</v>
      </c>
    </row>
    <row r="1561" spans="1:14" ht="14.4" thickBot="1" x14ac:dyDescent="0.35">
      <c r="A1561" s="4" t="s">
        <v>19</v>
      </c>
      <c r="B1561" s="4" t="s">
        <v>505</v>
      </c>
      <c r="C1561" s="4" t="s">
        <v>522</v>
      </c>
      <c r="D1561" s="4" t="s">
        <v>523</v>
      </c>
      <c r="E1561" s="4" t="s">
        <v>48</v>
      </c>
      <c r="F1561" s="4" t="s">
        <v>3015</v>
      </c>
      <c r="G1561" s="4" t="s">
        <v>3016</v>
      </c>
      <c r="H1561" s="4" t="s">
        <v>135</v>
      </c>
      <c r="I1561" s="4" t="s">
        <v>38</v>
      </c>
      <c r="J1561" s="5"/>
      <c r="K1561" s="5"/>
      <c r="L1561" s="5"/>
      <c r="M1561" s="4" t="s">
        <v>29</v>
      </c>
      <c r="N1561" s="5"/>
    </row>
    <row r="1562" spans="1:14" ht="14.4" thickBot="1" x14ac:dyDescent="0.35">
      <c r="A1562" s="4" t="s">
        <v>19</v>
      </c>
      <c r="B1562" s="4" t="s">
        <v>505</v>
      </c>
      <c r="C1562" s="4" t="s">
        <v>522</v>
      </c>
      <c r="D1562" s="4" t="s">
        <v>523</v>
      </c>
      <c r="E1562" s="4" t="s">
        <v>48</v>
      </c>
      <c r="F1562" s="4" t="s">
        <v>3746</v>
      </c>
      <c r="G1562" s="4" t="s">
        <v>3747</v>
      </c>
      <c r="H1562" s="4" t="s">
        <v>26</v>
      </c>
      <c r="I1562" s="4" t="s">
        <v>26</v>
      </c>
      <c r="J1562" s="4" t="s">
        <v>27</v>
      </c>
      <c r="K1562" s="4" t="s">
        <v>28</v>
      </c>
      <c r="L1562" s="4" t="s">
        <v>28</v>
      </c>
      <c r="M1562" s="4" t="s">
        <v>130</v>
      </c>
      <c r="N1562" s="4" t="s">
        <v>28</v>
      </c>
    </row>
    <row r="1563" spans="1:14" ht="14.4" thickBot="1" x14ac:dyDescent="0.35">
      <c r="A1563" s="4" t="s">
        <v>19</v>
      </c>
      <c r="B1563" s="4" t="s">
        <v>505</v>
      </c>
      <c r="C1563" s="4" t="s">
        <v>522</v>
      </c>
      <c r="D1563" s="4" t="s">
        <v>523</v>
      </c>
      <c r="E1563" s="4" t="s">
        <v>48</v>
      </c>
      <c r="F1563" s="4" t="s">
        <v>4469</v>
      </c>
      <c r="G1563" s="4" t="s">
        <v>4470</v>
      </c>
      <c r="H1563" s="4" t="s">
        <v>37</v>
      </c>
      <c r="I1563" s="4" t="s">
        <v>38</v>
      </c>
      <c r="J1563" s="4" t="s">
        <v>28</v>
      </c>
      <c r="K1563" s="4" t="s">
        <v>28</v>
      </c>
      <c r="L1563" s="4" t="s">
        <v>27</v>
      </c>
      <c r="M1563" s="4" t="s">
        <v>34</v>
      </c>
      <c r="N1563" s="4" t="s">
        <v>28</v>
      </c>
    </row>
    <row r="1564" spans="1:14" ht="14.4" thickBot="1" x14ac:dyDescent="0.35">
      <c r="A1564" s="4" t="s">
        <v>19</v>
      </c>
      <c r="B1564" s="4" t="s">
        <v>505</v>
      </c>
      <c r="C1564" s="4" t="s">
        <v>811</v>
      </c>
      <c r="D1564" s="4" t="s">
        <v>812</v>
      </c>
      <c r="E1564" s="4" t="s">
        <v>48</v>
      </c>
      <c r="F1564" s="4" t="s">
        <v>813</v>
      </c>
      <c r="G1564" s="4" t="s">
        <v>814</v>
      </c>
      <c r="H1564" s="4" t="s">
        <v>37</v>
      </c>
      <c r="I1564" s="4" t="s">
        <v>38</v>
      </c>
      <c r="J1564" s="4" t="s">
        <v>28</v>
      </c>
      <c r="K1564" s="4" t="s">
        <v>28</v>
      </c>
      <c r="L1564" s="4" t="s">
        <v>27</v>
      </c>
      <c r="M1564" s="4" t="s">
        <v>34</v>
      </c>
      <c r="N1564" s="4" t="s">
        <v>28</v>
      </c>
    </row>
    <row r="1565" spans="1:14" ht="14.4" thickBot="1" x14ac:dyDescent="0.35">
      <c r="A1565" s="4" t="s">
        <v>19</v>
      </c>
      <c r="B1565" s="4" t="s">
        <v>505</v>
      </c>
      <c r="C1565" s="4" t="s">
        <v>811</v>
      </c>
      <c r="D1565" s="4" t="s">
        <v>812</v>
      </c>
      <c r="E1565" s="4" t="s">
        <v>48</v>
      </c>
      <c r="F1565" s="4" t="s">
        <v>2398</v>
      </c>
      <c r="G1565" s="4" t="s">
        <v>2399</v>
      </c>
      <c r="H1565" s="4" t="s">
        <v>122</v>
      </c>
      <c r="I1565" s="4" t="s">
        <v>94</v>
      </c>
      <c r="J1565" s="4" t="s">
        <v>28</v>
      </c>
      <c r="K1565" s="4" t="s">
        <v>27</v>
      </c>
      <c r="L1565" s="4" t="s">
        <v>28</v>
      </c>
      <c r="M1565" s="4" t="s">
        <v>34</v>
      </c>
      <c r="N1565" s="4" t="s">
        <v>28</v>
      </c>
    </row>
    <row r="1566" spans="1:14" ht="14.4" thickBot="1" x14ac:dyDescent="0.35">
      <c r="A1566" s="4" t="s">
        <v>19</v>
      </c>
      <c r="B1566" s="4" t="s">
        <v>505</v>
      </c>
      <c r="C1566" s="4" t="s">
        <v>811</v>
      </c>
      <c r="D1566" s="4" t="s">
        <v>812</v>
      </c>
      <c r="E1566" s="4" t="s">
        <v>48</v>
      </c>
      <c r="F1566" s="4" t="s">
        <v>3974</v>
      </c>
      <c r="G1566" s="4" t="s">
        <v>3975</v>
      </c>
      <c r="H1566" s="4" t="s">
        <v>37</v>
      </c>
      <c r="I1566" s="4" t="s">
        <v>38</v>
      </c>
      <c r="J1566" s="4" t="s">
        <v>28</v>
      </c>
      <c r="K1566" s="4" t="s">
        <v>28</v>
      </c>
      <c r="L1566" s="4" t="s">
        <v>27</v>
      </c>
      <c r="M1566" s="4" t="s">
        <v>34</v>
      </c>
      <c r="N1566" s="4" t="s">
        <v>28</v>
      </c>
    </row>
    <row r="1567" spans="1:14" ht="14.4" thickBot="1" x14ac:dyDescent="0.35">
      <c r="A1567" s="4" t="s">
        <v>19</v>
      </c>
      <c r="B1567" s="4" t="s">
        <v>505</v>
      </c>
      <c r="C1567" s="4" t="s">
        <v>811</v>
      </c>
      <c r="D1567" s="4" t="s">
        <v>812</v>
      </c>
      <c r="E1567" s="4" t="s">
        <v>48</v>
      </c>
      <c r="F1567" s="4" t="s">
        <v>3976</v>
      </c>
      <c r="G1567" s="4" t="s">
        <v>3977</v>
      </c>
      <c r="H1567" s="4" t="s">
        <v>116</v>
      </c>
      <c r="I1567" s="4" t="s">
        <v>38</v>
      </c>
      <c r="J1567" s="4" t="s">
        <v>28</v>
      </c>
      <c r="K1567" s="4" t="s">
        <v>28</v>
      </c>
      <c r="L1567" s="4" t="s">
        <v>27</v>
      </c>
      <c r="M1567" s="4" t="s">
        <v>34</v>
      </c>
      <c r="N1567" s="4" t="s">
        <v>28</v>
      </c>
    </row>
    <row r="1568" spans="1:14" ht="14.4" thickBot="1" x14ac:dyDescent="0.35">
      <c r="A1568" s="4" t="s">
        <v>19</v>
      </c>
      <c r="B1568" s="4" t="s">
        <v>505</v>
      </c>
      <c r="C1568" s="4" t="s">
        <v>811</v>
      </c>
      <c r="D1568" s="4" t="s">
        <v>812</v>
      </c>
      <c r="E1568" s="4" t="s">
        <v>48</v>
      </c>
      <c r="F1568" s="4" t="s">
        <v>6066</v>
      </c>
      <c r="G1568" s="4" t="s">
        <v>6067</v>
      </c>
      <c r="H1568" s="4" t="s">
        <v>26</v>
      </c>
      <c r="I1568" s="4" t="s">
        <v>69</v>
      </c>
      <c r="J1568" s="4" t="s">
        <v>27</v>
      </c>
      <c r="K1568" s="4" t="s">
        <v>28</v>
      </c>
      <c r="L1568" s="4" t="s">
        <v>28</v>
      </c>
      <c r="M1568" s="4" t="s">
        <v>34</v>
      </c>
      <c r="N1568" s="4" t="s">
        <v>28</v>
      </c>
    </row>
    <row r="1569" spans="1:14" ht="14.4" thickBot="1" x14ac:dyDescent="0.35">
      <c r="A1569" s="4" t="s">
        <v>19</v>
      </c>
      <c r="B1569" s="4" t="s">
        <v>505</v>
      </c>
      <c r="C1569" s="4" t="s">
        <v>1668</v>
      </c>
      <c r="D1569" s="4" t="s">
        <v>2210</v>
      </c>
      <c r="E1569" s="4" t="s">
        <v>48</v>
      </c>
      <c r="F1569" s="4" t="s">
        <v>2211</v>
      </c>
      <c r="G1569" s="4" t="s">
        <v>2212</v>
      </c>
      <c r="H1569" s="4" t="s">
        <v>69</v>
      </c>
      <c r="I1569" s="4" t="s">
        <v>38</v>
      </c>
      <c r="J1569" s="4" t="s">
        <v>28</v>
      </c>
      <c r="K1569" s="4" t="s">
        <v>28</v>
      </c>
      <c r="L1569" s="4" t="s">
        <v>27</v>
      </c>
      <c r="M1569" s="4" t="s">
        <v>34</v>
      </c>
      <c r="N1569" s="4" t="s">
        <v>28</v>
      </c>
    </row>
    <row r="1570" spans="1:14" ht="14.4" thickBot="1" x14ac:dyDescent="0.35">
      <c r="A1570" s="4" t="s">
        <v>19</v>
      </c>
      <c r="B1570" s="4" t="s">
        <v>505</v>
      </c>
      <c r="C1570" s="4" t="s">
        <v>1668</v>
      </c>
      <c r="D1570" s="4" t="s">
        <v>2210</v>
      </c>
      <c r="E1570" s="4" t="s">
        <v>48</v>
      </c>
      <c r="F1570" s="4" t="s">
        <v>2213</v>
      </c>
      <c r="G1570" s="4" t="s">
        <v>2214</v>
      </c>
      <c r="H1570" s="4" t="s">
        <v>26</v>
      </c>
      <c r="I1570" s="4" t="s">
        <v>33</v>
      </c>
      <c r="J1570" s="4" t="s">
        <v>27</v>
      </c>
      <c r="K1570" s="4" t="s">
        <v>28</v>
      </c>
      <c r="L1570" s="4" t="s">
        <v>28</v>
      </c>
      <c r="M1570" s="4" t="s">
        <v>34</v>
      </c>
      <c r="N1570" s="4" t="s">
        <v>28</v>
      </c>
    </row>
    <row r="1571" spans="1:14" ht="14.4" thickBot="1" x14ac:dyDescent="0.35">
      <c r="A1571" s="4" t="s">
        <v>19</v>
      </c>
      <c r="B1571" s="4" t="s">
        <v>505</v>
      </c>
      <c r="C1571" s="4" t="s">
        <v>1668</v>
      </c>
      <c r="D1571" s="4" t="s">
        <v>2210</v>
      </c>
      <c r="E1571" s="4" t="s">
        <v>48</v>
      </c>
      <c r="F1571" s="4" t="s">
        <v>3697</v>
      </c>
      <c r="G1571" s="4" t="s">
        <v>3698</v>
      </c>
      <c r="H1571" s="4" t="s">
        <v>69</v>
      </c>
      <c r="I1571" s="4" t="s">
        <v>38</v>
      </c>
      <c r="J1571" s="4" t="s">
        <v>28</v>
      </c>
      <c r="K1571" s="4" t="s">
        <v>28</v>
      </c>
      <c r="L1571" s="4" t="s">
        <v>27</v>
      </c>
      <c r="M1571" s="4" t="s">
        <v>34</v>
      </c>
      <c r="N1571" s="4" t="s">
        <v>28</v>
      </c>
    </row>
    <row r="1572" spans="1:14" ht="14.4" thickBot="1" x14ac:dyDescent="0.35">
      <c r="A1572" s="4" t="s">
        <v>19</v>
      </c>
      <c r="B1572" s="4" t="s">
        <v>505</v>
      </c>
      <c r="C1572" s="4" t="s">
        <v>815</v>
      </c>
      <c r="D1572" s="4" t="s">
        <v>816</v>
      </c>
      <c r="E1572" s="4" t="s">
        <v>87</v>
      </c>
      <c r="F1572" s="4" t="s">
        <v>817</v>
      </c>
      <c r="G1572" s="4" t="s">
        <v>818</v>
      </c>
      <c r="H1572" s="4" t="s">
        <v>69</v>
      </c>
      <c r="I1572" s="4" t="s">
        <v>37</v>
      </c>
      <c r="J1572" s="4" t="s">
        <v>28</v>
      </c>
      <c r="K1572" s="4" t="s">
        <v>27</v>
      </c>
      <c r="L1572" s="4" t="s">
        <v>28</v>
      </c>
      <c r="M1572" s="4" t="s">
        <v>34</v>
      </c>
      <c r="N1572" s="4" t="s">
        <v>27</v>
      </c>
    </row>
    <row r="1573" spans="1:14" ht="14.4" thickBot="1" x14ac:dyDescent="0.35">
      <c r="A1573" s="4" t="s">
        <v>19</v>
      </c>
      <c r="B1573" s="4" t="s">
        <v>505</v>
      </c>
      <c r="C1573" s="4" t="s">
        <v>815</v>
      </c>
      <c r="D1573" s="4" t="s">
        <v>816</v>
      </c>
      <c r="E1573" s="4" t="s">
        <v>87</v>
      </c>
      <c r="F1573" s="4" t="s">
        <v>819</v>
      </c>
      <c r="G1573" s="4" t="s">
        <v>820</v>
      </c>
      <c r="H1573" s="4" t="s">
        <v>37</v>
      </c>
      <c r="I1573" s="4" t="s">
        <v>38</v>
      </c>
      <c r="J1573" s="4" t="s">
        <v>28</v>
      </c>
      <c r="K1573" s="4" t="s">
        <v>28</v>
      </c>
      <c r="L1573" s="4" t="s">
        <v>27</v>
      </c>
      <c r="M1573" s="4" t="s">
        <v>34</v>
      </c>
      <c r="N1573" s="4" t="s">
        <v>28</v>
      </c>
    </row>
    <row r="1574" spans="1:14" ht="14.4" thickBot="1" x14ac:dyDescent="0.35">
      <c r="A1574" s="4" t="s">
        <v>19</v>
      </c>
      <c r="B1574" s="4" t="s">
        <v>505</v>
      </c>
      <c r="C1574" s="4" t="s">
        <v>815</v>
      </c>
      <c r="D1574" s="4" t="s">
        <v>816</v>
      </c>
      <c r="E1574" s="4" t="s">
        <v>87</v>
      </c>
      <c r="F1574" s="4" t="s">
        <v>821</v>
      </c>
      <c r="G1574" s="4" t="s">
        <v>822</v>
      </c>
      <c r="H1574" s="4" t="s">
        <v>37</v>
      </c>
      <c r="I1574" s="4" t="s">
        <v>38</v>
      </c>
      <c r="J1574" s="4" t="s">
        <v>28</v>
      </c>
      <c r="K1574" s="4" t="s">
        <v>28</v>
      </c>
      <c r="L1574" s="4" t="s">
        <v>27</v>
      </c>
      <c r="M1574" s="4" t="s">
        <v>34</v>
      </c>
      <c r="N1574" s="4" t="s">
        <v>28</v>
      </c>
    </row>
    <row r="1575" spans="1:14" ht="14.4" thickBot="1" x14ac:dyDescent="0.35">
      <c r="A1575" s="4" t="s">
        <v>19</v>
      </c>
      <c r="B1575" s="4" t="s">
        <v>505</v>
      </c>
      <c r="C1575" s="4" t="s">
        <v>815</v>
      </c>
      <c r="D1575" s="4" t="s">
        <v>816</v>
      </c>
      <c r="E1575" s="4" t="s">
        <v>87</v>
      </c>
      <c r="F1575" s="4" t="s">
        <v>823</v>
      </c>
      <c r="G1575" s="4" t="s">
        <v>824</v>
      </c>
      <c r="H1575" s="4" t="s">
        <v>26</v>
      </c>
      <c r="I1575" s="4" t="s">
        <v>69</v>
      </c>
      <c r="J1575" s="4" t="s">
        <v>27</v>
      </c>
      <c r="K1575" s="4" t="s">
        <v>28</v>
      </c>
      <c r="L1575" s="4" t="s">
        <v>28</v>
      </c>
      <c r="M1575" s="4" t="s">
        <v>34</v>
      </c>
      <c r="N1575" s="4" t="s">
        <v>28</v>
      </c>
    </row>
    <row r="1576" spans="1:14" ht="14.4" thickBot="1" x14ac:dyDescent="0.35">
      <c r="A1576" s="4" t="s">
        <v>19</v>
      </c>
      <c r="B1576" s="4" t="s">
        <v>505</v>
      </c>
      <c r="C1576" s="4" t="s">
        <v>815</v>
      </c>
      <c r="D1576" s="4" t="s">
        <v>816</v>
      </c>
      <c r="E1576" s="4" t="s">
        <v>87</v>
      </c>
      <c r="F1576" s="4" t="s">
        <v>825</v>
      </c>
      <c r="G1576" s="4" t="s">
        <v>826</v>
      </c>
      <c r="H1576" s="4" t="s">
        <v>122</v>
      </c>
      <c r="I1576" s="4" t="s">
        <v>94</v>
      </c>
      <c r="J1576" s="4" t="s">
        <v>28</v>
      </c>
      <c r="K1576" s="4" t="s">
        <v>27</v>
      </c>
      <c r="L1576" s="4" t="s">
        <v>28</v>
      </c>
      <c r="M1576" s="4" t="s">
        <v>34</v>
      </c>
      <c r="N1576" s="4" t="s">
        <v>28</v>
      </c>
    </row>
    <row r="1577" spans="1:14" ht="14.4" thickBot="1" x14ac:dyDescent="0.35">
      <c r="A1577" s="4" t="s">
        <v>19</v>
      </c>
      <c r="B1577" s="4" t="s">
        <v>505</v>
      </c>
      <c r="C1577" s="4" t="s">
        <v>815</v>
      </c>
      <c r="D1577" s="4" t="s">
        <v>816</v>
      </c>
      <c r="E1577" s="4" t="s">
        <v>87</v>
      </c>
      <c r="F1577" s="4" t="s">
        <v>966</v>
      </c>
      <c r="G1577" s="4" t="s">
        <v>967</v>
      </c>
      <c r="H1577" s="4" t="s">
        <v>26</v>
      </c>
      <c r="I1577" s="4" t="s">
        <v>26</v>
      </c>
      <c r="J1577" s="4" t="s">
        <v>27</v>
      </c>
      <c r="K1577" s="4" t="s">
        <v>28</v>
      </c>
      <c r="L1577" s="4" t="s">
        <v>28</v>
      </c>
      <c r="M1577" s="4" t="s">
        <v>29</v>
      </c>
      <c r="N1577" s="4" t="s">
        <v>28</v>
      </c>
    </row>
    <row r="1578" spans="1:14" ht="14.4" thickBot="1" x14ac:dyDescent="0.35">
      <c r="A1578" s="4" t="s">
        <v>19</v>
      </c>
      <c r="B1578" s="4" t="s">
        <v>505</v>
      </c>
      <c r="C1578" s="4" t="s">
        <v>815</v>
      </c>
      <c r="D1578" s="4" t="s">
        <v>816</v>
      </c>
      <c r="E1578" s="4" t="s">
        <v>87</v>
      </c>
      <c r="F1578" s="4" t="s">
        <v>1706</v>
      </c>
      <c r="G1578" s="4" t="s">
        <v>1707</v>
      </c>
      <c r="H1578" s="4" t="s">
        <v>26</v>
      </c>
      <c r="I1578" s="4" t="s">
        <v>69</v>
      </c>
      <c r="J1578" s="4" t="s">
        <v>27</v>
      </c>
      <c r="K1578" s="4" t="s">
        <v>28</v>
      </c>
      <c r="L1578" s="4" t="s">
        <v>28</v>
      </c>
      <c r="M1578" s="4" t="s">
        <v>34</v>
      </c>
      <c r="N1578" s="4" t="s">
        <v>28</v>
      </c>
    </row>
    <row r="1579" spans="1:14" ht="14.4" thickBot="1" x14ac:dyDescent="0.35">
      <c r="A1579" s="4" t="s">
        <v>19</v>
      </c>
      <c r="B1579" s="4" t="s">
        <v>505</v>
      </c>
      <c r="C1579" s="4" t="s">
        <v>815</v>
      </c>
      <c r="D1579" s="4" t="s">
        <v>816</v>
      </c>
      <c r="E1579" s="4" t="s">
        <v>87</v>
      </c>
      <c r="F1579" s="4" t="s">
        <v>3978</v>
      </c>
      <c r="G1579" s="4" t="s">
        <v>3979</v>
      </c>
      <c r="H1579" s="4" t="s">
        <v>26</v>
      </c>
      <c r="I1579" s="4" t="s">
        <v>33</v>
      </c>
      <c r="J1579" s="4" t="s">
        <v>27</v>
      </c>
      <c r="K1579" s="4" t="s">
        <v>28</v>
      </c>
      <c r="L1579" s="4" t="s">
        <v>28</v>
      </c>
      <c r="M1579" s="4" t="s">
        <v>34</v>
      </c>
      <c r="N1579" s="4" t="s">
        <v>27</v>
      </c>
    </row>
    <row r="1580" spans="1:14" ht="14.4" thickBot="1" x14ac:dyDescent="0.35">
      <c r="A1580" s="4" t="s">
        <v>19</v>
      </c>
      <c r="B1580" s="4" t="s">
        <v>505</v>
      </c>
      <c r="C1580" s="4" t="s">
        <v>815</v>
      </c>
      <c r="D1580" s="4" t="s">
        <v>816</v>
      </c>
      <c r="E1580" s="4" t="s">
        <v>87</v>
      </c>
      <c r="F1580" s="4" t="s">
        <v>3980</v>
      </c>
      <c r="G1580" s="4" t="s">
        <v>3981</v>
      </c>
      <c r="H1580" s="4" t="s">
        <v>26</v>
      </c>
      <c r="I1580" s="4" t="s">
        <v>69</v>
      </c>
      <c r="J1580" s="4" t="s">
        <v>27</v>
      </c>
      <c r="K1580" s="4" t="s">
        <v>28</v>
      </c>
      <c r="L1580" s="4" t="s">
        <v>28</v>
      </c>
      <c r="M1580" s="4" t="s">
        <v>34</v>
      </c>
      <c r="N1580" s="4" t="s">
        <v>28</v>
      </c>
    </row>
    <row r="1581" spans="1:14" ht="14.4" thickBot="1" x14ac:dyDescent="0.35">
      <c r="A1581" s="4" t="s">
        <v>19</v>
      </c>
      <c r="B1581" s="4" t="s">
        <v>505</v>
      </c>
      <c r="C1581" s="4" t="s">
        <v>815</v>
      </c>
      <c r="D1581" s="4" t="s">
        <v>816</v>
      </c>
      <c r="E1581" s="4" t="s">
        <v>87</v>
      </c>
      <c r="F1581" s="4" t="s">
        <v>4072</v>
      </c>
      <c r="G1581" s="4" t="s">
        <v>4073</v>
      </c>
      <c r="H1581" s="4" t="s">
        <v>26</v>
      </c>
      <c r="I1581" s="4" t="s">
        <v>26</v>
      </c>
      <c r="J1581" s="4" t="s">
        <v>27</v>
      </c>
      <c r="K1581" s="4" t="s">
        <v>28</v>
      </c>
      <c r="L1581" s="4" t="s">
        <v>28</v>
      </c>
      <c r="M1581" s="4" t="s">
        <v>29</v>
      </c>
      <c r="N1581" s="4" t="s">
        <v>28</v>
      </c>
    </row>
    <row r="1582" spans="1:14" ht="14.4" thickBot="1" x14ac:dyDescent="0.35">
      <c r="A1582" s="4" t="s">
        <v>19</v>
      </c>
      <c r="B1582" s="4" t="s">
        <v>505</v>
      </c>
      <c r="C1582" s="4" t="s">
        <v>815</v>
      </c>
      <c r="D1582" s="4" t="s">
        <v>816</v>
      </c>
      <c r="E1582" s="4" t="s">
        <v>87</v>
      </c>
      <c r="F1582" s="4" t="s">
        <v>6068</v>
      </c>
      <c r="G1582" s="4" t="s">
        <v>6069</v>
      </c>
      <c r="H1582" s="4" t="s">
        <v>26</v>
      </c>
      <c r="I1582" s="4" t="s">
        <v>69</v>
      </c>
      <c r="J1582" s="4" t="s">
        <v>27</v>
      </c>
      <c r="K1582" s="4" t="s">
        <v>28</v>
      </c>
      <c r="L1582" s="4" t="s">
        <v>28</v>
      </c>
      <c r="M1582" s="4" t="s">
        <v>34</v>
      </c>
      <c r="N1582" s="4" t="s">
        <v>28</v>
      </c>
    </row>
    <row r="1583" spans="1:14" ht="14.4" thickBot="1" x14ac:dyDescent="0.35">
      <c r="A1583" s="4" t="s">
        <v>19</v>
      </c>
      <c r="B1583" s="4" t="s">
        <v>505</v>
      </c>
      <c r="C1583" s="4" t="s">
        <v>815</v>
      </c>
      <c r="D1583" s="4" t="s">
        <v>816</v>
      </c>
      <c r="E1583" s="4" t="s">
        <v>87</v>
      </c>
      <c r="F1583" s="4" t="s">
        <v>6070</v>
      </c>
      <c r="G1583" s="4" t="s">
        <v>3114</v>
      </c>
      <c r="H1583" s="4" t="s">
        <v>26</v>
      </c>
      <c r="I1583" s="4" t="s">
        <v>69</v>
      </c>
      <c r="J1583" s="4" t="s">
        <v>27</v>
      </c>
      <c r="K1583" s="4" t="s">
        <v>28</v>
      </c>
      <c r="L1583" s="4" t="s">
        <v>28</v>
      </c>
      <c r="M1583" s="4" t="s">
        <v>34</v>
      </c>
      <c r="N1583" s="4" t="s">
        <v>28</v>
      </c>
    </row>
    <row r="1584" spans="1:14" ht="14.4" thickBot="1" x14ac:dyDescent="0.35">
      <c r="A1584" s="4" t="s">
        <v>19</v>
      </c>
      <c r="B1584" s="4" t="s">
        <v>505</v>
      </c>
      <c r="C1584" s="4" t="s">
        <v>815</v>
      </c>
      <c r="D1584" s="4" t="s">
        <v>816</v>
      </c>
      <c r="E1584" s="4" t="s">
        <v>87</v>
      </c>
      <c r="F1584" s="4" t="s">
        <v>6175</v>
      </c>
      <c r="G1584" s="4" t="s">
        <v>6176</v>
      </c>
      <c r="H1584" s="4" t="s">
        <v>26</v>
      </c>
      <c r="I1584" s="4" t="s">
        <v>94</v>
      </c>
      <c r="J1584" s="4" t="s">
        <v>27</v>
      </c>
      <c r="K1584" s="4" t="s">
        <v>28</v>
      </c>
      <c r="L1584" s="4" t="s">
        <v>28</v>
      </c>
      <c r="M1584" s="4" t="s">
        <v>29</v>
      </c>
      <c r="N1584" s="4" t="s">
        <v>28</v>
      </c>
    </row>
    <row r="1585" spans="1:14" ht="14.4" thickBot="1" x14ac:dyDescent="0.35">
      <c r="A1585" s="4" t="s">
        <v>19</v>
      </c>
      <c r="B1585" s="4" t="s">
        <v>505</v>
      </c>
      <c r="C1585" s="4" t="s">
        <v>526</v>
      </c>
      <c r="D1585" s="4" t="s">
        <v>527</v>
      </c>
      <c r="E1585" s="4" t="s">
        <v>87</v>
      </c>
      <c r="F1585" s="4" t="s">
        <v>528</v>
      </c>
      <c r="G1585" s="4" t="s">
        <v>529</v>
      </c>
      <c r="H1585" s="4" t="s">
        <v>26</v>
      </c>
      <c r="I1585" s="4" t="s">
        <v>33</v>
      </c>
      <c r="J1585" s="4" t="s">
        <v>27</v>
      </c>
      <c r="K1585" s="4" t="s">
        <v>28</v>
      </c>
      <c r="L1585" s="4" t="s">
        <v>28</v>
      </c>
      <c r="M1585" s="4" t="s">
        <v>34</v>
      </c>
      <c r="N1585" s="4" t="s">
        <v>28</v>
      </c>
    </row>
    <row r="1586" spans="1:14" ht="14.4" thickBot="1" x14ac:dyDescent="0.35">
      <c r="A1586" s="4" t="s">
        <v>19</v>
      </c>
      <c r="B1586" s="4" t="s">
        <v>505</v>
      </c>
      <c r="C1586" s="4" t="s">
        <v>526</v>
      </c>
      <c r="D1586" s="4" t="s">
        <v>527</v>
      </c>
      <c r="E1586" s="4" t="s">
        <v>87</v>
      </c>
      <c r="F1586" s="4" t="s">
        <v>530</v>
      </c>
      <c r="G1586" s="4" t="s">
        <v>531</v>
      </c>
      <c r="H1586" s="4" t="s">
        <v>37</v>
      </c>
      <c r="I1586" s="4" t="s">
        <v>38</v>
      </c>
      <c r="J1586" s="4" t="s">
        <v>28</v>
      </c>
      <c r="K1586" s="4" t="s">
        <v>28</v>
      </c>
      <c r="L1586" s="4" t="s">
        <v>27</v>
      </c>
      <c r="M1586" s="4" t="s">
        <v>34</v>
      </c>
      <c r="N1586" s="4" t="s">
        <v>28</v>
      </c>
    </row>
    <row r="1587" spans="1:14" ht="14.4" thickBot="1" x14ac:dyDescent="0.35">
      <c r="A1587" s="4" t="s">
        <v>19</v>
      </c>
      <c r="B1587" s="4" t="s">
        <v>505</v>
      </c>
      <c r="C1587" s="4" t="s">
        <v>526</v>
      </c>
      <c r="D1587" s="4" t="s">
        <v>527</v>
      </c>
      <c r="E1587" s="4" t="s">
        <v>87</v>
      </c>
      <c r="F1587" s="4" t="s">
        <v>532</v>
      </c>
      <c r="G1587" s="4" t="s">
        <v>533</v>
      </c>
      <c r="H1587" s="4" t="s">
        <v>135</v>
      </c>
      <c r="I1587" s="4" t="s">
        <v>94</v>
      </c>
      <c r="J1587" s="4" t="s">
        <v>27</v>
      </c>
      <c r="K1587" s="4" t="s">
        <v>28</v>
      </c>
      <c r="L1587" s="4" t="s">
        <v>28</v>
      </c>
      <c r="M1587" s="4" t="s">
        <v>34</v>
      </c>
      <c r="N1587" s="4" t="s">
        <v>27</v>
      </c>
    </row>
    <row r="1588" spans="1:14" ht="14.4" thickBot="1" x14ac:dyDescent="0.35">
      <c r="A1588" s="4" t="s">
        <v>19</v>
      </c>
      <c r="B1588" s="4" t="s">
        <v>505</v>
      </c>
      <c r="C1588" s="4" t="s">
        <v>526</v>
      </c>
      <c r="D1588" s="4" t="s">
        <v>527</v>
      </c>
      <c r="E1588" s="4" t="s">
        <v>87</v>
      </c>
      <c r="F1588" s="4" t="s">
        <v>534</v>
      </c>
      <c r="G1588" s="4" t="s">
        <v>535</v>
      </c>
      <c r="H1588" s="4" t="s">
        <v>135</v>
      </c>
      <c r="I1588" s="4" t="s">
        <v>94</v>
      </c>
      <c r="J1588" s="4" t="s">
        <v>27</v>
      </c>
      <c r="K1588" s="4" t="s">
        <v>28</v>
      </c>
      <c r="L1588" s="4" t="s">
        <v>28</v>
      </c>
      <c r="M1588" s="4" t="s">
        <v>34</v>
      </c>
      <c r="N1588" s="4" t="s">
        <v>27</v>
      </c>
    </row>
    <row r="1589" spans="1:14" ht="14.4" thickBot="1" x14ac:dyDescent="0.35">
      <c r="A1589" s="4" t="s">
        <v>19</v>
      </c>
      <c r="B1589" s="4" t="s">
        <v>505</v>
      </c>
      <c r="C1589" s="4" t="s">
        <v>526</v>
      </c>
      <c r="D1589" s="4" t="s">
        <v>527</v>
      </c>
      <c r="E1589" s="4" t="s">
        <v>87</v>
      </c>
      <c r="F1589" s="4" t="s">
        <v>536</v>
      </c>
      <c r="G1589" s="4" t="s">
        <v>537</v>
      </c>
      <c r="H1589" s="4" t="s">
        <v>69</v>
      </c>
      <c r="I1589" s="4" t="s">
        <v>94</v>
      </c>
      <c r="J1589" s="4" t="s">
        <v>28</v>
      </c>
      <c r="K1589" s="4" t="s">
        <v>27</v>
      </c>
      <c r="L1589" s="4" t="s">
        <v>28</v>
      </c>
      <c r="M1589" s="4" t="s">
        <v>34</v>
      </c>
      <c r="N1589" s="4" t="s">
        <v>28</v>
      </c>
    </row>
    <row r="1590" spans="1:14" ht="14.4" thickBot="1" x14ac:dyDescent="0.35">
      <c r="A1590" s="4" t="s">
        <v>19</v>
      </c>
      <c r="B1590" s="4" t="s">
        <v>505</v>
      </c>
      <c r="C1590" s="4" t="s">
        <v>526</v>
      </c>
      <c r="D1590" s="4" t="s">
        <v>527</v>
      </c>
      <c r="E1590" s="4" t="s">
        <v>87</v>
      </c>
      <c r="F1590" s="4" t="s">
        <v>538</v>
      </c>
      <c r="G1590" s="4" t="s">
        <v>539</v>
      </c>
      <c r="H1590" s="4" t="s">
        <v>26</v>
      </c>
      <c r="I1590" s="4" t="s">
        <v>33</v>
      </c>
      <c r="J1590" s="4" t="s">
        <v>27</v>
      </c>
      <c r="K1590" s="4" t="s">
        <v>28</v>
      </c>
      <c r="L1590" s="4" t="s">
        <v>28</v>
      </c>
      <c r="M1590" s="4" t="s">
        <v>34</v>
      </c>
      <c r="N1590" s="4" t="s">
        <v>28</v>
      </c>
    </row>
    <row r="1591" spans="1:14" ht="14.4" thickBot="1" x14ac:dyDescent="0.35">
      <c r="A1591" s="4" t="s">
        <v>19</v>
      </c>
      <c r="B1591" s="4" t="s">
        <v>505</v>
      </c>
      <c r="C1591" s="4" t="s">
        <v>526</v>
      </c>
      <c r="D1591" s="4" t="s">
        <v>527</v>
      </c>
      <c r="E1591" s="4" t="s">
        <v>87</v>
      </c>
      <c r="F1591" s="4" t="s">
        <v>596</v>
      </c>
      <c r="G1591" s="4" t="s">
        <v>597</v>
      </c>
      <c r="H1591" s="4" t="s">
        <v>26</v>
      </c>
      <c r="I1591" s="4" t="s">
        <v>135</v>
      </c>
      <c r="J1591" s="4" t="s">
        <v>27</v>
      </c>
      <c r="K1591" s="4" t="s">
        <v>28</v>
      </c>
      <c r="L1591" s="4" t="s">
        <v>28</v>
      </c>
      <c r="M1591" s="4" t="s">
        <v>29</v>
      </c>
      <c r="N1591" s="4" t="s">
        <v>28</v>
      </c>
    </row>
    <row r="1592" spans="1:14" ht="14.4" thickBot="1" x14ac:dyDescent="0.35">
      <c r="A1592" s="4" t="s">
        <v>19</v>
      </c>
      <c r="B1592" s="4" t="s">
        <v>505</v>
      </c>
      <c r="C1592" s="4" t="s">
        <v>526</v>
      </c>
      <c r="D1592" s="4" t="s">
        <v>527</v>
      </c>
      <c r="E1592" s="4" t="s">
        <v>87</v>
      </c>
      <c r="F1592" s="4" t="s">
        <v>598</v>
      </c>
      <c r="G1592" s="4" t="s">
        <v>599</v>
      </c>
      <c r="H1592" s="4" t="s">
        <v>38</v>
      </c>
      <c r="I1592" s="4" t="s">
        <v>38</v>
      </c>
      <c r="J1592" s="4" t="s">
        <v>28</v>
      </c>
      <c r="K1592" s="4" t="s">
        <v>28</v>
      </c>
      <c r="L1592" s="4" t="s">
        <v>27</v>
      </c>
      <c r="M1592" s="4" t="s">
        <v>375</v>
      </c>
      <c r="N1592" s="4" t="s">
        <v>28</v>
      </c>
    </row>
    <row r="1593" spans="1:14" ht="14.4" thickBot="1" x14ac:dyDescent="0.35">
      <c r="A1593" s="4" t="s">
        <v>19</v>
      </c>
      <c r="B1593" s="4" t="s">
        <v>505</v>
      </c>
      <c r="C1593" s="4" t="s">
        <v>526</v>
      </c>
      <c r="D1593" s="4" t="s">
        <v>527</v>
      </c>
      <c r="E1593" s="4" t="s">
        <v>87</v>
      </c>
      <c r="F1593" s="4" t="s">
        <v>600</v>
      </c>
      <c r="G1593" s="4" t="s">
        <v>601</v>
      </c>
      <c r="H1593" s="4" t="s">
        <v>190</v>
      </c>
      <c r="I1593" s="4" t="s">
        <v>38</v>
      </c>
      <c r="J1593" s="4" t="s">
        <v>28</v>
      </c>
      <c r="K1593" s="4" t="s">
        <v>28</v>
      </c>
      <c r="L1593" s="4" t="s">
        <v>27</v>
      </c>
      <c r="M1593" s="4" t="s">
        <v>375</v>
      </c>
      <c r="N1593" s="4" t="s">
        <v>28</v>
      </c>
    </row>
    <row r="1594" spans="1:14" ht="14.4" thickBot="1" x14ac:dyDescent="0.35">
      <c r="A1594" s="4" t="s">
        <v>19</v>
      </c>
      <c r="B1594" s="4" t="s">
        <v>505</v>
      </c>
      <c r="C1594" s="4" t="s">
        <v>526</v>
      </c>
      <c r="D1594" s="4" t="s">
        <v>527</v>
      </c>
      <c r="E1594" s="4" t="s">
        <v>87</v>
      </c>
      <c r="F1594" s="4" t="s">
        <v>602</v>
      </c>
      <c r="G1594" s="4" t="s">
        <v>603</v>
      </c>
      <c r="H1594" s="4" t="s">
        <v>190</v>
      </c>
      <c r="I1594" s="4" t="s">
        <v>38</v>
      </c>
      <c r="J1594" s="4" t="s">
        <v>28</v>
      </c>
      <c r="K1594" s="4" t="s">
        <v>28</v>
      </c>
      <c r="L1594" s="4" t="s">
        <v>27</v>
      </c>
      <c r="M1594" s="4" t="s">
        <v>29</v>
      </c>
      <c r="N1594" s="4" t="s">
        <v>28</v>
      </c>
    </row>
    <row r="1595" spans="1:14" ht="14.4" thickBot="1" x14ac:dyDescent="0.35">
      <c r="A1595" s="4" t="s">
        <v>19</v>
      </c>
      <c r="B1595" s="4" t="s">
        <v>505</v>
      </c>
      <c r="C1595" s="4" t="s">
        <v>526</v>
      </c>
      <c r="D1595" s="4" t="s">
        <v>527</v>
      </c>
      <c r="E1595" s="4" t="s">
        <v>87</v>
      </c>
      <c r="F1595" s="4" t="s">
        <v>1471</v>
      </c>
      <c r="G1595" s="4" t="s">
        <v>1472</v>
      </c>
      <c r="H1595" s="4" t="s">
        <v>116</v>
      </c>
      <c r="I1595" s="4" t="s">
        <v>38</v>
      </c>
      <c r="J1595" s="4" t="s">
        <v>28</v>
      </c>
      <c r="K1595" s="4" t="s">
        <v>28</v>
      </c>
      <c r="L1595" s="4" t="s">
        <v>27</v>
      </c>
      <c r="M1595" s="4" t="s">
        <v>34</v>
      </c>
      <c r="N1595" s="4" t="s">
        <v>28</v>
      </c>
    </row>
    <row r="1596" spans="1:14" ht="14.4" thickBot="1" x14ac:dyDescent="0.35">
      <c r="A1596" s="4" t="s">
        <v>19</v>
      </c>
      <c r="B1596" s="4" t="s">
        <v>505</v>
      </c>
      <c r="C1596" s="4" t="s">
        <v>526</v>
      </c>
      <c r="D1596" s="4" t="s">
        <v>527</v>
      </c>
      <c r="E1596" s="4" t="s">
        <v>87</v>
      </c>
      <c r="F1596" s="4" t="s">
        <v>1473</v>
      </c>
      <c r="G1596" s="4" t="s">
        <v>1474</v>
      </c>
      <c r="H1596" s="4" t="s">
        <v>37</v>
      </c>
      <c r="I1596" s="4" t="s">
        <v>38</v>
      </c>
      <c r="J1596" s="4" t="s">
        <v>28</v>
      </c>
      <c r="K1596" s="4" t="s">
        <v>28</v>
      </c>
      <c r="L1596" s="4" t="s">
        <v>27</v>
      </c>
      <c r="M1596" s="4" t="s">
        <v>34</v>
      </c>
      <c r="N1596" s="4" t="s">
        <v>27</v>
      </c>
    </row>
    <row r="1597" spans="1:14" ht="14.4" thickBot="1" x14ac:dyDescent="0.35">
      <c r="A1597" s="4" t="s">
        <v>19</v>
      </c>
      <c r="B1597" s="4" t="s">
        <v>505</v>
      </c>
      <c r="C1597" s="4" t="s">
        <v>526</v>
      </c>
      <c r="D1597" s="4" t="s">
        <v>527</v>
      </c>
      <c r="E1597" s="4" t="s">
        <v>87</v>
      </c>
      <c r="F1597" s="4" t="s">
        <v>1475</v>
      </c>
      <c r="G1597" s="4" t="s">
        <v>1476</v>
      </c>
      <c r="H1597" s="4" t="s">
        <v>26</v>
      </c>
      <c r="I1597" s="4" t="s">
        <v>33</v>
      </c>
      <c r="J1597" s="4" t="s">
        <v>27</v>
      </c>
      <c r="K1597" s="4" t="s">
        <v>28</v>
      </c>
      <c r="L1597" s="4" t="s">
        <v>28</v>
      </c>
      <c r="M1597" s="4" t="s">
        <v>34</v>
      </c>
      <c r="N1597" s="4" t="s">
        <v>28</v>
      </c>
    </row>
    <row r="1598" spans="1:14" ht="14.4" thickBot="1" x14ac:dyDescent="0.35">
      <c r="A1598" s="4" t="s">
        <v>19</v>
      </c>
      <c r="B1598" s="4" t="s">
        <v>505</v>
      </c>
      <c r="C1598" s="4" t="s">
        <v>526</v>
      </c>
      <c r="D1598" s="4" t="s">
        <v>527</v>
      </c>
      <c r="E1598" s="4" t="s">
        <v>87</v>
      </c>
      <c r="F1598" s="4" t="s">
        <v>1540</v>
      </c>
      <c r="G1598" s="4" t="s">
        <v>1541</v>
      </c>
      <c r="H1598" s="4" t="s">
        <v>135</v>
      </c>
      <c r="I1598" s="4" t="s">
        <v>38</v>
      </c>
      <c r="J1598" s="5"/>
      <c r="K1598" s="5"/>
      <c r="L1598" s="5"/>
      <c r="M1598" s="4" t="s">
        <v>29</v>
      </c>
      <c r="N1598" s="5"/>
    </row>
    <row r="1599" spans="1:14" ht="14.4" thickBot="1" x14ac:dyDescent="0.35">
      <c r="A1599" s="4" t="s">
        <v>19</v>
      </c>
      <c r="B1599" s="4" t="s">
        <v>505</v>
      </c>
      <c r="C1599" s="4" t="s">
        <v>526</v>
      </c>
      <c r="D1599" s="4" t="s">
        <v>527</v>
      </c>
      <c r="E1599" s="4" t="s">
        <v>87</v>
      </c>
      <c r="F1599" s="4" t="s">
        <v>2215</v>
      </c>
      <c r="G1599" s="4" t="s">
        <v>2216</v>
      </c>
      <c r="H1599" s="4" t="s">
        <v>69</v>
      </c>
      <c r="I1599" s="4" t="s">
        <v>94</v>
      </c>
      <c r="J1599" s="4" t="s">
        <v>28</v>
      </c>
      <c r="K1599" s="4" t="s">
        <v>27</v>
      </c>
      <c r="L1599" s="4" t="s">
        <v>28</v>
      </c>
      <c r="M1599" s="4" t="s">
        <v>34</v>
      </c>
      <c r="N1599" s="4" t="s">
        <v>28</v>
      </c>
    </row>
    <row r="1600" spans="1:14" ht="14.4" thickBot="1" x14ac:dyDescent="0.35">
      <c r="A1600" s="4" t="s">
        <v>19</v>
      </c>
      <c r="B1600" s="4" t="s">
        <v>505</v>
      </c>
      <c r="C1600" s="4" t="s">
        <v>526</v>
      </c>
      <c r="D1600" s="4" t="s">
        <v>527</v>
      </c>
      <c r="E1600" s="4" t="s">
        <v>87</v>
      </c>
      <c r="F1600" s="4" t="s">
        <v>2217</v>
      </c>
      <c r="G1600" s="4" t="s">
        <v>2218</v>
      </c>
      <c r="H1600" s="4" t="s">
        <v>37</v>
      </c>
      <c r="I1600" s="4" t="s">
        <v>38</v>
      </c>
      <c r="J1600" s="4" t="s">
        <v>28</v>
      </c>
      <c r="K1600" s="4" t="s">
        <v>28</v>
      </c>
      <c r="L1600" s="4" t="s">
        <v>27</v>
      </c>
      <c r="M1600" s="4" t="s">
        <v>34</v>
      </c>
      <c r="N1600" s="4" t="s">
        <v>28</v>
      </c>
    </row>
    <row r="1601" spans="1:14" ht="14.4" thickBot="1" x14ac:dyDescent="0.35">
      <c r="A1601" s="4" t="s">
        <v>19</v>
      </c>
      <c r="B1601" s="4" t="s">
        <v>505</v>
      </c>
      <c r="C1601" s="4" t="s">
        <v>526</v>
      </c>
      <c r="D1601" s="4" t="s">
        <v>527</v>
      </c>
      <c r="E1601" s="4" t="s">
        <v>87</v>
      </c>
      <c r="F1601" s="4" t="s">
        <v>2258</v>
      </c>
      <c r="G1601" s="4" t="s">
        <v>2259</v>
      </c>
      <c r="H1601" s="4" t="s">
        <v>190</v>
      </c>
      <c r="I1601" s="4" t="s">
        <v>38</v>
      </c>
      <c r="J1601" s="4" t="s">
        <v>28</v>
      </c>
      <c r="K1601" s="4" t="s">
        <v>28</v>
      </c>
      <c r="L1601" s="4" t="s">
        <v>27</v>
      </c>
      <c r="M1601" s="4" t="s">
        <v>29</v>
      </c>
      <c r="N1601" s="4" t="s">
        <v>28</v>
      </c>
    </row>
    <row r="1602" spans="1:14" ht="14.4" thickBot="1" x14ac:dyDescent="0.35">
      <c r="A1602" s="4" t="s">
        <v>19</v>
      </c>
      <c r="B1602" s="4" t="s">
        <v>505</v>
      </c>
      <c r="C1602" s="4" t="s">
        <v>526</v>
      </c>
      <c r="D1602" s="4" t="s">
        <v>527</v>
      </c>
      <c r="E1602" s="4" t="s">
        <v>87</v>
      </c>
      <c r="F1602" s="4" t="s">
        <v>2949</v>
      </c>
      <c r="G1602" s="4" t="s">
        <v>2950</v>
      </c>
      <c r="H1602" s="4" t="s">
        <v>69</v>
      </c>
      <c r="I1602" s="4" t="s">
        <v>38</v>
      </c>
      <c r="J1602" s="4" t="s">
        <v>28</v>
      </c>
      <c r="K1602" s="4" t="s">
        <v>28</v>
      </c>
      <c r="L1602" s="4" t="s">
        <v>27</v>
      </c>
      <c r="M1602" s="4" t="s">
        <v>34</v>
      </c>
      <c r="N1602" s="4" t="s">
        <v>27</v>
      </c>
    </row>
    <row r="1603" spans="1:14" ht="14.4" thickBot="1" x14ac:dyDescent="0.35">
      <c r="A1603" s="4" t="s">
        <v>19</v>
      </c>
      <c r="B1603" s="4" t="s">
        <v>505</v>
      </c>
      <c r="C1603" s="4" t="s">
        <v>526</v>
      </c>
      <c r="D1603" s="4" t="s">
        <v>527</v>
      </c>
      <c r="E1603" s="4" t="s">
        <v>87</v>
      </c>
      <c r="F1603" s="4" t="s">
        <v>2951</v>
      </c>
      <c r="G1603" s="4" t="s">
        <v>2952</v>
      </c>
      <c r="H1603" s="4" t="s">
        <v>116</v>
      </c>
      <c r="I1603" s="4" t="s">
        <v>38</v>
      </c>
      <c r="J1603" s="4" t="s">
        <v>28</v>
      </c>
      <c r="K1603" s="4" t="s">
        <v>28</v>
      </c>
      <c r="L1603" s="4" t="s">
        <v>27</v>
      </c>
      <c r="M1603" s="4" t="s">
        <v>34</v>
      </c>
      <c r="N1603" s="4" t="s">
        <v>28</v>
      </c>
    </row>
    <row r="1604" spans="1:14" ht="14.4" thickBot="1" x14ac:dyDescent="0.35">
      <c r="A1604" s="4" t="s">
        <v>19</v>
      </c>
      <c r="B1604" s="4" t="s">
        <v>505</v>
      </c>
      <c r="C1604" s="4" t="s">
        <v>526</v>
      </c>
      <c r="D1604" s="4" t="s">
        <v>527</v>
      </c>
      <c r="E1604" s="4" t="s">
        <v>87</v>
      </c>
      <c r="F1604" s="4" t="s">
        <v>2953</v>
      </c>
      <c r="G1604" s="4" t="s">
        <v>2954</v>
      </c>
      <c r="H1604" s="4" t="s">
        <v>26</v>
      </c>
      <c r="I1604" s="4" t="s">
        <v>33</v>
      </c>
      <c r="J1604" s="4" t="s">
        <v>27</v>
      </c>
      <c r="K1604" s="4" t="s">
        <v>28</v>
      </c>
      <c r="L1604" s="4" t="s">
        <v>28</v>
      </c>
      <c r="M1604" s="4" t="s">
        <v>34</v>
      </c>
      <c r="N1604" s="4" t="s">
        <v>28</v>
      </c>
    </row>
    <row r="1605" spans="1:14" ht="14.4" thickBot="1" x14ac:dyDescent="0.35">
      <c r="A1605" s="4" t="s">
        <v>19</v>
      </c>
      <c r="B1605" s="4" t="s">
        <v>505</v>
      </c>
      <c r="C1605" s="4" t="s">
        <v>526</v>
      </c>
      <c r="D1605" s="4" t="s">
        <v>527</v>
      </c>
      <c r="E1605" s="4" t="s">
        <v>87</v>
      </c>
      <c r="F1605" s="4" t="s">
        <v>2955</v>
      </c>
      <c r="G1605" s="4" t="s">
        <v>2956</v>
      </c>
      <c r="H1605" s="4" t="s">
        <v>37</v>
      </c>
      <c r="I1605" s="4" t="s">
        <v>38</v>
      </c>
      <c r="J1605" s="4" t="s">
        <v>28</v>
      </c>
      <c r="K1605" s="4" t="s">
        <v>28</v>
      </c>
      <c r="L1605" s="4" t="s">
        <v>27</v>
      </c>
      <c r="M1605" s="4" t="s">
        <v>34</v>
      </c>
      <c r="N1605" s="4" t="s">
        <v>28</v>
      </c>
    </row>
    <row r="1606" spans="1:14" ht="14.4" thickBot="1" x14ac:dyDescent="0.35">
      <c r="A1606" s="4" t="s">
        <v>19</v>
      </c>
      <c r="B1606" s="4" t="s">
        <v>505</v>
      </c>
      <c r="C1606" s="4" t="s">
        <v>526</v>
      </c>
      <c r="D1606" s="4" t="s">
        <v>527</v>
      </c>
      <c r="E1606" s="4" t="s">
        <v>87</v>
      </c>
      <c r="F1606" s="4" t="s">
        <v>2957</v>
      </c>
      <c r="G1606" s="4" t="s">
        <v>2958</v>
      </c>
      <c r="H1606" s="4" t="s">
        <v>26</v>
      </c>
      <c r="I1606" s="4" t="s">
        <v>33</v>
      </c>
      <c r="J1606" s="4" t="s">
        <v>27</v>
      </c>
      <c r="K1606" s="4" t="s">
        <v>28</v>
      </c>
      <c r="L1606" s="4" t="s">
        <v>28</v>
      </c>
      <c r="M1606" s="4" t="s">
        <v>34</v>
      </c>
      <c r="N1606" s="4" t="s">
        <v>28</v>
      </c>
    </row>
    <row r="1607" spans="1:14" ht="14.4" thickBot="1" x14ac:dyDescent="0.35">
      <c r="A1607" s="4" t="s">
        <v>19</v>
      </c>
      <c r="B1607" s="4" t="s">
        <v>505</v>
      </c>
      <c r="C1607" s="4" t="s">
        <v>526</v>
      </c>
      <c r="D1607" s="4" t="s">
        <v>527</v>
      </c>
      <c r="E1607" s="4" t="s">
        <v>87</v>
      </c>
      <c r="F1607" s="4" t="s">
        <v>3017</v>
      </c>
      <c r="G1607" s="4" t="s">
        <v>3018</v>
      </c>
      <c r="H1607" s="4" t="s">
        <v>26</v>
      </c>
      <c r="I1607" s="4" t="s">
        <v>26</v>
      </c>
      <c r="J1607" s="4" t="s">
        <v>27</v>
      </c>
      <c r="K1607" s="4" t="s">
        <v>28</v>
      </c>
      <c r="L1607" s="4" t="s">
        <v>28</v>
      </c>
      <c r="M1607" s="4" t="s">
        <v>29</v>
      </c>
      <c r="N1607" s="4" t="s">
        <v>28</v>
      </c>
    </row>
    <row r="1608" spans="1:14" ht="14.4" thickBot="1" x14ac:dyDescent="0.35">
      <c r="A1608" s="4" t="s">
        <v>19</v>
      </c>
      <c r="B1608" s="4" t="s">
        <v>505</v>
      </c>
      <c r="C1608" s="4" t="s">
        <v>526</v>
      </c>
      <c r="D1608" s="4" t="s">
        <v>527</v>
      </c>
      <c r="E1608" s="4" t="s">
        <v>87</v>
      </c>
      <c r="F1608" s="4" t="s">
        <v>3019</v>
      </c>
      <c r="G1608" s="4" t="s">
        <v>3020</v>
      </c>
      <c r="H1608" s="4" t="s">
        <v>26</v>
      </c>
      <c r="I1608" s="4" t="s">
        <v>38</v>
      </c>
      <c r="J1608" s="4" t="s">
        <v>28</v>
      </c>
      <c r="K1608" s="4" t="s">
        <v>28</v>
      </c>
      <c r="L1608" s="4" t="s">
        <v>27</v>
      </c>
      <c r="M1608" s="4" t="s">
        <v>375</v>
      </c>
      <c r="N1608" s="4" t="s">
        <v>28</v>
      </c>
    </row>
    <row r="1609" spans="1:14" ht="14.4" thickBot="1" x14ac:dyDescent="0.35">
      <c r="A1609" s="4" t="s">
        <v>19</v>
      </c>
      <c r="B1609" s="4" t="s">
        <v>505</v>
      </c>
      <c r="C1609" s="4" t="s">
        <v>526</v>
      </c>
      <c r="D1609" s="4" t="s">
        <v>527</v>
      </c>
      <c r="E1609" s="4" t="s">
        <v>87</v>
      </c>
      <c r="F1609" s="4" t="s">
        <v>3021</v>
      </c>
      <c r="G1609" s="4" t="s">
        <v>3022</v>
      </c>
      <c r="H1609" s="4" t="s">
        <v>26</v>
      </c>
      <c r="I1609" s="4" t="s">
        <v>26</v>
      </c>
      <c r="J1609" s="4" t="s">
        <v>27</v>
      </c>
      <c r="K1609" s="4" t="s">
        <v>28</v>
      </c>
      <c r="L1609" s="4" t="s">
        <v>28</v>
      </c>
      <c r="M1609" s="4" t="s">
        <v>130</v>
      </c>
      <c r="N1609" s="4" t="s">
        <v>28</v>
      </c>
    </row>
    <row r="1610" spans="1:14" ht="14.4" thickBot="1" x14ac:dyDescent="0.35">
      <c r="A1610" s="4" t="s">
        <v>19</v>
      </c>
      <c r="B1610" s="4" t="s">
        <v>505</v>
      </c>
      <c r="C1610" s="4" t="s">
        <v>526</v>
      </c>
      <c r="D1610" s="4" t="s">
        <v>527</v>
      </c>
      <c r="E1610" s="4" t="s">
        <v>87</v>
      </c>
      <c r="F1610" s="4" t="s">
        <v>3699</v>
      </c>
      <c r="G1610" s="4" t="s">
        <v>3700</v>
      </c>
      <c r="H1610" s="4" t="s">
        <v>116</v>
      </c>
      <c r="I1610" s="4" t="s">
        <v>94</v>
      </c>
      <c r="J1610" s="4" t="s">
        <v>27</v>
      </c>
      <c r="K1610" s="4" t="s">
        <v>28</v>
      </c>
      <c r="L1610" s="4" t="s">
        <v>28</v>
      </c>
      <c r="M1610" s="4" t="s">
        <v>34</v>
      </c>
      <c r="N1610" s="4" t="s">
        <v>27</v>
      </c>
    </row>
    <row r="1611" spans="1:14" ht="14.4" thickBot="1" x14ac:dyDescent="0.35">
      <c r="A1611" s="4" t="s">
        <v>19</v>
      </c>
      <c r="B1611" s="4" t="s">
        <v>505</v>
      </c>
      <c r="C1611" s="4" t="s">
        <v>526</v>
      </c>
      <c r="D1611" s="4" t="s">
        <v>527</v>
      </c>
      <c r="E1611" s="4" t="s">
        <v>87</v>
      </c>
      <c r="F1611" s="4" t="s">
        <v>3701</v>
      </c>
      <c r="G1611" s="4" t="s">
        <v>3702</v>
      </c>
      <c r="H1611" s="4" t="s">
        <v>61</v>
      </c>
      <c r="I1611" s="4" t="s">
        <v>33</v>
      </c>
      <c r="J1611" s="4" t="s">
        <v>27</v>
      </c>
      <c r="K1611" s="4" t="s">
        <v>28</v>
      </c>
      <c r="L1611" s="4" t="s">
        <v>28</v>
      </c>
      <c r="M1611" s="4" t="s">
        <v>34</v>
      </c>
      <c r="N1611" s="4" t="s">
        <v>28</v>
      </c>
    </row>
    <row r="1612" spans="1:14" ht="14.4" thickBot="1" x14ac:dyDescent="0.35">
      <c r="A1612" s="4" t="s">
        <v>19</v>
      </c>
      <c r="B1612" s="4" t="s">
        <v>505</v>
      </c>
      <c r="C1612" s="4" t="s">
        <v>526</v>
      </c>
      <c r="D1612" s="4" t="s">
        <v>527</v>
      </c>
      <c r="E1612" s="4" t="s">
        <v>87</v>
      </c>
      <c r="F1612" s="4" t="s">
        <v>3703</v>
      </c>
      <c r="G1612" s="4" t="s">
        <v>422</v>
      </c>
      <c r="H1612" s="4" t="s">
        <v>69</v>
      </c>
      <c r="I1612" s="4" t="s">
        <v>94</v>
      </c>
      <c r="J1612" s="4" t="s">
        <v>28</v>
      </c>
      <c r="K1612" s="4" t="s">
        <v>27</v>
      </c>
      <c r="L1612" s="4" t="s">
        <v>28</v>
      </c>
      <c r="M1612" s="4" t="s">
        <v>34</v>
      </c>
      <c r="N1612" s="4" t="s">
        <v>28</v>
      </c>
    </row>
    <row r="1613" spans="1:14" ht="14.4" thickBot="1" x14ac:dyDescent="0.35">
      <c r="A1613" s="4" t="s">
        <v>19</v>
      </c>
      <c r="B1613" s="4" t="s">
        <v>505</v>
      </c>
      <c r="C1613" s="4" t="s">
        <v>526</v>
      </c>
      <c r="D1613" s="4" t="s">
        <v>527</v>
      </c>
      <c r="E1613" s="4" t="s">
        <v>87</v>
      </c>
      <c r="F1613" s="4" t="s">
        <v>3748</v>
      </c>
      <c r="G1613" s="4" t="s">
        <v>3749</v>
      </c>
      <c r="H1613" s="4" t="s">
        <v>190</v>
      </c>
      <c r="I1613" s="4" t="s">
        <v>38</v>
      </c>
      <c r="J1613" s="4" t="s">
        <v>28</v>
      </c>
      <c r="K1613" s="4" t="s">
        <v>28</v>
      </c>
      <c r="L1613" s="4" t="s">
        <v>27</v>
      </c>
      <c r="M1613" s="4" t="s">
        <v>375</v>
      </c>
      <c r="N1613" s="4" t="s">
        <v>28</v>
      </c>
    </row>
    <row r="1614" spans="1:14" ht="14.4" thickBot="1" x14ac:dyDescent="0.35">
      <c r="A1614" s="4" t="s">
        <v>19</v>
      </c>
      <c r="B1614" s="4" t="s">
        <v>505</v>
      </c>
      <c r="C1614" s="4" t="s">
        <v>526</v>
      </c>
      <c r="D1614" s="4" t="s">
        <v>527</v>
      </c>
      <c r="E1614" s="4" t="s">
        <v>87</v>
      </c>
      <c r="F1614" s="4" t="s">
        <v>3750</v>
      </c>
      <c r="G1614" s="4" t="s">
        <v>3751</v>
      </c>
      <c r="H1614" s="4" t="s">
        <v>190</v>
      </c>
      <c r="I1614" s="4" t="s">
        <v>38</v>
      </c>
      <c r="J1614" s="4" t="s">
        <v>28</v>
      </c>
      <c r="K1614" s="4" t="s">
        <v>28</v>
      </c>
      <c r="L1614" s="4" t="s">
        <v>27</v>
      </c>
      <c r="M1614" s="4" t="s">
        <v>29</v>
      </c>
      <c r="N1614" s="4" t="s">
        <v>28</v>
      </c>
    </row>
    <row r="1615" spans="1:14" ht="14.4" thickBot="1" x14ac:dyDescent="0.35">
      <c r="A1615" s="4" t="s">
        <v>19</v>
      </c>
      <c r="B1615" s="4" t="s">
        <v>505</v>
      </c>
      <c r="C1615" s="4" t="s">
        <v>526</v>
      </c>
      <c r="D1615" s="4" t="s">
        <v>527</v>
      </c>
      <c r="E1615" s="4" t="s">
        <v>87</v>
      </c>
      <c r="F1615" s="4" t="s">
        <v>3752</v>
      </c>
      <c r="G1615" s="4" t="s">
        <v>3753</v>
      </c>
      <c r="H1615" s="4" t="s">
        <v>26</v>
      </c>
      <c r="I1615" s="4" t="s">
        <v>26</v>
      </c>
      <c r="J1615" s="4" t="s">
        <v>27</v>
      </c>
      <c r="K1615" s="4" t="s">
        <v>28</v>
      </c>
      <c r="L1615" s="4" t="s">
        <v>28</v>
      </c>
      <c r="M1615" s="4" t="s">
        <v>130</v>
      </c>
      <c r="N1615" s="4" t="s">
        <v>28</v>
      </c>
    </row>
    <row r="1616" spans="1:14" ht="14.4" thickBot="1" x14ac:dyDescent="0.35">
      <c r="A1616" s="4" t="s">
        <v>19</v>
      </c>
      <c r="B1616" s="4" t="s">
        <v>505</v>
      </c>
      <c r="C1616" s="4" t="s">
        <v>526</v>
      </c>
      <c r="D1616" s="4" t="s">
        <v>527</v>
      </c>
      <c r="E1616" s="4" t="s">
        <v>87</v>
      </c>
      <c r="F1616" s="4" t="s">
        <v>4471</v>
      </c>
      <c r="G1616" s="4" t="s">
        <v>4472</v>
      </c>
      <c r="H1616" s="4" t="s">
        <v>26</v>
      </c>
      <c r="I1616" s="4" t="s">
        <v>33</v>
      </c>
      <c r="J1616" s="4" t="s">
        <v>27</v>
      </c>
      <c r="K1616" s="4" t="s">
        <v>28</v>
      </c>
      <c r="L1616" s="4" t="s">
        <v>28</v>
      </c>
      <c r="M1616" s="4" t="s">
        <v>34</v>
      </c>
      <c r="N1616" s="4" t="s">
        <v>28</v>
      </c>
    </row>
    <row r="1617" spans="1:14" ht="14.4" thickBot="1" x14ac:dyDescent="0.35">
      <c r="A1617" s="4" t="s">
        <v>19</v>
      </c>
      <c r="B1617" s="4" t="s">
        <v>505</v>
      </c>
      <c r="C1617" s="4" t="s">
        <v>526</v>
      </c>
      <c r="D1617" s="4" t="s">
        <v>527</v>
      </c>
      <c r="E1617" s="4" t="s">
        <v>87</v>
      </c>
      <c r="F1617" s="4" t="s">
        <v>4473</v>
      </c>
      <c r="G1617" s="4" t="s">
        <v>4474</v>
      </c>
      <c r="H1617" s="4" t="s">
        <v>135</v>
      </c>
      <c r="I1617" s="4" t="s">
        <v>38</v>
      </c>
      <c r="J1617" s="4" t="s">
        <v>28</v>
      </c>
      <c r="K1617" s="4" t="s">
        <v>28</v>
      </c>
      <c r="L1617" s="4" t="s">
        <v>27</v>
      </c>
      <c r="M1617" s="4" t="s">
        <v>34</v>
      </c>
      <c r="N1617" s="4" t="s">
        <v>27</v>
      </c>
    </row>
    <row r="1618" spans="1:14" ht="14.4" thickBot="1" x14ac:dyDescent="0.35">
      <c r="A1618" s="4" t="s">
        <v>19</v>
      </c>
      <c r="B1618" s="4" t="s">
        <v>505</v>
      </c>
      <c r="C1618" s="4" t="s">
        <v>526</v>
      </c>
      <c r="D1618" s="4" t="s">
        <v>527</v>
      </c>
      <c r="E1618" s="4" t="s">
        <v>87</v>
      </c>
      <c r="F1618" s="4" t="s">
        <v>4475</v>
      </c>
      <c r="G1618" s="4" t="s">
        <v>4476</v>
      </c>
      <c r="H1618" s="4" t="s">
        <v>135</v>
      </c>
      <c r="I1618" s="4" t="s">
        <v>1005</v>
      </c>
      <c r="J1618" s="4" t="s">
        <v>28</v>
      </c>
      <c r="K1618" s="4" t="s">
        <v>28</v>
      </c>
      <c r="L1618" s="4" t="s">
        <v>27</v>
      </c>
      <c r="M1618" s="4" t="s">
        <v>34</v>
      </c>
      <c r="N1618" s="4" t="s">
        <v>27</v>
      </c>
    </row>
    <row r="1619" spans="1:14" ht="14.4" thickBot="1" x14ac:dyDescent="0.35">
      <c r="A1619" s="4" t="s">
        <v>19</v>
      </c>
      <c r="B1619" s="4" t="s">
        <v>505</v>
      </c>
      <c r="C1619" s="4" t="s">
        <v>526</v>
      </c>
      <c r="D1619" s="4" t="s">
        <v>527</v>
      </c>
      <c r="E1619" s="4" t="s">
        <v>87</v>
      </c>
      <c r="F1619" s="4" t="s">
        <v>4477</v>
      </c>
      <c r="G1619" s="4" t="s">
        <v>4478</v>
      </c>
      <c r="H1619" s="4" t="s">
        <v>26</v>
      </c>
      <c r="I1619" s="4" t="s">
        <v>33</v>
      </c>
      <c r="J1619" s="4" t="s">
        <v>27</v>
      </c>
      <c r="K1619" s="4" t="s">
        <v>28</v>
      </c>
      <c r="L1619" s="4" t="s">
        <v>28</v>
      </c>
      <c r="M1619" s="4" t="s">
        <v>34</v>
      </c>
      <c r="N1619" s="4" t="s">
        <v>28</v>
      </c>
    </row>
    <row r="1620" spans="1:14" ht="14.4" thickBot="1" x14ac:dyDescent="0.35">
      <c r="A1620" s="4" t="s">
        <v>19</v>
      </c>
      <c r="B1620" s="4" t="s">
        <v>505</v>
      </c>
      <c r="C1620" s="4" t="s">
        <v>526</v>
      </c>
      <c r="D1620" s="4" t="s">
        <v>527</v>
      </c>
      <c r="E1620" s="4" t="s">
        <v>87</v>
      </c>
      <c r="F1620" s="4" t="s">
        <v>4479</v>
      </c>
      <c r="G1620" s="4" t="s">
        <v>4480</v>
      </c>
      <c r="H1620" s="4" t="s">
        <v>116</v>
      </c>
      <c r="I1620" s="4" t="s">
        <v>94</v>
      </c>
      <c r="J1620" s="4" t="s">
        <v>27</v>
      </c>
      <c r="K1620" s="4" t="s">
        <v>28</v>
      </c>
      <c r="L1620" s="4" t="s">
        <v>28</v>
      </c>
      <c r="M1620" s="4" t="s">
        <v>34</v>
      </c>
      <c r="N1620" s="4" t="s">
        <v>27</v>
      </c>
    </row>
    <row r="1621" spans="1:14" ht="14.4" thickBot="1" x14ac:dyDescent="0.35">
      <c r="A1621" s="4" t="s">
        <v>19</v>
      </c>
      <c r="B1621" s="4" t="s">
        <v>505</v>
      </c>
      <c r="C1621" s="4" t="s">
        <v>526</v>
      </c>
      <c r="D1621" s="4" t="s">
        <v>527</v>
      </c>
      <c r="E1621" s="4" t="s">
        <v>87</v>
      </c>
      <c r="F1621" s="4" t="s">
        <v>4481</v>
      </c>
      <c r="G1621" s="4" t="s">
        <v>4482</v>
      </c>
      <c r="H1621" s="4" t="s">
        <v>37</v>
      </c>
      <c r="I1621" s="4" t="s">
        <v>38</v>
      </c>
      <c r="J1621" s="4" t="s">
        <v>28</v>
      </c>
      <c r="K1621" s="4" t="s">
        <v>28</v>
      </c>
      <c r="L1621" s="4" t="s">
        <v>27</v>
      </c>
      <c r="M1621" s="4" t="s">
        <v>34</v>
      </c>
      <c r="N1621" s="4" t="s">
        <v>28</v>
      </c>
    </row>
    <row r="1622" spans="1:14" ht="14.4" thickBot="1" x14ac:dyDescent="0.35">
      <c r="A1622" s="4" t="s">
        <v>19</v>
      </c>
      <c r="B1622" s="4" t="s">
        <v>505</v>
      </c>
      <c r="C1622" s="4" t="s">
        <v>526</v>
      </c>
      <c r="D1622" s="4" t="s">
        <v>527</v>
      </c>
      <c r="E1622" s="4" t="s">
        <v>87</v>
      </c>
      <c r="F1622" s="4" t="s">
        <v>4483</v>
      </c>
      <c r="G1622" s="4" t="s">
        <v>4484</v>
      </c>
      <c r="H1622" s="4" t="s">
        <v>26</v>
      </c>
      <c r="I1622" s="4" t="s">
        <v>33</v>
      </c>
      <c r="J1622" s="4" t="s">
        <v>27</v>
      </c>
      <c r="K1622" s="4" t="s">
        <v>28</v>
      </c>
      <c r="L1622" s="4" t="s">
        <v>28</v>
      </c>
      <c r="M1622" s="4" t="s">
        <v>34</v>
      </c>
      <c r="N1622" s="4" t="s">
        <v>28</v>
      </c>
    </row>
    <row r="1623" spans="1:14" ht="14.4" thickBot="1" x14ac:dyDescent="0.35">
      <c r="A1623" s="4" t="s">
        <v>19</v>
      </c>
      <c r="B1623" s="4" t="s">
        <v>505</v>
      </c>
      <c r="C1623" s="4" t="s">
        <v>526</v>
      </c>
      <c r="D1623" s="4" t="s">
        <v>527</v>
      </c>
      <c r="E1623" s="4" t="s">
        <v>87</v>
      </c>
      <c r="F1623" s="4" t="s">
        <v>4485</v>
      </c>
      <c r="G1623" s="4" t="s">
        <v>4486</v>
      </c>
      <c r="H1623" s="4" t="s">
        <v>26</v>
      </c>
      <c r="I1623" s="4" t="s">
        <v>33</v>
      </c>
      <c r="J1623" s="4" t="s">
        <v>27</v>
      </c>
      <c r="K1623" s="4" t="s">
        <v>28</v>
      </c>
      <c r="L1623" s="4" t="s">
        <v>28</v>
      </c>
      <c r="M1623" s="4" t="s">
        <v>34</v>
      </c>
      <c r="N1623" s="4" t="s">
        <v>28</v>
      </c>
    </row>
    <row r="1624" spans="1:14" ht="14.4" thickBot="1" x14ac:dyDescent="0.35">
      <c r="A1624" s="4" t="s">
        <v>19</v>
      </c>
      <c r="B1624" s="4" t="s">
        <v>505</v>
      </c>
      <c r="C1624" s="4" t="s">
        <v>526</v>
      </c>
      <c r="D1624" s="4" t="s">
        <v>527</v>
      </c>
      <c r="E1624" s="4" t="s">
        <v>87</v>
      </c>
      <c r="F1624" s="4" t="s">
        <v>4523</v>
      </c>
      <c r="G1624" s="4" t="s">
        <v>4524</v>
      </c>
      <c r="H1624" s="4" t="s">
        <v>190</v>
      </c>
      <c r="I1624" s="4" t="s">
        <v>38</v>
      </c>
      <c r="J1624" s="4" t="s">
        <v>28</v>
      </c>
      <c r="K1624" s="4" t="s">
        <v>28</v>
      </c>
      <c r="L1624" s="4" t="s">
        <v>27</v>
      </c>
      <c r="M1624" s="4" t="s">
        <v>29</v>
      </c>
      <c r="N1624" s="4" t="s">
        <v>28</v>
      </c>
    </row>
    <row r="1625" spans="1:14" ht="14.4" thickBot="1" x14ac:dyDescent="0.35">
      <c r="A1625" s="4" t="s">
        <v>19</v>
      </c>
      <c r="B1625" s="4" t="s">
        <v>505</v>
      </c>
      <c r="C1625" s="4" t="s">
        <v>526</v>
      </c>
      <c r="D1625" s="4" t="s">
        <v>527</v>
      </c>
      <c r="E1625" s="4" t="s">
        <v>87</v>
      </c>
      <c r="F1625" s="4" t="s">
        <v>5165</v>
      </c>
      <c r="G1625" s="4" t="s">
        <v>5166</v>
      </c>
      <c r="H1625" s="4" t="s">
        <v>37</v>
      </c>
      <c r="I1625" s="4" t="s">
        <v>38</v>
      </c>
      <c r="J1625" s="4" t="s">
        <v>28</v>
      </c>
      <c r="K1625" s="4" t="s">
        <v>28</v>
      </c>
      <c r="L1625" s="4" t="s">
        <v>27</v>
      </c>
      <c r="M1625" s="4" t="s">
        <v>34</v>
      </c>
      <c r="N1625" s="4" t="s">
        <v>28</v>
      </c>
    </row>
    <row r="1626" spans="1:14" ht="14.4" thickBot="1" x14ac:dyDescent="0.35">
      <c r="A1626" s="4" t="s">
        <v>19</v>
      </c>
      <c r="B1626" s="4" t="s">
        <v>505</v>
      </c>
      <c r="C1626" s="4" t="s">
        <v>526</v>
      </c>
      <c r="D1626" s="4" t="s">
        <v>527</v>
      </c>
      <c r="E1626" s="4" t="s">
        <v>87</v>
      </c>
      <c r="F1626" s="4" t="s">
        <v>5167</v>
      </c>
      <c r="G1626" s="4" t="s">
        <v>5168</v>
      </c>
      <c r="H1626" s="4" t="s">
        <v>135</v>
      </c>
      <c r="I1626" s="4" t="s">
        <v>38</v>
      </c>
      <c r="J1626" s="4" t="s">
        <v>28</v>
      </c>
      <c r="K1626" s="4" t="s">
        <v>28</v>
      </c>
      <c r="L1626" s="4" t="s">
        <v>27</v>
      </c>
      <c r="M1626" s="4" t="s">
        <v>34</v>
      </c>
      <c r="N1626" s="4" t="s">
        <v>28</v>
      </c>
    </row>
    <row r="1627" spans="1:14" ht="14.4" thickBot="1" x14ac:dyDescent="0.35">
      <c r="A1627" s="4" t="s">
        <v>19</v>
      </c>
      <c r="B1627" s="4" t="s">
        <v>505</v>
      </c>
      <c r="C1627" s="4" t="s">
        <v>526</v>
      </c>
      <c r="D1627" s="4" t="s">
        <v>527</v>
      </c>
      <c r="E1627" s="4" t="s">
        <v>87</v>
      </c>
      <c r="F1627" s="4" t="s">
        <v>5212</v>
      </c>
      <c r="G1627" s="4" t="s">
        <v>5213</v>
      </c>
      <c r="H1627" s="4" t="s">
        <v>26</v>
      </c>
      <c r="I1627" s="4" t="s">
        <v>38</v>
      </c>
      <c r="J1627" s="4" t="s">
        <v>28</v>
      </c>
      <c r="K1627" s="4" t="s">
        <v>28</v>
      </c>
      <c r="L1627" s="4" t="s">
        <v>27</v>
      </c>
      <c r="M1627" s="4" t="s">
        <v>375</v>
      </c>
      <c r="N1627" s="4" t="s">
        <v>28</v>
      </c>
    </row>
    <row r="1628" spans="1:14" ht="14.4" thickBot="1" x14ac:dyDescent="0.35">
      <c r="A1628" s="4" t="s">
        <v>19</v>
      </c>
      <c r="B1628" s="4" t="s">
        <v>505</v>
      </c>
      <c r="C1628" s="4" t="s">
        <v>526</v>
      </c>
      <c r="D1628" s="4" t="s">
        <v>527</v>
      </c>
      <c r="E1628" s="4" t="s">
        <v>87</v>
      </c>
      <c r="F1628" s="4" t="s">
        <v>5851</v>
      </c>
      <c r="G1628" s="4" t="s">
        <v>5612</v>
      </c>
      <c r="H1628" s="4" t="s">
        <v>26</v>
      </c>
      <c r="I1628" s="4" t="s">
        <v>33</v>
      </c>
      <c r="J1628" s="4" t="s">
        <v>27</v>
      </c>
      <c r="K1628" s="4" t="s">
        <v>28</v>
      </c>
      <c r="L1628" s="4" t="s">
        <v>28</v>
      </c>
      <c r="M1628" s="4" t="s">
        <v>34</v>
      </c>
      <c r="N1628" s="4" t="s">
        <v>28</v>
      </c>
    </row>
    <row r="1629" spans="1:14" ht="14.4" thickBot="1" x14ac:dyDescent="0.35">
      <c r="A1629" s="4" t="s">
        <v>19</v>
      </c>
      <c r="B1629" s="4" t="s">
        <v>505</v>
      </c>
      <c r="C1629" s="4" t="s">
        <v>526</v>
      </c>
      <c r="D1629" s="4" t="s">
        <v>527</v>
      </c>
      <c r="E1629" s="4" t="s">
        <v>87</v>
      </c>
      <c r="F1629" s="4" t="s">
        <v>5852</v>
      </c>
      <c r="G1629" s="4" t="s">
        <v>5853</v>
      </c>
      <c r="H1629" s="4" t="s">
        <v>26</v>
      </c>
      <c r="I1629" s="4" t="s">
        <v>33</v>
      </c>
      <c r="J1629" s="4" t="s">
        <v>27</v>
      </c>
      <c r="K1629" s="4" t="s">
        <v>28</v>
      </c>
      <c r="L1629" s="4" t="s">
        <v>28</v>
      </c>
      <c r="M1629" s="4" t="s">
        <v>34</v>
      </c>
      <c r="N1629" s="4" t="s">
        <v>28</v>
      </c>
    </row>
    <row r="1630" spans="1:14" ht="14.4" thickBot="1" x14ac:dyDescent="0.35">
      <c r="A1630" s="4" t="s">
        <v>19</v>
      </c>
      <c r="B1630" s="4" t="s">
        <v>505</v>
      </c>
      <c r="C1630" s="4" t="s">
        <v>526</v>
      </c>
      <c r="D1630" s="4" t="s">
        <v>527</v>
      </c>
      <c r="E1630" s="4" t="s">
        <v>87</v>
      </c>
      <c r="F1630" s="4" t="s">
        <v>5895</v>
      </c>
      <c r="G1630" s="4" t="s">
        <v>4073</v>
      </c>
      <c r="H1630" s="4" t="s">
        <v>26</v>
      </c>
      <c r="I1630" s="4" t="s">
        <v>135</v>
      </c>
      <c r="J1630" s="4" t="s">
        <v>27</v>
      </c>
      <c r="K1630" s="4" t="s">
        <v>28</v>
      </c>
      <c r="L1630" s="4" t="s">
        <v>28</v>
      </c>
      <c r="M1630" s="4" t="s">
        <v>29</v>
      </c>
      <c r="N1630" s="4" t="s">
        <v>28</v>
      </c>
    </row>
    <row r="1631" spans="1:14" ht="14.4" thickBot="1" x14ac:dyDescent="0.35">
      <c r="A1631" s="4" t="s">
        <v>19</v>
      </c>
      <c r="B1631" s="4" t="s">
        <v>505</v>
      </c>
      <c r="C1631" s="4" t="s">
        <v>526</v>
      </c>
      <c r="D1631" s="4" t="s">
        <v>527</v>
      </c>
      <c r="E1631" s="4" t="s">
        <v>87</v>
      </c>
      <c r="F1631" s="4" t="s">
        <v>5896</v>
      </c>
      <c r="G1631" s="4" t="s">
        <v>4073</v>
      </c>
      <c r="H1631" s="4" t="s">
        <v>190</v>
      </c>
      <c r="I1631" s="4" t="s">
        <v>135</v>
      </c>
      <c r="J1631" s="5"/>
      <c r="K1631" s="5"/>
      <c r="L1631" s="5"/>
      <c r="M1631" s="4" t="s">
        <v>29</v>
      </c>
      <c r="N1631" s="5"/>
    </row>
    <row r="1632" spans="1:14" ht="14.4" thickBot="1" x14ac:dyDescent="0.35">
      <c r="A1632" s="4" t="s">
        <v>19</v>
      </c>
      <c r="B1632" s="4" t="s">
        <v>505</v>
      </c>
      <c r="C1632" s="4" t="s">
        <v>1477</v>
      </c>
      <c r="D1632" s="4" t="s">
        <v>1478</v>
      </c>
      <c r="E1632" s="4" t="s">
        <v>48</v>
      </c>
      <c r="F1632" s="4" t="s">
        <v>1479</v>
      </c>
      <c r="G1632" s="4" t="s">
        <v>659</v>
      </c>
      <c r="H1632" s="4" t="s">
        <v>26</v>
      </c>
      <c r="I1632" s="4" t="s">
        <v>33</v>
      </c>
      <c r="J1632" s="4" t="s">
        <v>27</v>
      </c>
      <c r="K1632" s="4" t="s">
        <v>28</v>
      </c>
      <c r="L1632" s="4" t="s">
        <v>28</v>
      </c>
      <c r="M1632" s="4" t="s">
        <v>34</v>
      </c>
      <c r="N1632" s="4" t="s">
        <v>28</v>
      </c>
    </row>
    <row r="1633" spans="1:14" ht="14.4" thickBot="1" x14ac:dyDescent="0.35">
      <c r="A1633" s="4" t="s">
        <v>19</v>
      </c>
      <c r="B1633" s="4" t="s">
        <v>505</v>
      </c>
      <c r="C1633" s="4" t="s">
        <v>1477</v>
      </c>
      <c r="D1633" s="4" t="s">
        <v>1478</v>
      </c>
      <c r="E1633" s="4" t="s">
        <v>48</v>
      </c>
      <c r="F1633" s="4" t="s">
        <v>3704</v>
      </c>
      <c r="G1633" s="4" t="s">
        <v>3705</v>
      </c>
      <c r="H1633" s="4" t="s">
        <v>37</v>
      </c>
      <c r="I1633" s="4" t="s">
        <v>38</v>
      </c>
      <c r="J1633" s="4" t="s">
        <v>28</v>
      </c>
      <c r="K1633" s="4" t="s">
        <v>28</v>
      </c>
      <c r="L1633" s="4" t="s">
        <v>27</v>
      </c>
      <c r="M1633" s="4" t="s">
        <v>34</v>
      </c>
      <c r="N1633" s="4" t="s">
        <v>28</v>
      </c>
    </row>
    <row r="1634" spans="1:14" ht="14.4" thickBot="1" x14ac:dyDescent="0.35">
      <c r="A1634" s="4" t="s">
        <v>19</v>
      </c>
      <c r="B1634" s="4" t="s">
        <v>505</v>
      </c>
      <c r="C1634" s="4" t="s">
        <v>1477</v>
      </c>
      <c r="D1634" s="4" t="s">
        <v>1478</v>
      </c>
      <c r="E1634" s="4" t="s">
        <v>48</v>
      </c>
      <c r="F1634" s="4" t="s">
        <v>3706</v>
      </c>
      <c r="G1634" s="4" t="s">
        <v>3707</v>
      </c>
      <c r="H1634" s="4" t="s">
        <v>69</v>
      </c>
      <c r="I1634" s="4" t="s">
        <v>38</v>
      </c>
      <c r="J1634" s="4" t="s">
        <v>28</v>
      </c>
      <c r="K1634" s="4" t="s">
        <v>28</v>
      </c>
      <c r="L1634" s="4" t="s">
        <v>27</v>
      </c>
      <c r="M1634" s="4" t="s">
        <v>34</v>
      </c>
      <c r="N1634" s="4" t="s">
        <v>28</v>
      </c>
    </row>
    <row r="1635" spans="1:14" ht="14.4" thickBot="1" x14ac:dyDescent="0.35">
      <c r="A1635" s="4" t="s">
        <v>19</v>
      </c>
      <c r="B1635" s="4" t="s">
        <v>505</v>
      </c>
      <c r="C1635" s="4" t="s">
        <v>1318</v>
      </c>
      <c r="D1635" s="4" t="s">
        <v>2400</v>
      </c>
      <c r="E1635" s="4" t="s">
        <v>48</v>
      </c>
      <c r="F1635" s="4" t="s">
        <v>2401</v>
      </c>
      <c r="G1635" s="4" t="s">
        <v>2402</v>
      </c>
      <c r="H1635" s="4" t="s">
        <v>26</v>
      </c>
      <c r="I1635" s="4" t="s">
        <v>33</v>
      </c>
      <c r="J1635" s="4" t="s">
        <v>27</v>
      </c>
      <c r="K1635" s="4" t="s">
        <v>28</v>
      </c>
      <c r="L1635" s="4" t="s">
        <v>28</v>
      </c>
      <c r="M1635" s="4" t="s">
        <v>34</v>
      </c>
      <c r="N1635" s="4" t="s">
        <v>28</v>
      </c>
    </row>
    <row r="1636" spans="1:14" ht="14.4" thickBot="1" x14ac:dyDescent="0.35">
      <c r="A1636" s="4" t="s">
        <v>19</v>
      </c>
      <c r="B1636" s="4" t="s">
        <v>505</v>
      </c>
      <c r="C1636" s="4" t="s">
        <v>1318</v>
      </c>
      <c r="D1636" s="4" t="s">
        <v>2400</v>
      </c>
      <c r="E1636" s="4" t="s">
        <v>48</v>
      </c>
      <c r="F1636" s="4" t="s">
        <v>2403</v>
      </c>
      <c r="G1636" s="4" t="s">
        <v>2404</v>
      </c>
      <c r="H1636" s="4" t="s">
        <v>69</v>
      </c>
      <c r="I1636" s="4" t="s">
        <v>38</v>
      </c>
      <c r="J1636" s="4" t="s">
        <v>28</v>
      </c>
      <c r="K1636" s="4" t="s">
        <v>28</v>
      </c>
      <c r="L1636" s="4" t="s">
        <v>27</v>
      </c>
      <c r="M1636" s="4" t="s">
        <v>34</v>
      </c>
      <c r="N1636" s="4" t="s">
        <v>28</v>
      </c>
    </row>
    <row r="1637" spans="1:14" ht="14.4" thickBot="1" x14ac:dyDescent="0.35">
      <c r="A1637" s="4" t="s">
        <v>19</v>
      </c>
      <c r="B1637" s="4" t="s">
        <v>540</v>
      </c>
      <c r="C1637" s="4" t="s">
        <v>541</v>
      </c>
      <c r="D1637" s="4" t="s">
        <v>542</v>
      </c>
      <c r="E1637" s="4" t="s">
        <v>42</v>
      </c>
      <c r="F1637" s="4" t="s">
        <v>543</v>
      </c>
      <c r="G1637" s="4" t="s">
        <v>544</v>
      </c>
      <c r="H1637" s="4" t="s">
        <v>135</v>
      </c>
      <c r="I1637" s="4" t="s">
        <v>94</v>
      </c>
      <c r="J1637" s="4" t="s">
        <v>27</v>
      </c>
      <c r="K1637" s="4" t="s">
        <v>28</v>
      </c>
      <c r="L1637" s="4" t="s">
        <v>28</v>
      </c>
      <c r="M1637" s="4" t="s">
        <v>34</v>
      </c>
      <c r="N1637" s="4" t="s">
        <v>28</v>
      </c>
    </row>
    <row r="1638" spans="1:14" ht="14.4" thickBot="1" x14ac:dyDescent="0.35">
      <c r="A1638" s="4" t="s">
        <v>19</v>
      </c>
      <c r="B1638" s="4" t="s">
        <v>540</v>
      </c>
      <c r="C1638" s="4" t="s">
        <v>541</v>
      </c>
      <c r="D1638" s="4" t="s">
        <v>542</v>
      </c>
      <c r="E1638" s="4" t="s">
        <v>42</v>
      </c>
      <c r="F1638" s="4" t="s">
        <v>604</v>
      </c>
      <c r="G1638" s="4" t="s">
        <v>605</v>
      </c>
      <c r="H1638" s="4" t="s">
        <v>26</v>
      </c>
      <c r="I1638" s="4" t="s">
        <v>26</v>
      </c>
      <c r="J1638" s="4" t="s">
        <v>27</v>
      </c>
      <c r="K1638" s="4" t="s">
        <v>28</v>
      </c>
      <c r="L1638" s="4" t="s">
        <v>28</v>
      </c>
      <c r="M1638" s="4" t="s">
        <v>29</v>
      </c>
      <c r="N1638" s="4" t="s">
        <v>28</v>
      </c>
    </row>
    <row r="1639" spans="1:14" ht="14.4" thickBot="1" x14ac:dyDescent="0.35">
      <c r="A1639" s="4" t="s">
        <v>19</v>
      </c>
      <c r="B1639" s="4" t="s">
        <v>540</v>
      </c>
      <c r="C1639" s="4" t="s">
        <v>541</v>
      </c>
      <c r="D1639" s="4" t="s">
        <v>542</v>
      </c>
      <c r="E1639" s="4" t="s">
        <v>42</v>
      </c>
      <c r="F1639" s="4" t="s">
        <v>606</v>
      </c>
      <c r="G1639" s="4" t="s">
        <v>607</v>
      </c>
      <c r="H1639" s="4" t="s">
        <v>26</v>
      </c>
      <c r="I1639" s="4" t="s">
        <v>26</v>
      </c>
      <c r="J1639" s="4" t="s">
        <v>27</v>
      </c>
      <c r="K1639" s="4" t="s">
        <v>28</v>
      </c>
      <c r="L1639" s="4" t="s">
        <v>28</v>
      </c>
      <c r="M1639" s="4" t="s">
        <v>29</v>
      </c>
      <c r="N1639" s="4" t="s">
        <v>28</v>
      </c>
    </row>
    <row r="1640" spans="1:14" ht="14.4" thickBot="1" x14ac:dyDescent="0.35">
      <c r="A1640" s="4" t="s">
        <v>19</v>
      </c>
      <c r="B1640" s="4" t="s">
        <v>540</v>
      </c>
      <c r="C1640" s="4" t="s">
        <v>541</v>
      </c>
      <c r="D1640" s="4" t="s">
        <v>542</v>
      </c>
      <c r="E1640" s="4" t="s">
        <v>42</v>
      </c>
      <c r="F1640" s="4" t="s">
        <v>608</v>
      </c>
      <c r="G1640" s="4" t="s">
        <v>609</v>
      </c>
      <c r="H1640" s="4" t="s">
        <v>26</v>
      </c>
      <c r="I1640" s="4" t="s">
        <v>94</v>
      </c>
      <c r="J1640" s="5"/>
      <c r="K1640" s="5"/>
      <c r="L1640" s="5"/>
      <c r="M1640" s="4" t="s">
        <v>29</v>
      </c>
      <c r="N1640" s="5"/>
    </row>
    <row r="1641" spans="1:14" ht="14.4" thickBot="1" x14ac:dyDescent="0.35">
      <c r="A1641" s="4" t="s">
        <v>19</v>
      </c>
      <c r="B1641" s="4" t="s">
        <v>540</v>
      </c>
      <c r="C1641" s="4" t="s">
        <v>541</v>
      </c>
      <c r="D1641" s="4" t="s">
        <v>542</v>
      </c>
      <c r="E1641" s="4" t="s">
        <v>42</v>
      </c>
      <c r="F1641" s="4" t="s">
        <v>1480</v>
      </c>
      <c r="G1641" s="4" t="s">
        <v>1481</v>
      </c>
      <c r="H1641" s="4" t="s">
        <v>135</v>
      </c>
      <c r="I1641" s="4" t="s">
        <v>94</v>
      </c>
      <c r="J1641" s="4" t="s">
        <v>27</v>
      </c>
      <c r="K1641" s="4" t="s">
        <v>28</v>
      </c>
      <c r="L1641" s="4" t="s">
        <v>28</v>
      </c>
      <c r="M1641" s="4" t="s">
        <v>34</v>
      </c>
      <c r="N1641" s="4" t="s">
        <v>28</v>
      </c>
    </row>
    <row r="1642" spans="1:14" ht="14.4" thickBot="1" x14ac:dyDescent="0.35">
      <c r="A1642" s="4" t="s">
        <v>19</v>
      </c>
      <c r="B1642" s="4" t="s">
        <v>540</v>
      </c>
      <c r="C1642" s="4" t="s">
        <v>541</v>
      </c>
      <c r="D1642" s="4" t="s">
        <v>542</v>
      </c>
      <c r="E1642" s="4" t="s">
        <v>42</v>
      </c>
      <c r="F1642" s="4" t="s">
        <v>1482</v>
      </c>
      <c r="G1642" s="4" t="s">
        <v>1483</v>
      </c>
      <c r="H1642" s="4" t="s">
        <v>135</v>
      </c>
      <c r="I1642" s="4" t="s">
        <v>33</v>
      </c>
      <c r="J1642" s="4" t="s">
        <v>27</v>
      </c>
      <c r="K1642" s="4" t="s">
        <v>28</v>
      </c>
      <c r="L1642" s="4" t="s">
        <v>28</v>
      </c>
      <c r="M1642" s="4" t="s">
        <v>34</v>
      </c>
      <c r="N1642" s="4" t="s">
        <v>28</v>
      </c>
    </row>
    <row r="1643" spans="1:14" ht="14.4" thickBot="1" x14ac:dyDescent="0.35">
      <c r="A1643" s="4" t="s">
        <v>19</v>
      </c>
      <c r="B1643" s="4" t="s">
        <v>540</v>
      </c>
      <c r="C1643" s="4" t="s">
        <v>541</v>
      </c>
      <c r="D1643" s="4" t="s">
        <v>542</v>
      </c>
      <c r="E1643" s="4" t="s">
        <v>42</v>
      </c>
      <c r="F1643" s="4" t="s">
        <v>1542</v>
      </c>
      <c r="G1643" s="4" t="s">
        <v>1543</v>
      </c>
      <c r="H1643" s="4" t="s">
        <v>26</v>
      </c>
      <c r="I1643" s="4" t="s">
        <v>26</v>
      </c>
      <c r="J1643" s="4" t="s">
        <v>27</v>
      </c>
      <c r="K1643" s="4" t="s">
        <v>28</v>
      </c>
      <c r="L1643" s="4" t="s">
        <v>28</v>
      </c>
      <c r="M1643" s="4" t="s">
        <v>29</v>
      </c>
      <c r="N1643" s="4" t="s">
        <v>28</v>
      </c>
    </row>
    <row r="1644" spans="1:14" ht="14.4" thickBot="1" x14ac:dyDescent="0.35">
      <c r="A1644" s="4" t="s">
        <v>19</v>
      </c>
      <c r="B1644" s="4" t="s">
        <v>540</v>
      </c>
      <c r="C1644" s="4" t="s">
        <v>541</v>
      </c>
      <c r="D1644" s="4" t="s">
        <v>542</v>
      </c>
      <c r="E1644" s="4" t="s">
        <v>42</v>
      </c>
      <c r="F1644" s="4" t="s">
        <v>1544</v>
      </c>
      <c r="G1644" s="4" t="s">
        <v>1545</v>
      </c>
      <c r="H1644" s="4" t="s">
        <v>190</v>
      </c>
      <c r="I1644" s="4" t="s">
        <v>122</v>
      </c>
      <c r="J1644" s="5"/>
      <c r="K1644" s="5"/>
      <c r="L1644" s="5"/>
      <c r="M1644" s="4" t="s">
        <v>29</v>
      </c>
      <c r="N1644" s="5"/>
    </row>
    <row r="1645" spans="1:14" ht="14.4" thickBot="1" x14ac:dyDescent="0.35">
      <c r="A1645" s="4" t="s">
        <v>19</v>
      </c>
      <c r="B1645" s="4" t="s">
        <v>540</v>
      </c>
      <c r="C1645" s="4" t="s">
        <v>541</v>
      </c>
      <c r="D1645" s="4" t="s">
        <v>542</v>
      </c>
      <c r="E1645" s="4" t="s">
        <v>42</v>
      </c>
      <c r="F1645" s="4" t="s">
        <v>1546</v>
      </c>
      <c r="G1645" s="4" t="s">
        <v>1547</v>
      </c>
      <c r="H1645" s="4" t="s">
        <v>190</v>
      </c>
      <c r="I1645" s="4" t="s">
        <v>26</v>
      </c>
      <c r="J1645" s="4" t="s">
        <v>27</v>
      </c>
      <c r="K1645" s="4" t="s">
        <v>28</v>
      </c>
      <c r="L1645" s="4" t="s">
        <v>28</v>
      </c>
      <c r="M1645" s="4" t="s">
        <v>29</v>
      </c>
      <c r="N1645" s="5"/>
    </row>
    <row r="1646" spans="1:14" ht="14.4" thickBot="1" x14ac:dyDescent="0.35">
      <c r="A1646" s="4" t="s">
        <v>19</v>
      </c>
      <c r="B1646" s="4" t="s">
        <v>540</v>
      </c>
      <c r="C1646" s="4" t="s">
        <v>541</v>
      </c>
      <c r="D1646" s="4" t="s">
        <v>542</v>
      </c>
      <c r="E1646" s="4" t="s">
        <v>42</v>
      </c>
      <c r="F1646" s="4" t="s">
        <v>2219</v>
      </c>
      <c r="G1646" s="4" t="s">
        <v>2220</v>
      </c>
      <c r="H1646" s="4" t="s">
        <v>69</v>
      </c>
      <c r="I1646" s="4" t="s">
        <v>94</v>
      </c>
      <c r="J1646" s="4" t="s">
        <v>28</v>
      </c>
      <c r="K1646" s="4" t="s">
        <v>27</v>
      </c>
      <c r="L1646" s="4" t="s">
        <v>28</v>
      </c>
      <c r="M1646" s="4" t="s">
        <v>34</v>
      </c>
      <c r="N1646" s="4" t="s">
        <v>28</v>
      </c>
    </row>
    <row r="1647" spans="1:14" ht="14.4" thickBot="1" x14ac:dyDescent="0.35">
      <c r="A1647" s="4" t="s">
        <v>19</v>
      </c>
      <c r="B1647" s="4" t="s">
        <v>540</v>
      </c>
      <c r="C1647" s="4" t="s">
        <v>541</v>
      </c>
      <c r="D1647" s="4" t="s">
        <v>542</v>
      </c>
      <c r="E1647" s="4" t="s">
        <v>42</v>
      </c>
      <c r="F1647" s="4" t="s">
        <v>2260</v>
      </c>
      <c r="G1647" s="4" t="s">
        <v>2261</v>
      </c>
      <c r="H1647" s="4" t="s">
        <v>26</v>
      </c>
      <c r="I1647" s="4" t="s">
        <v>26</v>
      </c>
      <c r="J1647" s="4" t="s">
        <v>27</v>
      </c>
      <c r="K1647" s="4" t="s">
        <v>28</v>
      </c>
      <c r="L1647" s="4" t="s">
        <v>28</v>
      </c>
      <c r="M1647" s="4" t="s">
        <v>29</v>
      </c>
      <c r="N1647" s="4" t="s">
        <v>28</v>
      </c>
    </row>
    <row r="1648" spans="1:14" ht="14.4" thickBot="1" x14ac:dyDescent="0.35">
      <c r="A1648" s="4" t="s">
        <v>19</v>
      </c>
      <c r="B1648" s="4" t="s">
        <v>540</v>
      </c>
      <c r="C1648" s="4" t="s">
        <v>541</v>
      </c>
      <c r="D1648" s="4" t="s">
        <v>542</v>
      </c>
      <c r="E1648" s="4" t="s">
        <v>42</v>
      </c>
      <c r="F1648" s="4" t="s">
        <v>2262</v>
      </c>
      <c r="G1648" s="4" t="s">
        <v>2263</v>
      </c>
      <c r="H1648" s="4" t="s">
        <v>26</v>
      </c>
      <c r="I1648" s="4" t="s">
        <v>26</v>
      </c>
      <c r="J1648" s="5"/>
      <c r="K1648" s="5"/>
      <c r="L1648" s="5"/>
      <c r="M1648" s="4" t="s">
        <v>130</v>
      </c>
      <c r="N1648" s="5"/>
    </row>
    <row r="1649" spans="1:14" ht="14.4" thickBot="1" x14ac:dyDescent="0.35">
      <c r="A1649" s="4" t="s">
        <v>19</v>
      </c>
      <c r="B1649" s="4" t="s">
        <v>540</v>
      </c>
      <c r="C1649" s="4" t="s">
        <v>541</v>
      </c>
      <c r="D1649" s="4" t="s">
        <v>542</v>
      </c>
      <c r="E1649" s="4" t="s">
        <v>42</v>
      </c>
      <c r="F1649" s="4" t="s">
        <v>2959</v>
      </c>
      <c r="G1649" s="4" t="s">
        <v>2960</v>
      </c>
      <c r="H1649" s="4" t="s">
        <v>26</v>
      </c>
      <c r="I1649" s="4" t="s">
        <v>94</v>
      </c>
      <c r="J1649" s="4" t="s">
        <v>27</v>
      </c>
      <c r="K1649" s="4" t="s">
        <v>28</v>
      </c>
      <c r="L1649" s="4" t="s">
        <v>28</v>
      </c>
      <c r="M1649" s="4" t="s">
        <v>34</v>
      </c>
      <c r="N1649" s="4" t="s">
        <v>27</v>
      </c>
    </row>
    <row r="1650" spans="1:14" ht="14.4" thickBot="1" x14ac:dyDescent="0.35">
      <c r="A1650" s="4" t="s">
        <v>19</v>
      </c>
      <c r="B1650" s="4" t="s">
        <v>540</v>
      </c>
      <c r="C1650" s="4" t="s">
        <v>541</v>
      </c>
      <c r="D1650" s="4" t="s">
        <v>542</v>
      </c>
      <c r="E1650" s="4" t="s">
        <v>42</v>
      </c>
      <c r="F1650" s="4" t="s">
        <v>2961</v>
      </c>
      <c r="G1650" s="4" t="s">
        <v>2962</v>
      </c>
      <c r="H1650" s="4" t="s">
        <v>37</v>
      </c>
      <c r="I1650" s="4" t="s">
        <v>38</v>
      </c>
      <c r="J1650" s="4" t="s">
        <v>28</v>
      </c>
      <c r="K1650" s="4" t="s">
        <v>28</v>
      </c>
      <c r="L1650" s="4" t="s">
        <v>27</v>
      </c>
      <c r="M1650" s="4" t="s">
        <v>34</v>
      </c>
      <c r="N1650" s="4" t="s">
        <v>28</v>
      </c>
    </row>
    <row r="1651" spans="1:14" ht="14.4" thickBot="1" x14ac:dyDescent="0.35">
      <c r="A1651" s="4" t="s">
        <v>19</v>
      </c>
      <c r="B1651" s="4" t="s">
        <v>540</v>
      </c>
      <c r="C1651" s="4" t="s">
        <v>541</v>
      </c>
      <c r="D1651" s="4" t="s">
        <v>542</v>
      </c>
      <c r="E1651" s="4" t="s">
        <v>42</v>
      </c>
      <c r="F1651" s="4" t="s">
        <v>3023</v>
      </c>
      <c r="G1651" s="4" t="s">
        <v>3024</v>
      </c>
      <c r="H1651" s="4" t="s">
        <v>26</v>
      </c>
      <c r="I1651" s="4" t="s">
        <v>26</v>
      </c>
      <c r="J1651" s="4" t="s">
        <v>27</v>
      </c>
      <c r="K1651" s="4" t="s">
        <v>28</v>
      </c>
      <c r="L1651" s="4" t="s">
        <v>28</v>
      </c>
      <c r="M1651" s="4" t="s">
        <v>29</v>
      </c>
      <c r="N1651" s="4" t="s">
        <v>28</v>
      </c>
    </row>
    <row r="1652" spans="1:14" ht="14.4" thickBot="1" x14ac:dyDescent="0.35">
      <c r="A1652" s="4" t="s">
        <v>19</v>
      </c>
      <c r="B1652" s="4" t="s">
        <v>540</v>
      </c>
      <c r="C1652" s="4" t="s">
        <v>541</v>
      </c>
      <c r="D1652" s="4" t="s">
        <v>542</v>
      </c>
      <c r="E1652" s="4" t="s">
        <v>42</v>
      </c>
      <c r="F1652" s="4" t="s">
        <v>4487</v>
      </c>
      <c r="G1652" s="4" t="s">
        <v>4488</v>
      </c>
      <c r="H1652" s="4" t="s">
        <v>26</v>
      </c>
      <c r="I1652" s="4" t="s">
        <v>33</v>
      </c>
      <c r="J1652" s="4" t="s">
        <v>27</v>
      </c>
      <c r="K1652" s="4" t="s">
        <v>28</v>
      </c>
      <c r="L1652" s="4" t="s">
        <v>28</v>
      </c>
      <c r="M1652" s="4" t="s">
        <v>34</v>
      </c>
      <c r="N1652" s="4" t="s">
        <v>28</v>
      </c>
    </row>
    <row r="1653" spans="1:14" ht="14.4" thickBot="1" x14ac:dyDescent="0.35">
      <c r="A1653" s="4" t="s">
        <v>19</v>
      </c>
      <c r="B1653" s="4" t="s">
        <v>540</v>
      </c>
      <c r="C1653" s="4" t="s">
        <v>541</v>
      </c>
      <c r="D1653" s="4" t="s">
        <v>542</v>
      </c>
      <c r="E1653" s="4" t="s">
        <v>42</v>
      </c>
      <c r="F1653" s="4" t="s">
        <v>4525</v>
      </c>
      <c r="G1653" s="4" t="s">
        <v>4526</v>
      </c>
      <c r="H1653" s="4" t="s">
        <v>26</v>
      </c>
      <c r="I1653" s="4" t="s">
        <v>38</v>
      </c>
      <c r="J1653" s="4" t="s">
        <v>28</v>
      </c>
      <c r="K1653" s="4" t="s">
        <v>28</v>
      </c>
      <c r="L1653" s="4" t="s">
        <v>27</v>
      </c>
      <c r="M1653" s="4" t="s">
        <v>29</v>
      </c>
      <c r="N1653" s="5"/>
    </row>
    <row r="1654" spans="1:14" ht="14.4" thickBot="1" x14ac:dyDescent="0.35">
      <c r="A1654" s="4" t="s">
        <v>19</v>
      </c>
      <c r="B1654" s="4" t="s">
        <v>540</v>
      </c>
      <c r="C1654" s="4" t="s">
        <v>541</v>
      </c>
      <c r="D1654" s="4" t="s">
        <v>542</v>
      </c>
      <c r="E1654" s="4" t="s">
        <v>42</v>
      </c>
      <c r="F1654" s="4" t="s">
        <v>5214</v>
      </c>
      <c r="G1654" s="4" t="s">
        <v>5215</v>
      </c>
      <c r="H1654" s="4" t="s">
        <v>26</v>
      </c>
      <c r="I1654" s="4" t="s">
        <v>26</v>
      </c>
      <c r="J1654" s="4" t="s">
        <v>27</v>
      </c>
      <c r="K1654" s="4" t="s">
        <v>28</v>
      </c>
      <c r="L1654" s="4" t="s">
        <v>28</v>
      </c>
      <c r="M1654" s="4" t="s">
        <v>29</v>
      </c>
      <c r="N1654" s="4" t="s">
        <v>28</v>
      </c>
    </row>
    <row r="1655" spans="1:14" ht="14.4" thickBot="1" x14ac:dyDescent="0.35">
      <c r="A1655" s="4" t="s">
        <v>19</v>
      </c>
      <c r="B1655" s="4" t="s">
        <v>540</v>
      </c>
      <c r="C1655" s="4" t="s">
        <v>541</v>
      </c>
      <c r="D1655" s="4" t="s">
        <v>542</v>
      </c>
      <c r="E1655" s="4" t="s">
        <v>42</v>
      </c>
      <c r="F1655" s="4" t="s">
        <v>5854</v>
      </c>
      <c r="G1655" s="4" t="s">
        <v>1907</v>
      </c>
      <c r="H1655" s="4" t="s">
        <v>135</v>
      </c>
      <c r="I1655" s="4" t="s">
        <v>33</v>
      </c>
      <c r="J1655" s="4" t="s">
        <v>27</v>
      </c>
      <c r="K1655" s="4" t="s">
        <v>28</v>
      </c>
      <c r="L1655" s="4" t="s">
        <v>28</v>
      </c>
      <c r="M1655" s="4" t="s">
        <v>34</v>
      </c>
      <c r="N1655" s="4" t="s">
        <v>28</v>
      </c>
    </row>
    <row r="1656" spans="1:14" ht="14.4" thickBot="1" x14ac:dyDescent="0.35">
      <c r="A1656" s="4" t="s">
        <v>19</v>
      </c>
      <c r="B1656" s="4" t="s">
        <v>540</v>
      </c>
      <c r="C1656" s="4" t="s">
        <v>541</v>
      </c>
      <c r="D1656" s="4" t="s">
        <v>542</v>
      </c>
      <c r="E1656" s="4" t="s">
        <v>42</v>
      </c>
      <c r="F1656" s="4" t="s">
        <v>5897</v>
      </c>
      <c r="G1656" s="4" t="s">
        <v>5898</v>
      </c>
      <c r="H1656" s="4" t="s">
        <v>26</v>
      </c>
      <c r="I1656" s="4" t="s">
        <v>26</v>
      </c>
      <c r="J1656" s="4" t="s">
        <v>27</v>
      </c>
      <c r="K1656" s="4" t="s">
        <v>28</v>
      </c>
      <c r="L1656" s="4" t="s">
        <v>28</v>
      </c>
      <c r="M1656" s="4" t="s">
        <v>29</v>
      </c>
      <c r="N1656" s="4" t="s">
        <v>28</v>
      </c>
    </row>
    <row r="1657" spans="1:14" ht="14.4" thickBot="1" x14ac:dyDescent="0.35">
      <c r="A1657" s="4" t="s">
        <v>19</v>
      </c>
      <c r="B1657" s="4" t="s">
        <v>540</v>
      </c>
      <c r="C1657" s="4" t="s">
        <v>1484</v>
      </c>
      <c r="D1657" s="4" t="s">
        <v>1485</v>
      </c>
      <c r="E1657" s="4" t="s">
        <v>23</v>
      </c>
      <c r="F1657" s="4" t="s">
        <v>1486</v>
      </c>
      <c r="G1657" s="4" t="s">
        <v>1272</v>
      </c>
      <c r="H1657" s="4" t="s">
        <v>26</v>
      </c>
      <c r="I1657" s="4" t="s">
        <v>69</v>
      </c>
      <c r="J1657" s="4" t="s">
        <v>27</v>
      </c>
      <c r="K1657" s="4" t="s">
        <v>28</v>
      </c>
      <c r="L1657" s="4" t="s">
        <v>28</v>
      </c>
      <c r="M1657" s="4" t="s">
        <v>34</v>
      </c>
      <c r="N1657" s="4" t="s">
        <v>28</v>
      </c>
    </row>
    <row r="1658" spans="1:14" ht="14.4" thickBot="1" x14ac:dyDescent="0.35">
      <c r="A1658" s="4" t="s">
        <v>19</v>
      </c>
      <c r="B1658" s="4" t="s">
        <v>540</v>
      </c>
      <c r="C1658" s="4" t="s">
        <v>1484</v>
      </c>
      <c r="D1658" s="4" t="s">
        <v>1485</v>
      </c>
      <c r="E1658" s="4" t="s">
        <v>23</v>
      </c>
      <c r="F1658" s="4" t="s">
        <v>2264</v>
      </c>
      <c r="G1658" s="4" t="s">
        <v>2265</v>
      </c>
      <c r="H1658" s="4" t="s">
        <v>26</v>
      </c>
      <c r="I1658" s="4" t="s">
        <v>26</v>
      </c>
      <c r="J1658" s="5"/>
      <c r="K1658" s="5"/>
      <c r="L1658" s="5"/>
      <c r="M1658" s="4" t="s">
        <v>29</v>
      </c>
      <c r="N1658" s="5"/>
    </row>
    <row r="1659" spans="1:14" ht="14.4" thickBot="1" x14ac:dyDescent="0.35">
      <c r="A1659" s="4" t="s">
        <v>19</v>
      </c>
      <c r="B1659" s="4" t="s">
        <v>540</v>
      </c>
      <c r="C1659" s="4" t="s">
        <v>1484</v>
      </c>
      <c r="D1659" s="4" t="s">
        <v>1485</v>
      </c>
      <c r="E1659" s="4" t="s">
        <v>23</v>
      </c>
      <c r="F1659" s="4" t="s">
        <v>4489</v>
      </c>
      <c r="G1659" s="4" t="s">
        <v>4490</v>
      </c>
      <c r="H1659" s="4" t="s">
        <v>122</v>
      </c>
      <c r="I1659" s="4" t="s">
        <v>38</v>
      </c>
      <c r="J1659" s="4" t="s">
        <v>28</v>
      </c>
      <c r="K1659" s="4" t="s">
        <v>28</v>
      </c>
      <c r="L1659" s="4" t="s">
        <v>27</v>
      </c>
      <c r="M1659" s="4" t="s">
        <v>34</v>
      </c>
      <c r="N1659" s="4" t="s">
        <v>28</v>
      </c>
    </row>
    <row r="1660" spans="1:14" ht="14.4" thickBot="1" x14ac:dyDescent="0.35">
      <c r="A1660" s="4" t="s">
        <v>19</v>
      </c>
      <c r="B1660" s="4" t="s">
        <v>540</v>
      </c>
      <c r="C1660" s="4" t="s">
        <v>1484</v>
      </c>
      <c r="D1660" s="4" t="s">
        <v>1485</v>
      </c>
      <c r="E1660" s="4" t="s">
        <v>23</v>
      </c>
      <c r="F1660" s="4" t="s">
        <v>5169</v>
      </c>
      <c r="G1660" s="4" t="s">
        <v>3799</v>
      </c>
      <c r="H1660" s="4" t="s">
        <v>26</v>
      </c>
      <c r="I1660" s="4" t="s">
        <v>69</v>
      </c>
      <c r="J1660" s="4" t="s">
        <v>27</v>
      </c>
      <c r="K1660" s="4" t="s">
        <v>28</v>
      </c>
      <c r="L1660" s="4" t="s">
        <v>28</v>
      </c>
      <c r="M1660" s="4" t="s">
        <v>34</v>
      </c>
      <c r="N1660" s="4" t="s">
        <v>28</v>
      </c>
    </row>
    <row r="1661" spans="1:14" ht="14.4" thickBot="1" x14ac:dyDescent="0.35">
      <c r="A1661" s="4" t="s">
        <v>19</v>
      </c>
      <c r="B1661" s="4" t="s">
        <v>540</v>
      </c>
      <c r="C1661" s="4" t="s">
        <v>1484</v>
      </c>
      <c r="D1661" s="4" t="s">
        <v>1485</v>
      </c>
      <c r="E1661" s="4" t="s">
        <v>23</v>
      </c>
      <c r="F1661" s="4" t="s">
        <v>5216</v>
      </c>
      <c r="G1661" s="4" t="s">
        <v>5217</v>
      </c>
      <c r="H1661" s="4" t="s">
        <v>26</v>
      </c>
      <c r="I1661" s="4" t="s">
        <v>26</v>
      </c>
      <c r="J1661" s="5"/>
      <c r="K1661" s="5"/>
      <c r="L1661" s="5"/>
      <c r="M1661" s="4" t="s">
        <v>29</v>
      </c>
      <c r="N1661" s="5"/>
    </row>
    <row r="1662" spans="1:14" ht="14.4" thickBot="1" x14ac:dyDescent="0.35">
      <c r="A1662" s="4" t="s">
        <v>19</v>
      </c>
      <c r="B1662" s="4" t="s">
        <v>540</v>
      </c>
      <c r="C1662" s="4" t="s">
        <v>1548</v>
      </c>
      <c r="D1662" s="4" t="s">
        <v>1549</v>
      </c>
      <c r="E1662" s="4" t="s">
        <v>48</v>
      </c>
      <c r="F1662" s="4" t="s">
        <v>1550</v>
      </c>
      <c r="G1662" s="4" t="s">
        <v>1551</v>
      </c>
      <c r="H1662" s="4" t="s">
        <v>26</v>
      </c>
      <c r="I1662" s="4" t="s">
        <v>26</v>
      </c>
      <c r="J1662" s="5"/>
      <c r="K1662" s="5"/>
      <c r="L1662" s="5"/>
      <c r="M1662" s="4" t="s">
        <v>29</v>
      </c>
      <c r="N1662" s="5"/>
    </row>
    <row r="1663" spans="1:14" ht="14.4" thickBot="1" x14ac:dyDescent="0.35">
      <c r="A1663" s="4" t="s">
        <v>19</v>
      </c>
      <c r="B1663" s="4" t="s">
        <v>540</v>
      </c>
      <c r="C1663" s="4" t="s">
        <v>1548</v>
      </c>
      <c r="D1663" s="4" t="s">
        <v>1549</v>
      </c>
      <c r="E1663" s="4" t="s">
        <v>48</v>
      </c>
      <c r="F1663" s="4" t="s">
        <v>886</v>
      </c>
      <c r="G1663" s="4" t="s">
        <v>2221</v>
      </c>
      <c r="H1663" s="4" t="s">
        <v>190</v>
      </c>
      <c r="I1663" s="4" t="s">
        <v>33</v>
      </c>
      <c r="J1663" s="4" t="s">
        <v>27</v>
      </c>
      <c r="K1663" s="4" t="s">
        <v>28</v>
      </c>
      <c r="L1663" s="4" t="s">
        <v>28</v>
      </c>
      <c r="M1663" s="4" t="s">
        <v>34</v>
      </c>
      <c r="N1663" s="4" t="s">
        <v>28</v>
      </c>
    </row>
    <row r="1664" spans="1:14" ht="14.4" thickBot="1" x14ac:dyDescent="0.35">
      <c r="A1664" s="4" t="s">
        <v>19</v>
      </c>
      <c r="B1664" s="4" t="s">
        <v>540</v>
      </c>
      <c r="C1664" s="4" t="s">
        <v>1548</v>
      </c>
      <c r="D1664" s="4" t="s">
        <v>1549</v>
      </c>
      <c r="E1664" s="4" t="s">
        <v>48</v>
      </c>
      <c r="F1664" s="4" t="s">
        <v>5170</v>
      </c>
      <c r="G1664" s="4" t="s">
        <v>5171</v>
      </c>
      <c r="H1664" s="4" t="s">
        <v>69</v>
      </c>
      <c r="I1664" s="4" t="s">
        <v>38</v>
      </c>
      <c r="J1664" s="4" t="s">
        <v>28</v>
      </c>
      <c r="K1664" s="4" t="s">
        <v>28</v>
      </c>
      <c r="L1664" s="4" t="s">
        <v>27</v>
      </c>
      <c r="M1664" s="4" t="s">
        <v>34</v>
      </c>
      <c r="N1664" s="4" t="s">
        <v>28</v>
      </c>
    </row>
    <row r="1665" spans="1:14" ht="14.4" thickBot="1" x14ac:dyDescent="0.35">
      <c r="A1665" s="4" t="s">
        <v>19</v>
      </c>
      <c r="B1665" s="4" t="s">
        <v>353</v>
      </c>
      <c r="C1665" s="4" t="s">
        <v>354</v>
      </c>
      <c r="D1665" s="4" t="s">
        <v>355</v>
      </c>
      <c r="E1665" s="4" t="s">
        <v>42</v>
      </c>
      <c r="F1665" s="4" t="s">
        <v>356</v>
      </c>
      <c r="G1665" s="4" t="s">
        <v>357</v>
      </c>
      <c r="H1665" s="4" t="s">
        <v>26</v>
      </c>
      <c r="I1665" s="4" t="s">
        <v>26</v>
      </c>
      <c r="J1665" s="4" t="s">
        <v>27</v>
      </c>
      <c r="K1665" s="4" t="s">
        <v>28</v>
      </c>
      <c r="L1665" s="4" t="s">
        <v>28</v>
      </c>
      <c r="M1665" s="4" t="s">
        <v>29</v>
      </c>
      <c r="N1665" s="4" t="s">
        <v>28</v>
      </c>
    </row>
    <row r="1666" spans="1:14" ht="14.4" thickBot="1" x14ac:dyDescent="0.35">
      <c r="A1666" s="4" t="s">
        <v>19</v>
      </c>
      <c r="B1666" s="4" t="s">
        <v>353</v>
      </c>
      <c r="C1666" s="4" t="s">
        <v>354</v>
      </c>
      <c r="D1666" s="4" t="s">
        <v>355</v>
      </c>
      <c r="E1666" s="4" t="s">
        <v>42</v>
      </c>
      <c r="F1666" s="4" t="s">
        <v>358</v>
      </c>
      <c r="G1666" s="4" t="s">
        <v>359</v>
      </c>
      <c r="H1666" s="4" t="s">
        <v>26</v>
      </c>
      <c r="I1666" s="4" t="s">
        <v>26</v>
      </c>
      <c r="J1666" s="4" t="s">
        <v>27</v>
      </c>
      <c r="K1666" s="4" t="s">
        <v>28</v>
      </c>
      <c r="L1666" s="4" t="s">
        <v>28</v>
      </c>
      <c r="M1666" s="4" t="s">
        <v>29</v>
      </c>
      <c r="N1666" s="4" t="s">
        <v>28</v>
      </c>
    </row>
    <row r="1667" spans="1:14" ht="14.4" thickBot="1" x14ac:dyDescent="0.35">
      <c r="A1667" s="4" t="s">
        <v>19</v>
      </c>
      <c r="B1667" s="4" t="s">
        <v>353</v>
      </c>
      <c r="C1667" s="4" t="s">
        <v>354</v>
      </c>
      <c r="D1667" s="4" t="s">
        <v>355</v>
      </c>
      <c r="E1667" s="4" t="s">
        <v>42</v>
      </c>
      <c r="F1667" s="4" t="s">
        <v>360</v>
      </c>
      <c r="G1667" s="4" t="s">
        <v>361</v>
      </c>
      <c r="H1667" s="4" t="s">
        <v>26</v>
      </c>
      <c r="I1667" s="4" t="s">
        <v>26</v>
      </c>
      <c r="J1667" s="4" t="s">
        <v>27</v>
      </c>
      <c r="K1667" s="4" t="s">
        <v>28</v>
      </c>
      <c r="L1667" s="4" t="s">
        <v>28</v>
      </c>
      <c r="M1667" s="4" t="s">
        <v>29</v>
      </c>
      <c r="N1667" s="4" t="s">
        <v>28</v>
      </c>
    </row>
    <row r="1668" spans="1:14" ht="14.4" thickBot="1" x14ac:dyDescent="0.35">
      <c r="A1668" s="4" t="s">
        <v>19</v>
      </c>
      <c r="B1668" s="4" t="s">
        <v>353</v>
      </c>
      <c r="C1668" s="4" t="s">
        <v>354</v>
      </c>
      <c r="D1668" s="4" t="s">
        <v>355</v>
      </c>
      <c r="E1668" s="4" t="s">
        <v>42</v>
      </c>
      <c r="F1668" s="4" t="s">
        <v>1283</v>
      </c>
      <c r="G1668" s="4" t="s">
        <v>1284</v>
      </c>
      <c r="H1668" s="4" t="s">
        <v>26</v>
      </c>
      <c r="I1668" s="4" t="s">
        <v>26</v>
      </c>
      <c r="J1668" s="4" t="s">
        <v>27</v>
      </c>
      <c r="K1668" s="4" t="s">
        <v>28</v>
      </c>
      <c r="L1668" s="4" t="s">
        <v>28</v>
      </c>
      <c r="M1668" s="4" t="s">
        <v>29</v>
      </c>
      <c r="N1668" s="4" t="s">
        <v>28</v>
      </c>
    </row>
    <row r="1669" spans="1:14" ht="14.4" thickBot="1" x14ac:dyDescent="0.35">
      <c r="A1669" s="4" t="s">
        <v>19</v>
      </c>
      <c r="B1669" s="4" t="s">
        <v>353</v>
      </c>
      <c r="C1669" s="4" t="s">
        <v>354</v>
      </c>
      <c r="D1669" s="4" t="s">
        <v>355</v>
      </c>
      <c r="E1669" s="4" t="s">
        <v>42</v>
      </c>
      <c r="F1669" s="4" t="s">
        <v>1285</v>
      </c>
      <c r="G1669" s="4" t="s">
        <v>1286</v>
      </c>
      <c r="H1669" s="4" t="s">
        <v>26</v>
      </c>
      <c r="I1669" s="4" t="s">
        <v>26</v>
      </c>
      <c r="J1669" s="4" t="s">
        <v>27</v>
      </c>
      <c r="K1669" s="4" t="s">
        <v>28</v>
      </c>
      <c r="L1669" s="4" t="s">
        <v>28</v>
      </c>
      <c r="M1669" s="4" t="s">
        <v>29</v>
      </c>
      <c r="N1669" s="4" t="s">
        <v>28</v>
      </c>
    </row>
    <row r="1670" spans="1:14" ht="14.4" thickBot="1" x14ac:dyDescent="0.35">
      <c r="A1670" s="4" t="s">
        <v>19</v>
      </c>
      <c r="B1670" s="4" t="s">
        <v>353</v>
      </c>
      <c r="C1670" s="4" t="s">
        <v>354</v>
      </c>
      <c r="D1670" s="4" t="s">
        <v>355</v>
      </c>
      <c r="E1670" s="4" t="s">
        <v>42</v>
      </c>
      <c r="F1670" s="4" t="s">
        <v>1287</v>
      </c>
      <c r="G1670" s="4" t="s">
        <v>1288</v>
      </c>
      <c r="H1670" s="4" t="s">
        <v>37</v>
      </c>
      <c r="I1670" s="4" t="s">
        <v>38</v>
      </c>
      <c r="J1670" s="5"/>
      <c r="K1670" s="5"/>
      <c r="L1670" s="5"/>
      <c r="M1670" s="4" t="s">
        <v>29</v>
      </c>
      <c r="N1670" s="5"/>
    </row>
    <row r="1671" spans="1:14" ht="14.4" thickBot="1" x14ac:dyDescent="0.35">
      <c r="A1671" s="4" t="s">
        <v>19</v>
      </c>
      <c r="B1671" s="4" t="s">
        <v>353</v>
      </c>
      <c r="C1671" s="4" t="s">
        <v>354</v>
      </c>
      <c r="D1671" s="4" t="s">
        <v>355</v>
      </c>
      <c r="E1671" s="4" t="s">
        <v>42</v>
      </c>
      <c r="F1671" s="4" t="s">
        <v>2089</v>
      </c>
      <c r="G1671" s="4" t="s">
        <v>2090</v>
      </c>
      <c r="H1671" s="4" t="s">
        <v>26</v>
      </c>
      <c r="I1671" s="4" t="s">
        <v>38</v>
      </c>
      <c r="J1671" s="4" t="s">
        <v>28</v>
      </c>
      <c r="K1671" s="4" t="s">
        <v>28</v>
      </c>
      <c r="L1671" s="4" t="s">
        <v>27</v>
      </c>
      <c r="M1671" s="4" t="s">
        <v>29</v>
      </c>
      <c r="N1671" s="4" t="s">
        <v>28</v>
      </c>
    </row>
    <row r="1672" spans="1:14" ht="14.4" thickBot="1" x14ac:dyDescent="0.35">
      <c r="A1672" s="4" t="s">
        <v>19</v>
      </c>
      <c r="B1672" s="4" t="s">
        <v>353</v>
      </c>
      <c r="C1672" s="4" t="s">
        <v>354</v>
      </c>
      <c r="D1672" s="4" t="s">
        <v>355</v>
      </c>
      <c r="E1672" s="4" t="s">
        <v>42</v>
      </c>
      <c r="F1672" s="4" t="s">
        <v>2091</v>
      </c>
      <c r="G1672" s="4" t="s">
        <v>2092</v>
      </c>
      <c r="H1672" s="4" t="s">
        <v>26</v>
      </c>
      <c r="I1672" s="4" t="s">
        <v>33</v>
      </c>
      <c r="J1672" s="4" t="s">
        <v>27</v>
      </c>
      <c r="K1672" s="4" t="s">
        <v>28</v>
      </c>
      <c r="L1672" s="4" t="s">
        <v>28</v>
      </c>
      <c r="M1672" s="4" t="s">
        <v>34</v>
      </c>
      <c r="N1672" s="4" t="s">
        <v>28</v>
      </c>
    </row>
    <row r="1673" spans="1:14" ht="14.4" thickBot="1" x14ac:dyDescent="0.35">
      <c r="A1673" s="4" t="s">
        <v>19</v>
      </c>
      <c r="B1673" s="4" t="s">
        <v>353</v>
      </c>
      <c r="C1673" s="4" t="s">
        <v>354</v>
      </c>
      <c r="D1673" s="4" t="s">
        <v>355</v>
      </c>
      <c r="E1673" s="4" t="s">
        <v>42</v>
      </c>
      <c r="F1673" s="4" t="s">
        <v>2093</v>
      </c>
      <c r="G1673" s="4" t="s">
        <v>2094</v>
      </c>
      <c r="H1673" s="4" t="s">
        <v>26</v>
      </c>
      <c r="I1673" s="4" t="s">
        <v>26</v>
      </c>
      <c r="J1673" s="4" t="s">
        <v>27</v>
      </c>
      <c r="K1673" s="4" t="s">
        <v>28</v>
      </c>
      <c r="L1673" s="4" t="s">
        <v>28</v>
      </c>
      <c r="M1673" s="4" t="s">
        <v>29</v>
      </c>
      <c r="N1673" s="4" t="s">
        <v>28</v>
      </c>
    </row>
    <row r="1674" spans="1:14" ht="14.4" thickBot="1" x14ac:dyDescent="0.35">
      <c r="A1674" s="4" t="s">
        <v>19</v>
      </c>
      <c r="B1674" s="4" t="s">
        <v>353</v>
      </c>
      <c r="C1674" s="4" t="s">
        <v>354</v>
      </c>
      <c r="D1674" s="4" t="s">
        <v>355</v>
      </c>
      <c r="E1674" s="4" t="s">
        <v>42</v>
      </c>
      <c r="F1674" s="4" t="s">
        <v>2785</v>
      </c>
      <c r="G1674" s="4" t="s">
        <v>2786</v>
      </c>
      <c r="H1674" s="4" t="s">
        <v>26</v>
      </c>
      <c r="I1674" s="4" t="s">
        <v>94</v>
      </c>
      <c r="J1674" s="4" t="s">
        <v>27</v>
      </c>
      <c r="K1674" s="4" t="s">
        <v>28</v>
      </c>
      <c r="L1674" s="4" t="s">
        <v>28</v>
      </c>
      <c r="M1674" s="4" t="s">
        <v>29</v>
      </c>
      <c r="N1674" s="4" t="s">
        <v>28</v>
      </c>
    </row>
    <row r="1675" spans="1:14" ht="14.4" thickBot="1" x14ac:dyDescent="0.35">
      <c r="A1675" s="4" t="s">
        <v>19</v>
      </c>
      <c r="B1675" s="4" t="s">
        <v>353</v>
      </c>
      <c r="C1675" s="4" t="s">
        <v>354</v>
      </c>
      <c r="D1675" s="4" t="s">
        <v>355</v>
      </c>
      <c r="E1675" s="4" t="s">
        <v>42</v>
      </c>
      <c r="F1675" s="4" t="s">
        <v>2787</v>
      </c>
      <c r="G1675" s="4" t="s">
        <v>2788</v>
      </c>
      <c r="H1675" s="4" t="s">
        <v>26</v>
      </c>
      <c r="I1675" s="4" t="s">
        <v>94</v>
      </c>
      <c r="J1675" s="5"/>
      <c r="K1675" s="5"/>
      <c r="L1675" s="5"/>
      <c r="M1675" s="4" t="s">
        <v>29</v>
      </c>
      <c r="N1675" s="5"/>
    </row>
    <row r="1676" spans="1:14" ht="14.4" thickBot="1" x14ac:dyDescent="0.35">
      <c r="A1676" s="4" t="s">
        <v>19</v>
      </c>
      <c r="B1676" s="4" t="s">
        <v>353</v>
      </c>
      <c r="C1676" s="4" t="s">
        <v>354</v>
      </c>
      <c r="D1676" s="4" t="s">
        <v>355</v>
      </c>
      <c r="E1676" s="4" t="s">
        <v>42</v>
      </c>
      <c r="F1676" s="4" t="s">
        <v>2789</v>
      </c>
      <c r="G1676" s="4" t="s">
        <v>2790</v>
      </c>
      <c r="H1676" s="4" t="s">
        <v>37</v>
      </c>
      <c r="I1676" s="4" t="s">
        <v>38</v>
      </c>
      <c r="J1676" s="4" t="s">
        <v>28</v>
      </c>
      <c r="K1676" s="4" t="s">
        <v>28</v>
      </c>
      <c r="L1676" s="4" t="s">
        <v>27</v>
      </c>
      <c r="M1676" s="4" t="s">
        <v>34</v>
      </c>
      <c r="N1676" s="4" t="s">
        <v>28</v>
      </c>
    </row>
    <row r="1677" spans="1:14" ht="14.4" thickBot="1" x14ac:dyDescent="0.35">
      <c r="A1677" s="4" t="s">
        <v>19</v>
      </c>
      <c r="B1677" s="4" t="s">
        <v>353</v>
      </c>
      <c r="C1677" s="4" t="s">
        <v>354</v>
      </c>
      <c r="D1677" s="4" t="s">
        <v>355</v>
      </c>
      <c r="E1677" s="4" t="s">
        <v>42</v>
      </c>
      <c r="F1677" s="4" t="s">
        <v>2791</v>
      </c>
      <c r="G1677" s="4" t="s">
        <v>2792</v>
      </c>
      <c r="H1677" s="4" t="s">
        <v>37</v>
      </c>
      <c r="I1677" s="4" t="s">
        <v>38</v>
      </c>
      <c r="J1677" s="4" t="s">
        <v>28</v>
      </c>
      <c r="K1677" s="4" t="s">
        <v>28</v>
      </c>
      <c r="L1677" s="4" t="s">
        <v>27</v>
      </c>
      <c r="M1677" s="4" t="s">
        <v>34</v>
      </c>
      <c r="N1677" s="4" t="s">
        <v>28</v>
      </c>
    </row>
    <row r="1678" spans="1:14" ht="14.4" thickBot="1" x14ac:dyDescent="0.35">
      <c r="A1678" s="4" t="s">
        <v>19</v>
      </c>
      <c r="B1678" s="4" t="s">
        <v>353</v>
      </c>
      <c r="C1678" s="4" t="s">
        <v>354</v>
      </c>
      <c r="D1678" s="4" t="s">
        <v>355</v>
      </c>
      <c r="E1678" s="4" t="s">
        <v>42</v>
      </c>
      <c r="F1678" s="4" t="s">
        <v>2793</v>
      </c>
      <c r="G1678" s="4" t="s">
        <v>2794</v>
      </c>
      <c r="H1678" s="4" t="s">
        <v>135</v>
      </c>
      <c r="I1678" s="4" t="s">
        <v>94</v>
      </c>
      <c r="J1678" s="4" t="s">
        <v>27</v>
      </c>
      <c r="K1678" s="4" t="s">
        <v>28</v>
      </c>
      <c r="L1678" s="4" t="s">
        <v>28</v>
      </c>
      <c r="M1678" s="4" t="s">
        <v>34</v>
      </c>
      <c r="N1678" s="4" t="s">
        <v>27</v>
      </c>
    </row>
    <row r="1679" spans="1:14" ht="14.4" thickBot="1" x14ac:dyDescent="0.35">
      <c r="A1679" s="4" t="s">
        <v>19</v>
      </c>
      <c r="B1679" s="4" t="s">
        <v>353</v>
      </c>
      <c r="C1679" s="4" t="s">
        <v>354</v>
      </c>
      <c r="D1679" s="4" t="s">
        <v>355</v>
      </c>
      <c r="E1679" s="4" t="s">
        <v>42</v>
      </c>
      <c r="F1679" s="4" t="s">
        <v>3539</v>
      </c>
      <c r="G1679" s="4" t="s">
        <v>3540</v>
      </c>
      <c r="H1679" s="4" t="s">
        <v>26</v>
      </c>
      <c r="I1679" s="4" t="s">
        <v>26</v>
      </c>
      <c r="J1679" s="4" t="s">
        <v>27</v>
      </c>
      <c r="K1679" s="4" t="s">
        <v>28</v>
      </c>
      <c r="L1679" s="4" t="s">
        <v>28</v>
      </c>
      <c r="M1679" s="4" t="s">
        <v>130</v>
      </c>
      <c r="N1679" s="4" t="s">
        <v>28</v>
      </c>
    </row>
    <row r="1680" spans="1:14" ht="14.4" thickBot="1" x14ac:dyDescent="0.35">
      <c r="A1680" s="4" t="s">
        <v>19</v>
      </c>
      <c r="B1680" s="4" t="s">
        <v>353</v>
      </c>
      <c r="C1680" s="4" t="s">
        <v>354</v>
      </c>
      <c r="D1680" s="4" t="s">
        <v>355</v>
      </c>
      <c r="E1680" s="4" t="s">
        <v>42</v>
      </c>
      <c r="F1680" s="4" t="s">
        <v>3541</v>
      </c>
      <c r="G1680" s="4" t="s">
        <v>3542</v>
      </c>
      <c r="H1680" s="4" t="s">
        <v>26</v>
      </c>
      <c r="I1680" s="4" t="s">
        <v>33</v>
      </c>
      <c r="J1680" s="4" t="s">
        <v>27</v>
      </c>
      <c r="K1680" s="4" t="s">
        <v>28</v>
      </c>
      <c r="L1680" s="4" t="s">
        <v>28</v>
      </c>
      <c r="M1680" s="4" t="s">
        <v>34</v>
      </c>
      <c r="N1680" s="4" t="s">
        <v>28</v>
      </c>
    </row>
    <row r="1681" spans="1:14" ht="14.4" thickBot="1" x14ac:dyDescent="0.35">
      <c r="A1681" s="4" t="s">
        <v>19</v>
      </c>
      <c r="B1681" s="4" t="s">
        <v>353</v>
      </c>
      <c r="C1681" s="4" t="s">
        <v>354</v>
      </c>
      <c r="D1681" s="4" t="s">
        <v>355</v>
      </c>
      <c r="E1681" s="4" t="s">
        <v>42</v>
      </c>
      <c r="F1681" s="4" t="s">
        <v>3543</v>
      </c>
      <c r="G1681" s="4" t="s">
        <v>3544</v>
      </c>
      <c r="H1681" s="4" t="s">
        <v>33</v>
      </c>
      <c r="I1681" s="4" t="s">
        <v>94</v>
      </c>
      <c r="J1681" s="4" t="s">
        <v>28</v>
      </c>
      <c r="K1681" s="4" t="s">
        <v>27</v>
      </c>
      <c r="L1681" s="4" t="s">
        <v>28</v>
      </c>
      <c r="M1681" s="4" t="s">
        <v>34</v>
      </c>
      <c r="N1681" s="4" t="s">
        <v>28</v>
      </c>
    </row>
    <row r="1682" spans="1:14" ht="14.4" thickBot="1" x14ac:dyDescent="0.35">
      <c r="A1682" s="4" t="s">
        <v>19</v>
      </c>
      <c r="B1682" s="4" t="s">
        <v>353</v>
      </c>
      <c r="C1682" s="4" t="s">
        <v>354</v>
      </c>
      <c r="D1682" s="4" t="s">
        <v>355</v>
      </c>
      <c r="E1682" s="4" t="s">
        <v>42</v>
      </c>
      <c r="F1682" s="4" t="s">
        <v>3545</v>
      </c>
      <c r="G1682" s="4" t="s">
        <v>3546</v>
      </c>
      <c r="H1682" s="4" t="s">
        <v>37</v>
      </c>
      <c r="I1682" s="4" t="s">
        <v>38</v>
      </c>
      <c r="J1682" s="4" t="s">
        <v>28</v>
      </c>
      <c r="K1682" s="4" t="s">
        <v>28</v>
      </c>
      <c r="L1682" s="4" t="s">
        <v>27</v>
      </c>
      <c r="M1682" s="4" t="s">
        <v>34</v>
      </c>
      <c r="N1682" s="4" t="s">
        <v>28</v>
      </c>
    </row>
    <row r="1683" spans="1:14" ht="14.4" thickBot="1" x14ac:dyDescent="0.35">
      <c r="A1683" s="4" t="s">
        <v>19</v>
      </c>
      <c r="B1683" s="4" t="s">
        <v>353</v>
      </c>
      <c r="C1683" s="4" t="s">
        <v>354</v>
      </c>
      <c r="D1683" s="4" t="s">
        <v>355</v>
      </c>
      <c r="E1683" s="4" t="s">
        <v>42</v>
      </c>
      <c r="F1683" s="4" t="s">
        <v>3547</v>
      </c>
      <c r="G1683" s="4" t="s">
        <v>3548</v>
      </c>
      <c r="H1683" s="4" t="s">
        <v>69</v>
      </c>
      <c r="I1683" s="4" t="s">
        <v>94</v>
      </c>
      <c r="J1683" s="4" t="s">
        <v>28</v>
      </c>
      <c r="K1683" s="4" t="s">
        <v>27</v>
      </c>
      <c r="L1683" s="4" t="s">
        <v>28</v>
      </c>
      <c r="M1683" s="4" t="s">
        <v>34</v>
      </c>
      <c r="N1683" s="4" t="s">
        <v>28</v>
      </c>
    </row>
    <row r="1684" spans="1:14" ht="14.4" thickBot="1" x14ac:dyDescent="0.35">
      <c r="A1684" s="4" t="s">
        <v>19</v>
      </c>
      <c r="B1684" s="4" t="s">
        <v>353</v>
      </c>
      <c r="C1684" s="4" t="s">
        <v>354</v>
      </c>
      <c r="D1684" s="4" t="s">
        <v>355</v>
      </c>
      <c r="E1684" s="4" t="s">
        <v>42</v>
      </c>
      <c r="F1684" s="4" t="s">
        <v>4345</v>
      </c>
      <c r="G1684" s="4" t="s">
        <v>4346</v>
      </c>
      <c r="H1684" s="4" t="s">
        <v>190</v>
      </c>
      <c r="I1684" s="4" t="s">
        <v>94</v>
      </c>
      <c r="J1684" s="4" t="s">
        <v>27</v>
      </c>
      <c r="K1684" s="4" t="s">
        <v>28</v>
      </c>
      <c r="L1684" s="4" t="s">
        <v>28</v>
      </c>
      <c r="M1684" s="4" t="s">
        <v>34</v>
      </c>
      <c r="N1684" s="4" t="s">
        <v>28</v>
      </c>
    </row>
    <row r="1685" spans="1:14" ht="14.4" thickBot="1" x14ac:dyDescent="0.35">
      <c r="A1685" s="4" t="s">
        <v>19</v>
      </c>
      <c r="B1685" s="4" t="s">
        <v>353</v>
      </c>
      <c r="C1685" s="4" t="s">
        <v>354</v>
      </c>
      <c r="D1685" s="4" t="s">
        <v>355</v>
      </c>
      <c r="E1685" s="4" t="s">
        <v>42</v>
      </c>
      <c r="F1685" s="4" t="s">
        <v>4347</v>
      </c>
      <c r="G1685" s="4" t="s">
        <v>4348</v>
      </c>
      <c r="H1685" s="4" t="s">
        <v>26</v>
      </c>
      <c r="I1685" s="4" t="s">
        <v>26</v>
      </c>
      <c r="J1685" s="4" t="s">
        <v>27</v>
      </c>
      <c r="K1685" s="4" t="s">
        <v>28</v>
      </c>
      <c r="L1685" s="4" t="s">
        <v>28</v>
      </c>
      <c r="M1685" s="4" t="s">
        <v>130</v>
      </c>
      <c r="N1685" s="4" t="s">
        <v>28</v>
      </c>
    </row>
    <row r="1686" spans="1:14" ht="14.4" thickBot="1" x14ac:dyDescent="0.35">
      <c r="A1686" s="4" t="s">
        <v>19</v>
      </c>
      <c r="B1686" s="4" t="s">
        <v>353</v>
      </c>
      <c r="C1686" s="4" t="s">
        <v>354</v>
      </c>
      <c r="D1686" s="4" t="s">
        <v>355</v>
      </c>
      <c r="E1686" s="4" t="s">
        <v>42</v>
      </c>
      <c r="F1686" s="4" t="s">
        <v>4349</v>
      </c>
      <c r="G1686" s="4" t="s">
        <v>4350</v>
      </c>
      <c r="H1686" s="4" t="s">
        <v>37</v>
      </c>
      <c r="I1686" s="4" t="s">
        <v>38</v>
      </c>
      <c r="J1686" s="4" t="s">
        <v>28</v>
      </c>
      <c r="K1686" s="4" t="s">
        <v>28</v>
      </c>
      <c r="L1686" s="4" t="s">
        <v>27</v>
      </c>
      <c r="M1686" s="4" t="s">
        <v>34</v>
      </c>
      <c r="N1686" s="4" t="s">
        <v>28</v>
      </c>
    </row>
    <row r="1687" spans="1:14" ht="14.4" thickBot="1" x14ac:dyDescent="0.35">
      <c r="A1687" s="4" t="s">
        <v>19</v>
      </c>
      <c r="B1687" s="4" t="s">
        <v>353</v>
      </c>
      <c r="C1687" s="4" t="s">
        <v>354</v>
      </c>
      <c r="D1687" s="4" t="s">
        <v>355</v>
      </c>
      <c r="E1687" s="4" t="s">
        <v>42</v>
      </c>
      <c r="F1687" s="4" t="s">
        <v>4351</v>
      </c>
      <c r="G1687" s="4" t="s">
        <v>4352</v>
      </c>
      <c r="H1687" s="4" t="s">
        <v>26</v>
      </c>
      <c r="I1687" s="4" t="s">
        <v>454</v>
      </c>
      <c r="J1687" s="4" t="s">
        <v>27</v>
      </c>
      <c r="K1687" s="4" t="s">
        <v>28</v>
      </c>
      <c r="L1687" s="4" t="s">
        <v>28</v>
      </c>
      <c r="M1687" s="4" t="s">
        <v>34</v>
      </c>
      <c r="N1687" s="4" t="s">
        <v>28</v>
      </c>
    </row>
    <row r="1688" spans="1:14" ht="14.4" thickBot="1" x14ac:dyDescent="0.35">
      <c r="A1688" s="4" t="s">
        <v>19</v>
      </c>
      <c r="B1688" s="4" t="s">
        <v>353</v>
      </c>
      <c r="C1688" s="4" t="s">
        <v>354</v>
      </c>
      <c r="D1688" s="4" t="s">
        <v>355</v>
      </c>
      <c r="E1688" s="4" t="s">
        <v>42</v>
      </c>
      <c r="F1688" s="4" t="s">
        <v>5017</v>
      </c>
      <c r="G1688" s="4" t="s">
        <v>5018</v>
      </c>
      <c r="H1688" s="4" t="s">
        <v>26</v>
      </c>
      <c r="I1688" s="4" t="s">
        <v>26</v>
      </c>
      <c r="J1688" s="4" t="s">
        <v>27</v>
      </c>
      <c r="K1688" s="4" t="s">
        <v>28</v>
      </c>
      <c r="L1688" s="4" t="s">
        <v>28</v>
      </c>
      <c r="M1688" s="4" t="s">
        <v>130</v>
      </c>
      <c r="N1688" s="4" t="s">
        <v>28</v>
      </c>
    </row>
    <row r="1689" spans="1:14" ht="14.4" thickBot="1" x14ac:dyDescent="0.35">
      <c r="A1689" s="4" t="s">
        <v>19</v>
      </c>
      <c r="B1689" s="4" t="s">
        <v>353</v>
      </c>
      <c r="C1689" s="4" t="s">
        <v>354</v>
      </c>
      <c r="D1689" s="4" t="s">
        <v>355</v>
      </c>
      <c r="E1689" s="4" t="s">
        <v>42</v>
      </c>
      <c r="F1689" s="4" t="s">
        <v>5019</v>
      </c>
      <c r="G1689" s="4" t="s">
        <v>5020</v>
      </c>
      <c r="H1689" s="4" t="s">
        <v>26</v>
      </c>
      <c r="I1689" s="4" t="s">
        <v>26</v>
      </c>
      <c r="J1689" s="4" t="s">
        <v>27</v>
      </c>
      <c r="K1689" s="4" t="s">
        <v>28</v>
      </c>
      <c r="L1689" s="4" t="s">
        <v>28</v>
      </c>
      <c r="M1689" s="4" t="s">
        <v>29</v>
      </c>
      <c r="N1689" s="4" t="s">
        <v>28</v>
      </c>
    </row>
    <row r="1690" spans="1:14" ht="14.4" thickBot="1" x14ac:dyDescent="0.35">
      <c r="A1690" s="4" t="s">
        <v>19</v>
      </c>
      <c r="B1690" s="4" t="s">
        <v>353</v>
      </c>
      <c r="C1690" s="4" t="s">
        <v>354</v>
      </c>
      <c r="D1690" s="4" t="s">
        <v>355</v>
      </c>
      <c r="E1690" s="4" t="s">
        <v>42</v>
      </c>
      <c r="F1690" s="4" t="s">
        <v>5716</v>
      </c>
      <c r="G1690" s="4" t="s">
        <v>5717</v>
      </c>
      <c r="H1690" s="4" t="s">
        <v>26</v>
      </c>
      <c r="I1690" s="4" t="s">
        <v>26</v>
      </c>
      <c r="J1690" s="4" t="s">
        <v>27</v>
      </c>
      <c r="K1690" s="4" t="s">
        <v>28</v>
      </c>
      <c r="L1690" s="4" t="s">
        <v>28</v>
      </c>
      <c r="M1690" s="4" t="s">
        <v>29</v>
      </c>
      <c r="N1690" s="4" t="s">
        <v>28</v>
      </c>
    </row>
    <row r="1691" spans="1:14" ht="14.4" thickBot="1" x14ac:dyDescent="0.35">
      <c r="A1691" s="4" t="s">
        <v>19</v>
      </c>
      <c r="B1691" s="4" t="s">
        <v>353</v>
      </c>
      <c r="C1691" s="4" t="s">
        <v>354</v>
      </c>
      <c r="D1691" s="4" t="s">
        <v>355</v>
      </c>
      <c r="E1691" s="4" t="s">
        <v>42</v>
      </c>
      <c r="F1691" s="4" t="s">
        <v>5718</v>
      </c>
      <c r="G1691" s="4" t="s">
        <v>5719</v>
      </c>
      <c r="H1691" s="4" t="s">
        <v>26</v>
      </c>
      <c r="I1691" s="4" t="s">
        <v>94</v>
      </c>
      <c r="J1691" s="5"/>
      <c r="K1691" s="5"/>
      <c r="L1691" s="5"/>
      <c r="M1691" s="4" t="s">
        <v>29</v>
      </c>
      <c r="N1691" s="5"/>
    </row>
    <row r="1692" spans="1:14" ht="14.4" thickBot="1" x14ac:dyDescent="0.35">
      <c r="A1692" s="4" t="s">
        <v>19</v>
      </c>
      <c r="B1692" s="4" t="s">
        <v>353</v>
      </c>
      <c r="C1692" s="4" t="s">
        <v>354</v>
      </c>
      <c r="D1692" s="4" t="s">
        <v>355</v>
      </c>
      <c r="E1692" s="4" t="s">
        <v>42</v>
      </c>
      <c r="F1692" s="4" t="s">
        <v>5720</v>
      </c>
      <c r="G1692" s="4" t="s">
        <v>5721</v>
      </c>
      <c r="H1692" s="4" t="s">
        <v>33</v>
      </c>
      <c r="I1692" s="4" t="s">
        <v>94</v>
      </c>
      <c r="J1692" s="4" t="s">
        <v>28</v>
      </c>
      <c r="K1692" s="4" t="s">
        <v>27</v>
      </c>
      <c r="L1692" s="4" t="s">
        <v>28</v>
      </c>
      <c r="M1692" s="4" t="s">
        <v>34</v>
      </c>
      <c r="N1692" s="4" t="s">
        <v>28</v>
      </c>
    </row>
    <row r="1693" spans="1:14" ht="14.4" thickBot="1" x14ac:dyDescent="0.35">
      <c r="A1693" s="4" t="s">
        <v>19</v>
      </c>
      <c r="B1693" s="4" t="s">
        <v>353</v>
      </c>
      <c r="C1693" s="4" t="s">
        <v>354</v>
      </c>
      <c r="D1693" s="4" t="s">
        <v>355</v>
      </c>
      <c r="E1693" s="4" t="s">
        <v>42</v>
      </c>
      <c r="F1693" s="4" t="s">
        <v>771</v>
      </c>
      <c r="G1693" s="4" t="s">
        <v>5722</v>
      </c>
      <c r="H1693" s="4" t="s">
        <v>26</v>
      </c>
      <c r="I1693" s="4" t="s">
        <v>454</v>
      </c>
      <c r="J1693" s="4" t="s">
        <v>27</v>
      </c>
      <c r="K1693" s="4" t="s">
        <v>28</v>
      </c>
      <c r="L1693" s="4" t="s">
        <v>28</v>
      </c>
      <c r="M1693" s="4" t="s">
        <v>34</v>
      </c>
      <c r="N1693" s="4" t="s">
        <v>28</v>
      </c>
    </row>
    <row r="1694" spans="1:14" ht="14.4" thickBot="1" x14ac:dyDescent="0.35">
      <c r="A1694" s="4" t="s">
        <v>19</v>
      </c>
      <c r="B1694" s="4" t="s">
        <v>353</v>
      </c>
      <c r="C1694" s="4" t="s">
        <v>362</v>
      </c>
      <c r="D1694" s="4" t="s">
        <v>363</v>
      </c>
      <c r="E1694" s="4" t="s">
        <v>23</v>
      </c>
      <c r="F1694" s="4" t="s">
        <v>364</v>
      </c>
      <c r="G1694" s="4" t="s">
        <v>365</v>
      </c>
      <c r="H1694" s="4" t="s">
        <v>26</v>
      </c>
      <c r="I1694" s="4" t="s">
        <v>38</v>
      </c>
      <c r="J1694" s="4" t="s">
        <v>28</v>
      </c>
      <c r="K1694" s="4" t="s">
        <v>28</v>
      </c>
      <c r="L1694" s="4" t="s">
        <v>27</v>
      </c>
      <c r="M1694" s="4" t="s">
        <v>29</v>
      </c>
      <c r="N1694" s="4" t="s">
        <v>28</v>
      </c>
    </row>
    <row r="1695" spans="1:14" ht="14.4" thickBot="1" x14ac:dyDescent="0.35">
      <c r="A1695" s="4" t="s">
        <v>19</v>
      </c>
      <c r="B1695" s="4" t="s">
        <v>353</v>
      </c>
      <c r="C1695" s="4" t="s">
        <v>362</v>
      </c>
      <c r="D1695" s="4" t="s">
        <v>363</v>
      </c>
      <c r="E1695" s="4" t="s">
        <v>23</v>
      </c>
      <c r="F1695" s="4" t="s">
        <v>366</v>
      </c>
      <c r="G1695" s="4" t="s">
        <v>367</v>
      </c>
      <c r="H1695" s="4" t="s">
        <v>26</v>
      </c>
      <c r="I1695" s="4" t="s">
        <v>26</v>
      </c>
      <c r="J1695" s="4" t="s">
        <v>27</v>
      </c>
      <c r="K1695" s="4" t="s">
        <v>28</v>
      </c>
      <c r="L1695" s="4" t="s">
        <v>28</v>
      </c>
      <c r="M1695" s="4" t="s">
        <v>130</v>
      </c>
      <c r="N1695" s="4" t="s">
        <v>28</v>
      </c>
    </row>
    <row r="1696" spans="1:14" ht="14.4" thickBot="1" x14ac:dyDescent="0.35">
      <c r="A1696" s="4" t="s">
        <v>19</v>
      </c>
      <c r="B1696" s="4" t="s">
        <v>353</v>
      </c>
      <c r="C1696" s="4" t="s">
        <v>362</v>
      </c>
      <c r="D1696" s="4" t="s">
        <v>363</v>
      </c>
      <c r="E1696" s="4" t="s">
        <v>23</v>
      </c>
      <c r="F1696" s="4" t="s">
        <v>368</v>
      </c>
      <c r="G1696" s="4" t="s">
        <v>369</v>
      </c>
      <c r="H1696" s="4" t="s">
        <v>26</v>
      </c>
      <c r="I1696" s="4" t="s">
        <v>26</v>
      </c>
      <c r="J1696" s="4" t="s">
        <v>27</v>
      </c>
      <c r="K1696" s="4" t="s">
        <v>28</v>
      </c>
      <c r="L1696" s="4" t="s">
        <v>28</v>
      </c>
      <c r="M1696" s="4" t="s">
        <v>29</v>
      </c>
      <c r="N1696" s="4" t="s">
        <v>28</v>
      </c>
    </row>
    <row r="1697" spans="1:14" ht="14.4" thickBot="1" x14ac:dyDescent="0.35">
      <c r="A1697" s="4" t="s">
        <v>19</v>
      </c>
      <c r="B1697" s="4" t="s">
        <v>353</v>
      </c>
      <c r="C1697" s="4" t="s">
        <v>362</v>
      </c>
      <c r="D1697" s="4" t="s">
        <v>363</v>
      </c>
      <c r="E1697" s="4" t="s">
        <v>23</v>
      </c>
      <c r="F1697" s="4" t="s">
        <v>1289</v>
      </c>
      <c r="G1697" s="4" t="s">
        <v>1290</v>
      </c>
      <c r="H1697" s="4" t="s">
        <v>26</v>
      </c>
      <c r="I1697" s="4" t="s">
        <v>33</v>
      </c>
      <c r="J1697" s="4" t="s">
        <v>27</v>
      </c>
      <c r="K1697" s="4" t="s">
        <v>28</v>
      </c>
      <c r="L1697" s="4" t="s">
        <v>28</v>
      </c>
      <c r="M1697" s="4" t="s">
        <v>34</v>
      </c>
      <c r="N1697" s="4" t="s">
        <v>28</v>
      </c>
    </row>
    <row r="1698" spans="1:14" ht="14.4" thickBot="1" x14ac:dyDescent="0.35">
      <c r="A1698" s="4" t="s">
        <v>19</v>
      </c>
      <c r="B1698" s="4" t="s">
        <v>353</v>
      </c>
      <c r="C1698" s="4" t="s">
        <v>362</v>
      </c>
      <c r="D1698" s="4" t="s">
        <v>363</v>
      </c>
      <c r="E1698" s="4" t="s">
        <v>23</v>
      </c>
      <c r="F1698" s="4" t="s">
        <v>2095</v>
      </c>
      <c r="G1698" s="4" t="s">
        <v>2096</v>
      </c>
      <c r="H1698" s="4" t="s">
        <v>26</v>
      </c>
      <c r="I1698" s="4" t="s">
        <v>26</v>
      </c>
      <c r="J1698" s="4" t="s">
        <v>27</v>
      </c>
      <c r="K1698" s="4" t="s">
        <v>28</v>
      </c>
      <c r="L1698" s="4" t="s">
        <v>28</v>
      </c>
      <c r="M1698" s="4" t="s">
        <v>29</v>
      </c>
      <c r="N1698" s="4" t="s">
        <v>28</v>
      </c>
    </row>
    <row r="1699" spans="1:14" ht="14.4" thickBot="1" x14ac:dyDescent="0.35">
      <c r="A1699" s="4" t="s">
        <v>19</v>
      </c>
      <c r="B1699" s="4" t="s">
        <v>353</v>
      </c>
      <c r="C1699" s="4" t="s">
        <v>362</v>
      </c>
      <c r="D1699" s="4" t="s">
        <v>363</v>
      </c>
      <c r="E1699" s="4" t="s">
        <v>23</v>
      </c>
      <c r="F1699" s="4" t="s">
        <v>2097</v>
      </c>
      <c r="G1699" s="4" t="s">
        <v>2098</v>
      </c>
      <c r="H1699" s="4" t="s">
        <v>26</v>
      </c>
      <c r="I1699" s="4" t="s">
        <v>33</v>
      </c>
      <c r="J1699" s="4" t="s">
        <v>27</v>
      </c>
      <c r="K1699" s="4" t="s">
        <v>28</v>
      </c>
      <c r="L1699" s="4" t="s">
        <v>28</v>
      </c>
      <c r="M1699" s="4" t="s">
        <v>34</v>
      </c>
      <c r="N1699" s="4" t="s">
        <v>28</v>
      </c>
    </row>
    <row r="1700" spans="1:14" ht="14.4" thickBot="1" x14ac:dyDescent="0.35">
      <c r="A1700" s="4" t="s">
        <v>19</v>
      </c>
      <c r="B1700" s="4" t="s">
        <v>353</v>
      </c>
      <c r="C1700" s="4" t="s">
        <v>362</v>
      </c>
      <c r="D1700" s="4" t="s">
        <v>363</v>
      </c>
      <c r="E1700" s="4" t="s">
        <v>23</v>
      </c>
      <c r="F1700" s="4" t="s">
        <v>2795</v>
      </c>
      <c r="G1700" s="4" t="s">
        <v>2796</v>
      </c>
      <c r="H1700" s="4" t="s">
        <v>37</v>
      </c>
      <c r="I1700" s="4" t="s">
        <v>38</v>
      </c>
      <c r="J1700" s="4" t="s">
        <v>28</v>
      </c>
      <c r="K1700" s="4" t="s">
        <v>28</v>
      </c>
      <c r="L1700" s="4" t="s">
        <v>27</v>
      </c>
      <c r="M1700" s="4" t="s">
        <v>34</v>
      </c>
      <c r="N1700" s="4" t="s">
        <v>28</v>
      </c>
    </row>
    <row r="1701" spans="1:14" ht="14.4" thickBot="1" x14ac:dyDescent="0.35">
      <c r="A1701" s="4" t="s">
        <v>19</v>
      </c>
      <c r="B1701" s="4" t="s">
        <v>353</v>
      </c>
      <c r="C1701" s="4" t="s">
        <v>362</v>
      </c>
      <c r="D1701" s="4" t="s">
        <v>363</v>
      </c>
      <c r="E1701" s="4" t="s">
        <v>23</v>
      </c>
      <c r="F1701" s="4" t="s">
        <v>2797</v>
      </c>
      <c r="G1701" s="4" t="s">
        <v>2798</v>
      </c>
      <c r="H1701" s="4" t="s">
        <v>69</v>
      </c>
      <c r="I1701" s="4" t="s">
        <v>94</v>
      </c>
      <c r="J1701" s="4" t="s">
        <v>28</v>
      </c>
      <c r="K1701" s="4" t="s">
        <v>27</v>
      </c>
      <c r="L1701" s="4" t="s">
        <v>28</v>
      </c>
      <c r="M1701" s="4" t="s">
        <v>34</v>
      </c>
      <c r="N1701" s="4" t="s">
        <v>28</v>
      </c>
    </row>
    <row r="1702" spans="1:14" ht="14.4" thickBot="1" x14ac:dyDescent="0.35">
      <c r="A1702" s="4" t="s">
        <v>19</v>
      </c>
      <c r="B1702" s="4" t="s">
        <v>353</v>
      </c>
      <c r="C1702" s="4" t="s">
        <v>362</v>
      </c>
      <c r="D1702" s="4" t="s">
        <v>363</v>
      </c>
      <c r="E1702" s="4" t="s">
        <v>23</v>
      </c>
      <c r="F1702" s="4" t="s">
        <v>3549</v>
      </c>
      <c r="G1702" s="4" t="s">
        <v>3550</v>
      </c>
      <c r="H1702" s="4" t="s">
        <v>69</v>
      </c>
      <c r="I1702" s="4" t="s">
        <v>94</v>
      </c>
      <c r="J1702" s="4" t="s">
        <v>28</v>
      </c>
      <c r="K1702" s="4" t="s">
        <v>27</v>
      </c>
      <c r="L1702" s="4" t="s">
        <v>28</v>
      </c>
      <c r="M1702" s="4" t="s">
        <v>34</v>
      </c>
      <c r="N1702" s="4" t="s">
        <v>28</v>
      </c>
    </row>
    <row r="1703" spans="1:14" ht="14.4" thickBot="1" x14ac:dyDescent="0.35">
      <c r="A1703" s="4" t="s">
        <v>19</v>
      </c>
      <c r="B1703" s="4" t="s">
        <v>353</v>
      </c>
      <c r="C1703" s="4" t="s">
        <v>362</v>
      </c>
      <c r="D1703" s="4" t="s">
        <v>363</v>
      </c>
      <c r="E1703" s="4" t="s">
        <v>23</v>
      </c>
      <c r="F1703" s="4" t="s">
        <v>3551</v>
      </c>
      <c r="G1703" s="4" t="s">
        <v>3552</v>
      </c>
      <c r="H1703" s="4" t="s">
        <v>26</v>
      </c>
      <c r="I1703" s="4" t="s">
        <v>26</v>
      </c>
      <c r="J1703" s="4" t="s">
        <v>27</v>
      </c>
      <c r="K1703" s="4" t="s">
        <v>28</v>
      </c>
      <c r="L1703" s="4" t="s">
        <v>28</v>
      </c>
      <c r="M1703" s="4" t="s">
        <v>29</v>
      </c>
      <c r="N1703" s="4" t="s">
        <v>28</v>
      </c>
    </row>
    <row r="1704" spans="1:14" ht="14.4" thickBot="1" x14ac:dyDescent="0.35">
      <c r="A1704" s="4" t="s">
        <v>19</v>
      </c>
      <c r="B1704" s="4" t="s">
        <v>353</v>
      </c>
      <c r="C1704" s="4" t="s">
        <v>362</v>
      </c>
      <c r="D1704" s="4" t="s">
        <v>363</v>
      </c>
      <c r="E1704" s="4" t="s">
        <v>23</v>
      </c>
      <c r="F1704" s="4" t="s">
        <v>3553</v>
      </c>
      <c r="G1704" s="4" t="s">
        <v>3554</v>
      </c>
      <c r="H1704" s="4" t="s">
        <v>26</v>
      </c>
      <c r="I1704" s="4" t="s">
        <v>33</v>
      </c>
      <c r="J1704" s="4" t="s">
        <v>27</v>
      </c>
      <c r="K1704" s="4" t="s">
        <v>28</v>
      </c>
      <c r="L1704" s="4" t="s">
        <v>28</v>
      </c>
      <c r="M1704" s="4" t="s">
        <v>34</v>
      </c>
      <c r="N1704" s="4" t="s">
        <v>28</v>
      </c>
    </row>
    <row r="1705" spans="1:14" ht="14.4" thickBot="1" x14ac:dyDescent="0.35">
      <c r="A1705" s="4" t="s">
        <v>19</v>
      </c>
      <c r="B1705" s="4" t="s">
        <v>353</v>
      </c>
      <c r="C1705" s="4" t="s">
        <v>362</v>
      </c>
      <c r="D1705" s="4" t="s">
        <v>363</v>
      </c>
      <c r="E1705" s="4" t="s">
        <v>23</v>
      </c>
      <c r="F1705" s="4" t="s">
        <v>3555</v>
      </c>
      <c r="G1705" s="4" t="s">
        <v>3556</v>
      </c>
      <c r="H1705" s="4" t="s">
        <v>26</v>
      </c>
      <c r="I1705" s="4" t="s">
        <v>33</v>
      </c>
      <c r="J1705" s="4" t="s">
        <v>27</v>
      </c>
      <c r="K1705" s="4" t="s">
        <v>28</v>
      </c>
      <c r="L1705" s="4" t="s">
        <v>28</v>
      </c>
      <c r="M1705" s="4" t="s">
        <v>34</v>
      </c>
      <c r="N1705" s="4" t="s">
        <v>28</v>
      </c>
    </row>
    <row r="1706" spans="1:14" ht="14.4" thickBot="1" x14ac:dyDescent="0.35">
      <c r="A1706" s="4" t="s">
        <v>19</v>
      </c>
      <c r="B1706" s="4" t="s">
        <v>353</v>
      </c>
      <c r="C1706" s="4" t="s">
        <v>362</v>
      </c>
      <c r="D1706" s="4" t="s">
        <v>363</v>
      </c>
      <c r="E1706" s="4" t="s">
        <v>23</v>
      </c>
      <c r="F1706" s="4" t="s">
        <v>3557</v>
      </c>
      <c r="G1706" s="4" t="s">
        <v>3558</v>
      </c>
      <c r="H1706" s="4" t="s">
        <v>26</v>
      </c>
      <c r="I1706" s="4" t="s">
        <v>26</v>
      </c>
      <c r="J1706" s="4" t="s">
        <v>27</v>
      </c>
      <c r="K1706" s="4" t="s">
        <v>28</v>
      </c>
      <c r="L1706" s="4" t="s">
        <v>28</v>
      </c>
      <c r="M1706" s="4" t="s">
        <v>130</v>
      </c>
      <c r="N1706" s="4" t="s">
        <v>28</v>
      </c>
    </row>
    <row r="1707" spans="1:14" ht="14.4" thickBot="1" x14ac:dyDescent="0.35">
      <c r="A1707" s="4" t="s">
        <v>19</v>
      </c>
      <c r="B1707" s="4" t="s">
        <v>353</v>
      </c>
      <c r="C1707" s="4" t="s">
        <v>362</v>
      </c>
      <c r="D1707" s="4" t="s">
        <v>363</v>
      </c>
      <c r="E1707" s="4" t="s">
        <v>23</v>
      </c>
      <c r="F1707" s="4" t="s">
        <v>3559</v>
      </c>
      <c r="G1707" s="4" t="s">
        <v>3560</v>
      </c>
      <c r="H1707" s="4" t="s">
        <v>26</v>
      </c>
      <c r="I1707" s="4" t="s">
        <v>33</v>
      </c>
      <c r="J1707" s="4" t="s">
        <v>27</v>
      </c>
      <c r="K1707" s="4" t="s">
        <v>28</v>
      </c>
      <c r="L1707" s="4" t="s">
        <v>28</v>
      </c>
      <c r="M1707" s="4" t="s">
        <v>34</v>
      </c>
      <c r="N1707" s="4" t="s">
        <v>28</v>
      </c>
    </row>
    <row r="1708" spans="1:14" ht="14.4" thickBot="1" x14ac:dyDescent="0.35">
      <c r="A1708" s="4" t="s">
        <v>19</v>
      </c>
      <c r="B1708" s="4" t="s">
        <v>353</v>
      </c>
      <c r="C1708" s="4" t="s">
        <v>362</v>
      </c>
      <c r="D1708" s="4" t="s">
        <v>363</v>
      </c>
      <c r="E1708" s="4" t="s">
        <v>23</v>
      </c>
      <c r="F1708" s="4" t="s">
        <v>4353</v>
      </c>
      <c r="G1708" s="4" t="s">
        <v>1359</v>
      </c>
      <c r="H1708" s="4" t="s">
        <v>26</v>
      </c>
      <c r="I1708" s="4" t="s">
        <v>33</v>
      </c>
      <c r="J1708" s="4" t="s">
        <v>27</v>
      </c>
      <c r="K1708" s="4" t="s">
        <v>28</v>
      </c>
      <c r="L1708" s="4" t="s">
        <v>28</v>
      </c>
      <c r="M1708" s="4" t="s">
        <v>34</v>
      </c>
      <c r="N1708" s="4" t="s">
        <v>28</v>
      </c>
    </row>
    <row r="1709" spans="1:14" ht="14.4" thickBot="1" x14ac:dyDescent="0.35">
      <c r="A1709" s="4" t="s">
        <v>19</v>
      </c>
      <c r="B1709" s="4" t="s">
        <v>353</v>
      </c>
      <c r="C1709" s="4" t="s">
        <v>362</v>
      </c>
      <c r="D1709" s="4" t="s">
        <v>363</v>
      </c>
      <c r="E1709" s="4" t="s">
        <v>23</v>
      </c>
      <c r="F1709" s="4" t="s">
        <v>5021</v>
      </c>
      <c r="G1709" s="4" t="s">
        <v>5022</v>
      </c>
      <c r="H1709" s="4" t="s">
        <v>37</v>
      </c>
      <c r="I1709" s="4" t="s">
        <v>38</v>
      </c>
      <c r="J1709" s="4" t="s">
        <v>28</v>
      </c>
      <c r="K1709" s="4" t="s">
        <v>28</v>
      </c>
      <c r="L1709" s="4" t="s">
        <v>27</v>
      </c>
      <c r="M1709" s="4" t="s">
        <v>34</v>
      </c>
      <c r="N1709" s="4" t="s">
        <v>28</v>
      </c>
    </row>
    <row r="1710" spans="1:14" ht="14.4" thickBot="1" x14ac:dyDescent="0.35">
      <c r="A1710" s="4" t="s">
        <v>19</v>
      </c>
      <c r="B1710" s="4" t="s">
        <v>353</v>
      </c>
      <c r="C1710" s="4" t="s">
        <v>1123</v>
      </c>
      <c r="D1710" s="4" t="s">
        <v>2933</v>
      </c>
      <c r="E1710" s="4" t="s">
        <v>48</v>
      </c>
      <c r="F1710" s="4" t="s">
        <v>2934</v>
      </c>
      <c r="G1710" s="4" t="s">
        <v>2935</v>
      </c>
      <c r="H1710" s="4" t="s">
        <v>26</v>
      </c>
      <c r="I1710" s="4" t="s">
        <v>158</v>
      </c>
      <c r="J1710" s="4" t="s">
        <v>27</v>
      </c>
      <c r="K1710" s="4" t="s">
        <v>28</v>
      </c>
      <c r="L1710" s="4" t="s">
        <v>28</v>
      </c>
      <c r="M1710" s="4" t="s">
        <v>34</v>
      </c>
      <c r="N1710" s="4" t="s">
        <v>28</v>
      </c>
    </row>
    <row r="1711" spans="1:14" ht="14.4" thickBot="1" x14ac:dyDescent="0.35">
      <c r="A1711" s="4" t="s">
        <v>19</v>
      </c>
      <c r="B1711" s="4" t="s">
        <v>353</v>
      </c>
      <c r="C1711" s="4" t="s">
        <v>1123</v>
      </c>
      <c r="D1711" s="4" t="s">
        <v>2933</v>
      </c>
      <c r="E1711" s="4" t="s">
        <v>48</v>
      </c>
      <c r="F1711" s="4" t="s">
        <v>2936</v>
      </c>
      <c r="G1711" s="4" t="s">
        <v>2937</v>
      </c>
      <c r="H1711" s="4" t="s">
        <v>61</v>
      </c>
      <c r="I1711" s="4" t="s">
        <v>33</v>
      </c>
      <c r="J1711" s="4" t="s">
        <v>27</v>
      </c>
      <c r="K1711" s="4" t="s">
        <v>28</v>
      </c>
      <c r="L1711" s="4" t="s">
        <v>28</v>
      </c>
      <c r="M1711" s="4" t="s">
        <v>34</v>
      </c>
      <c r="N1711" s="4" t="s">
        <v>28</v>
      </c>
    </row>
    <row r="1712" spans="1:14" ht="14.4" thickBot="1" x14ac:dyDescent="0.35">
      <c r="A1712" s="4" t="s">
        <v>19</v>
      </c>
      <c r="B1712" s="4" t="s">
        <v>353</v>
      </c>
      <c r="C1712" s="4" t="s">
        <v>1123</v>
      </c>
      <c r="D1712" s="4" t="s">
        <v>2933</v>
      </c>
      <c r="E1712" s="4" t="s">
        <v>48</v>
      </c>
      <c r="F1712" s="4" t="s">
        <v>2938</v>
      </c>
      <c r="G1712" s="4" t="s">
        <v>2939</v>
      </c>
      <c r="H1712" s="4" t="s">
        <v>37</v>
      </c>
      <c r="I1712" s="4" t="s">
        <v>38</v>
      </c>
      <c r="J1712" s="4" t="s">
        <v>28</v>
      </c>
      <c r="K1712" s="4" t="s">
        <v>28</v>
      </c>
      <c r="L1712" s="4" t="s">
        <v>27</v>
      </c>
      <c r="M1712" s="4" t="s">
        <v>34</v>
      </c>
      <c r="N1712" s="4" t="s">
        <v>28</v>
      </c>
    </row>
    <row r="1713" spans="1:14" ht="14.4" thickBot="1" x14ac:dyDescent="0.35">
      <c r="A1713" s="4" t="s">
        <v>19</v>
      </c>
      <c r="B1713" s="4" t="s">
        <v>353</v>
      </c>
      <c r="C1713" s="4" t="s">
        <v>1123</v>
      </c>
      <c r="D1713" s="4" t="s">
        <v>2933</v>
      </c>
      <c r="E1713" s="4" t="s">
        <v>48</v>
      </c>
      <c r="F1713" s="4" t="s">
        <v>3009</v>
      </c>
      <c r="G1713" s="4" t="s">
        <v>3010</v>
      </c>
      <c r="H1713" s="4" t="s">
        <v>26</v>
      </c>
      <c r="I1713" s="4" t="s">
        <v>26</v>
      </c>
      <c r="J1713" s="4" t="s">
        <v>27</v>
      </c>
      <c r="K1713" s="4" t="s">
        <v>28</v>
      </c>
      <c r="L1713" s="4" t="s">
        <v>28</v>
      </c>
      <c r="M1713" s="4" t="s">
        <v>130</v>
      </c>
      <c r="N1713" s="4" t="s">
        <v>28</v>
      </c>
    </row>
    <row r="1714" spans="1:14" ht="14.4" thickBot="1" x14ac:dyDescent="0.35">
      <c r="A1714" s="4" t="s">
        <v>19</v>
      </c>
      <c r="B1714" s="4" t="s">
        <v>353</v>
      </c>
      <c r="C1714" s="4" t="s">
        <v>1123</v>
      </c>
      <c r="D1714" s="4" t="s">
        <v>2933</v>
      </c>
      <c r="E1714" s="4" t="s">
        <v>48</v>
      </c>
      <c r="F1714" s="4" t="s">
        <v>4454</v>
      </c>
      <c r="G1714" s="4" t="s">
        <v>4455</v>
      </c>
      <c r="H1714" s="4" t="s">
        <v>69</v>
      </c>
      <c r="I1714" s="4" t="s">
        <v>94</v>
      </c>
      <c r="J1714" s="4" t="s">
        <v>28</v>
      </c>
      <c r="K1714" s="4" t="s">
        <v>27</v>
      </c>
      <c r="L1714" s="4" t="s">
        <v>28</v>
      </c>
      <c r="M1714" s="4" t="s">
        <v>34</v>
      </c>
      <c r="N1714" s="4" t="s">
        <v>28</v>
      </c>
    </row>
    <row r="1715" spans="1:14" ht="14.4" thickBot="1" x14ac:dyDescent="0.35">
      <c r="A1715" s="4" t="s">
        <v>19</v>
      </c>
      <c r="B1715" s="4" t="s">
        <v>1445</v>
      </c>
      <c r="C1715" s="4" t="s">
        <v>1446</v>
      </c>
      <c r="D1715" s="4" t="s">
        <v>1447</v>
      </c>
      <c r="E1715" s="4" t="s">
        <v>48</v>
      </c>
      <c r="F1715" s="4" t="s">
        <v>1448</v>
      </c>
      <c r="G1715" s="4" t="s">
        <v>1449</v>
      </c>
      <c r="H1715" s="4" t="s">
        <v>69</v>
      </c>
      <c r="I1715" s="4" t="s">
        <v>38</v>
      </c>
      <c r="J1715" s="4" t="s">
        <v>28</v>
      </c>
      <c r="K1715" s="4" t="s">
        <v>28</v>
      </c>
      <c r="L1715" s="4" t="s">
        <v>27</v>
      </c>
      <c r="M1715" s="4" t="s">
        <v>34</v>
      </c>
      <c r="N1715" s="4" t="s">
        <v>28</v>
      </c>
    </row>
    <row r="1716" spans="1:14" ht="14.4" thickBot="1" x14ac:dyDescent="0.35">
      <c r="A1716" s="4" t="s">
        <v>19</v>
      </c>
      <c r="B1716" s="4" t="s">
        <v>1445</v>
      </c>
      <c r="C1716" s="4" t="s">
        <v>1446</v>
      </c>
      <c r="D1716" s="4" t="s">
        <v>1447</v>
      </c>
      <c r="E1716" s="4" t="s">
        <v>48</v>
      </c>
      <c r="F1716" s="4" t="s">
        <v>1534</v>
      </c>
      <c r="G1716" s="4" t="s">
        <v>1535</v>
      </c>
      <c r="H1716" s="4" t="s">
        <v>26</v>
      </c>
      <c r="I1716" s="4" t="s">
        <v>26</v>
      </c>
      <c r="J1716" s="4" t="s">
        <v>27</v>
      </c>
      <c r="K1716" s="4" t="s">
        <v>28</v>
      </c>
      <c r="L1716" s="4" t="s">
        <v>28</v>
      </c>
      <c r="M1716" s="4" t="s">
        <v>29</v>
      </c>
      <c r="N1716" s="4" t="s">
        <v>28</v>
      </c>
    </row>
    <row r="1717" spans="1:14" ht="14.4" thickBot="1" x14ac:dyDescent="0.35">
      <c r="A1717" s="4" t="s">
        <v>19</v>
      </c>
      <c r="B1717" s="4" t="s">
        <v>1445</v>
      </c>
      <c r="C1717" s="4" t="s">
        <v>1446</v>
      </c>
      <c r="D1717" s="4" t="s">
        <v>1447</v>
      </c>
      <c r="E1717" s="4" t="s">
        <v>48</v>
      </c>
      <c r="F1717" s="4" t="s">
        <v>3675</v>
      </c>
      <c r="G1717" s="4" t="s">
        <v>3676</v>
      </c>
      <c r="H1717" s="4" t="s">
        <v>26</v>
      </c>
      <c r="I1717" s="4" t="s">
        <v>33</v>
      </c>
      <c r="J1717" s="4" t="s">
        <v>27</v>
      </c>
      <c r="K1717" s="4" t="s">
        <v>28</v>
      </c>
      <c r="L1717" s="4" t="s">
        <v>28</v>
      </c>
      <c r="M1717" s="4" t="s">
        <v>34</v>
      </c>
      <c r="N1717" s="4" t="s">
        <v>28</v>
      </c>
    </row>
    <row r="1718" spans="1:14" ht="14.4" thickBot="1" x14ac:dyDescent="0.35">
      <c r="A1718" s="4" t="s">
        <v>19</v>
      </c>
      <c r="B1718" s="4" t="s">
        <v>495</v>
      </c>
      <c r="C1718" s="4" t="s">
        <v>1450</v>
      </c>
      <c r="D1718" s="4" t="s">
        <v>1451</v>
      </c>
      <c r="E1718" s="4" t="s">
        <v>23</v>
      </c>
      <c r="F1718" s="4" t="s">
        <v>1452</v>
      </c>
      <c r="G1718" s="4" t="s">
        <v>1453</v>
      </c>
      <c r="H1718" s="4" t="s">
        <v>37</v>
      </c>
      <c r="I1718" s="4" t="s">
        <v>38</v>
      </c>
      <c r="J1718" s="4" t="s">
        <v>28</v>
      </c>
      <c r="K1718" s="4" t="s">
        <v>28</v>
      </c>
      <c r="L1718" s="4" t="s">
        <v>27</v>
      </c>
      <c r="M1718" s="4" t="s">
        <v>34</v>
      </c>
      <c r="N1718" s="4" t="s">
        <v>28</v>
      </c>
    </row>
    <row r="1719" spans="1:14" ht="14.4" thickBot="1" x14ac:dyDescent="0.35">
      <c r="A1719" s="4" t="s">
        <v>19</v>
      </c>
      <c r="B1719" s="4" t="s">
        <v>495</v>
      </c>
      <c r="C1719" s="4" t="s">
        <v>1450</v>
      </c>
      <c r="D1719" s="4" t="s">
        <v>1451</v>
      </c>
      <c r="E1719" s="4" t="s">
        <v>23</v>
      </c>
      <c r="F1719" s="4" t="s">
        <v>5159</v>
      </c>
      <c r="G1719" s="4" t="s">
        <v>5160</v>
      </c>
      <c r="H1719" s="4" t="s">
        <v>135</v>
      </c>
      <c r="I1719" s="4" t="s">
        <v>94</v>
      </c>
      <c r="J1719" s="4" t="s">
        <v>27</v>
      </c>
      <c r="K1719" s="4" t="s">
        <v>28</v>
      </c>
      <c r="L1719" s="4" t="s">
        <v>28</v>
      </c>
      <c r="M1719" s="4" t="s">
        <v>34</v>
      </c>
      <c r="N1719" s="4" t="s">
        <v>28</v>
      </c>
    </row>
    <row r="1720" spans="1:14" ht="14.4" thickBot="1" x14ac:dyDescent="0.35">
      <c r="A1720" s="4" t="s">
        <v>19</v>
      </c>
      <c r="B1720" s="4" t="s">
        <v>495</v>
      </c>
      <c r="C1720" s="4" t="s">
        <v>1450</v>
      </c>
      <c r="D1720" s="4" t="s">
        <v>1451</v>
      </c>
      <c r="E1720" s="4" t="s">
        <v>23</v>
      </c>
      <c r="F1720" s="4" t="s">
        <v>5204</v>
      </c>
      <c r="G1720" s="4" t="s">
        <v>5205</v>
      </c>
      <c r="H1720" s="4" t="s">
        <v>135</v>
      </c>
      <c r="I1720" s="4" t="s">
        <v>38</v>
      </c>
      <c r="J1720" s="4" t="s">
        <v>28</v>
      </c>
      <c r="K1720" s="4" t="s">
        <v>28</v>
      </c>
      <c r="L1720" s="4" t="s">
        <v>27</v>
      </c>
      <c r="M1720" s="4" t="s">
        <v>29</v>
      </c>
      <c r="N1720" s="4" t="s">
        <v>28</v>
      </c>
    </row>
    <row r="1721" spans="1:14" ht="14.4" thickBot="1" x14ac:dyDescent="0.35">
      <c r="A1721" s="4" t="s">
        <v>19</v>
      </c>
      <c r="B1721" s="4" t="s">
        <v>495</v>
      </c>
      <c r="C1721" s="4" t="s">
        <v>1450</v>
      </c>
      <c r="D1721" s="4" t="s">
        <v>1451</v>
      </c>
      <c r="E1721" s="4" t="s">
        <v>23</v>
      </c>
      <c r="F1721" s="4" t="s">
        <v>5885</v>
      </c>
      <c r="G1721" s="4" t="s">
        <v>5886</v>
      </c>
      <c r="H1721" s="4" t="s">
        <v>26</v>
      </c>
      <c r="I1721" s="4" t="s">
        <v>26</v>
      </c>
      <c r="J1721" s="4" t="s">
        <v>27</v>
      </c>
      <c r="K1721" s="4" t="s">
        <v>28</v>
      </c>
      <c r="L1721" s="4" t="s">
        <v>28</v>
      </c>
      <c r="M1721" s="4" t="s">
        <v>29</v>
      </c>
      <c r="N1721" s="4" t="s">
        <v>28</v>
      </c>
    </row>
    <row r="1722" spans="1:14" ht="14.4" thickBot="1" x14ac:dyDescent="0.35">
      <c r="A1722" s="4" t="s">
        <v>19</v>
      </c>
      <c r="B1722" s="4" t="s">
        <v>495</v>
      </c>
      <c r="C1722" s="4" t="s">
        <v>496</v>
      </c>
      <c r="D1722" s="4" t="s">
        <v>497</v>
      </c>
      <c r="E1722" s="4" t="s">
        <v>23</v>
      </c>
      <c r="F1722" s="4" t="s">
        <v>498</v>
      </c>
      <c r="G1722" s="4" t="s">
        <v>499</v>
      </c>
      <c r="H1722" s="4" t="s">
        <v>69</v>
      </c>
      <c r="I1722" s="4" t="s">
        <v>94</v>
      </c>
      <c r="J1722" s="4" t="s">
        <v>28</v>
      </c>
      <c r="K1722" s="4" t="s">
        <v>27</v>
      </c>
      <c r="L1722" s="4" t="s">
        <v>28</v>
      </c>
      <c r="M1722" s="4" t="s">
        <v>34</v>
      </c>
      <c r="N1722" s="4" t="s">
        <v>28</v>
      </c>
    </row>
    <row r="1723" spans="1:14" ht="14.4" thickBot="1" x14ac:dyDescent="0.35">
      <c r="A1723" s="4" t="s">
        <v>19</v>
      </c>
      <c r="B1723" s="4" t="s">
        <v>495</v>
      </c>
      <c r="C1723" s="4" t="s">
        <v>496</v>
      </c>
      <c r="D1723" s="4" t="s">
        <v>497</v>
      </c>
      <c r="E1723" s="4" t="s">
        <v>23</v>
      </c>
      <c r="F1723" s="4" t="s">
        <v>583</v>
      </c>
      <c r="G1723" s="4" t="s">
        <v>584</v>
      </c>
      <c r="H1723" s="4" t="s">
        <v>135</v>
      </c>
      <c r="I1723" s="4" t="s">
        <v>38</v>
      </c>
      <c r="J1723" s="4" t="s">
        <v>28</v>
      </c>
      <c r="K1723" s="4" t="s">
        <v>28</v>
      </c>
      <c r="L1723" s="4" t="s">
        <v>27</v>
      </c>
      <c r="M1723" s="4" t="s">
        <v>29</v>
      </c>
      <c r="N1723" s="4" t="s">
        <v>28</v>
      </c>
    </row>
    <row r="1724" spans="1:14" ht="14.4" thickBot="1" x14ac:dyDescent="0.35">
      <c r="A1724" s="4" t="s">
        <v>19</v>
      </c>
      <c r="B1724" s="4" t="s">
        <v>495</v>
      </c>
      <c r="C1724" s="4" t="s">
        <v>496</v>
      </c>
      <c r="D1724" s="4" t="s">
        <v>497</v>
      </c>
      <c r="E1724" s="4" t="s">
        <v>23</v>
      </c>
      <c r="F1724" s="4" t="s">
        <v>585</v>
      </c>
      <c r="G1724" s="4" t="s">
        <v>586</v>
      </c>
      <c r="H1724" s="4" t="s">
        <v>26</v>
      </c>
      <c r="I1724" s="4" t="s">
        <v>26</v>
      </c>
      <c r="J1724" s="4" t="s">
        <v>27</v>
      </c>
      <c r="K1724" s="4" t="s">
        <v>28</v>
      </c>
      <c r="L1724" s="4" t="s">
        <v>28</v>
      </c>
      <c r="M1724" s="4" t="s">
        <v>29</v>
      </c>
      <c r="N1724" s="4" t="s">
        <v>28</v>
      </c>
    </row>
    <row r="1725" spans="1:14" ht="14.4" thickBot="1" x14ac:dyDescent="0.35">
      <c r="A1725" s="4" t="s">
        <v>19</v>
      </c>
      <c r="B1725" s="4" t="s">
        <v>495</v>
      </c>
      <c r="C1725" s="4" t="s">
        <v>496</v>
      </c>
      <c r="D1725" s="4" t="s">
        <v>497</v>
      </c>
      <c r="E1725" s="4" t="s">
        <v>23</v>
      </c>
      <c r="F1725" s="4" t="s">
        <v>2940</v>
      </c>
      <c r="G1725" s="4" t="s">
        <v>2941</v>
      </c>
      <c r="H1725" s="4" t="s">
        <v>26</v>
      </c>
      <c r="I1725" s="4" t="s">
        <v>33</v>
      </c>
      <c r="J1725" s="4" t="s">
        <v>27</v>
      </c>
      <c r="K1725" s="4" t="s">
        <v>28</v>
      </c>
      <c r="L1725" s="4" t="s">
        <v>28</v>
      </c>
      <c r="M1725" s="4" t="s">
        <v>34</v>
      </c>
      <c r="N1725" s="4" t="s">
        <v>28</v>
      </c>
    </row>
    <row r="1726" spans="1:14" ht="14.4" thickBot="1" x14ac:dyDescent="0.35">
      <c r="A1726" s="4" t="s">
        <v>19</v>
      </c>
      <c r="B1726" s="4" t="s">
        <v>495</v>
      </c>
      <c r="C1726" s="4" t="s">
        <v>496</v>
      </c>
      <c r="D1726" s="4" t="s">
        <v>497</v>
      </c>
      <c r="E1726" s="4" t="s">
        <v>23</v>
      </c>
      <c r="F1726" s="4" t="s">
        <v>3011</v>
      </c>
      <c r="G1726" s="4" t="s">
        <v>3012</v>
      </c>
      <c r="H1726" s="4" t="s">
        <v>26</v>
      </c>
      <c r="I1726" s="4" t="s">
        <v>26</v>
      </c>
      <c r="J1726" s="4" t="s">
        <v>27</v>
      </c>
      <c r="K1726" s="4" t="s">
        <v>28</v>
      </c>
      <c r="L1726" s="4" t="s">
        <v>28</v>
      </c>
      <c r="M1726" s="4" t="s">
        <v>29</v>
      </c>
      <c r="N1726" s="4" t="s">
        <v>28</v>
      </c>
    </row>
    <row r="1727" spans="1:14" ht="14.4" thickBot="1" x14ac:dyDescent="0.35">
      <c r="A1727" s="4" t="s">
        <v>19</v>
      </c>
      <c r="B1727" s="4" t="s">
        <v>495</v>
      </c>
      <c r="C1727" s="4" t="s">
        <v>496</v>
      </c>
      <c r="D1727" s="4" t="s">
        <v>497</v>
      </c>
      <c r="E1727" s="4" t="s">
        <v>23</v>
      </c>
      <c r="F1727" s="4" t="s">
        <v>4517</v>
      </c>
      <c r="G1727" s="4" t="s">
        <v>4518</v>
      </c>
      <c r="H1727" s="4" t="s">
        <v>26</v>
      </c>
      <c r="I1727" s="4" t="s">
        <v>26</v>
      </c>
      <c r="J1727" s="4" t="s">
        <v>27</v>
      </c>
      <c r="K1727" s="4" t="s">
        <v>28</v>
      </c>
      <c r="L1727" s="4" t="s">
        <v>28</v>
      </c>
      <c r="M1727" s="4" t="s">
        <v>29</v>
      </c>
      <c r="N1727" s="4" t="s">
        <v>28</v>
      </c>
    </row>
    <row r="1728" spans="1:14" ht="14.4" thickBot="1" x14ac:dyDescent="0.35">
      <c r="A1728" s="4" t="s">
        <v>19</v>
      </c>
      <c r="B1728" s="4" t="s">
        <v>495</v>
      </c>
      <c r="C1728" s="4" t="s">
        <v>496</v>
      </c>
      <c r="D1728" s="4" t="s">
        <v>497</v>
      </c>
      <c r="E1728" s="4" t="s">
        <v>23</v>
      </c>
      <c r="F1728" s="4" t="s">
        <v>5206</v>
      </c>
      <c r="G1728" s="4" t="s">
        <v>5207</v>
      </c>
      <c r="H1728" s="4" t="s">
        <v>26</v>
      </c>
      <c r="I1728" s="4" t="s">
        <v>26</v>
      </c>
      <c r="J1728" s="4" t="s">
        <v>27</v>
      </c>
      <c r="K1728" s="4" t="s">
        <v>28</v>
      </c>
      <c r="L1728" s="4" t="s">
        <v>28</v>
      </c>
      <c r="M1728" s="4" t="s">
        <v>29</v>
      </c>
      <c r="N1728" s="4" t="s">
        <v>28</v>
      </c>
    </row>
    <row r="1729" spans="1:14" ht="14.4" thickBot="1" x14ac:dyDescent="0.35">
      <c r="A1729" s="4" t="s">
        <v>19</v>
      </c>
      <c r="B1729" s="4" t="s">
        <v>495</v>
      </c>
      <c r="C1729" s="4" t="s">
        <v>496</v>
      </c>
      <c r="D1729" s="4" t="s">
        <v>497</v>
      </c>
      <c r="E1729" s="4" t="s">
        <v>23</v>
      </c>
      <c r="F1729" s="4" t="s">
        <v>5208</v>
      </c>
      <c r="G1729" s="4" t="s">
        <v>5209</v>
      </c>
      <c r="H1729" s="4" t="s">
        <v>26</v>
      </c>
      <c r="I1729" s="4" t="s">
        <v>26</v>
      </c>
      <c r="J1729" s="4" t="s">
        <v>27</v>
      </c>
      <c r="K1729" s="4" t="s">
        <v>28</v>
      </c>
      <c r="L1729" s="4" t="s">
        <v>28</v>
      </c>
      <c r="M1729" s="4" t="s">
        <v>29</v>
      </c>
      <c r="N1729" s="4" t="s">
        <v>28</v>
      </c>
    </row>
    <row r="1730" spans="1:14" ht="14.4" thickBot="1" x14ac:dyDescent="0.35">
      <c r="A1730" s="4" t="s">
        <v>19</v>
      </c>
      <c r="B1730" s="4" t="s">
        <v>495</v>
      </c>
      <c r="C1730" s="4" t="s">
        <v>496</v>
      </c>
      <c r="D1730" s="4" t="s">
        <v>497</v>
      </c>
      <c r="E1730" s="4" t="s">
        <v>23</v>
      </c>
      <c r="F1730" s="4" t="s">
        <v>5829</v>
      </c>
      <c r="G1730" s="4" t="s">
        <v>5830</v>
      </c>
      <c r="H1730" s="4" t="s">
        <v>37</v>
      </c>
      <c r="I1730" s="4" t="s">
        <v>38</v>
      </c>
      <c r="J1730" s="4" t="s">
        <v>28</v>
      </c>
      <c r="K1730" s="4" t="s">
        <v>28</v>
      </c>
      <c r="L1730" s="4" t="s">
        <v>27</v>
      </c>
      <c r="M1730" s="4" t="s">
        <v>34</v>
      </c>
      <c r="N1730" s="4" t="s">
        <v>28</v>
      </c>
    </row>
    <row r="1731" spans="1:14" ht="14.4" thickBot="1" x14ac:dyDescent="0.35">
      <c r="A1731" s="4" t="s">
        <v>19</v>
      </c>
      <c r="B1731" s="4" t="s">
        <v>495</v>
      </c>
      <c r="C1731" s="4" t="s">
        <v>496</v>
      </c>
      <c r="D1731" s="4" t="s">
        <v>497</v>
      </c>
      <c r="E1731" s="4" t="s">
        <v>23</v>
      </c>
      <c r="F1731" s="4" t="s">
        <v>5831</v>
      </c>
      <c r="G1731" s="4" t="s">
        <v>5832</v>
      </c>
      <c r="H1731" s="4" t="s">
        <v>26</v>
      </c>
      <c r="I1731" s="4" t="s">
        <v>33</v>
      </c>
      <c r="J1731" s="4" t="s">
        <v>27</v>
      </c>
      <c r="K1731" s="4" t="s">
        <v>28</v>
      </c>
      <c r="L1731" s="4" t="s">
        <v>28</v>
      </c>
      <c r="M1731" s="4" t="s">
        <v>34</v>
      </c>
      <c r="N1731" s="4" t="s">
        <v>28</v>
      </c>
    </row>
    <row r="1732" spans="1:14" ht="14.4" thickBot="1" x14ac:dyDescent="0.35">
      <c r="A1732" s="4" t="s">
        <v>19</v>
      </c>
      <c r="B1732" s="4" t="s">
        <v>495</v>
      </c>
      <c r="C1732" s="4" t="s">
        <v>496</v>
      </c>
      <c r="D1732" s="4" t="s">
        <v>497</v>
      </c>
      <c r="E1732" s="4" t="s">
        <v>23</v>
      </c>
      <c r="F1732" s="4" t="s">
        <v>5887</v>
      </c>
      <c r="G1732" s="4" t="s">
        <v>5888</v>
      </c>
      <c r="H1732" s="4" t="s">
        <v>26</v>
      </c>
      <c r="I1732" s="4" t="s">
        <v>26</v>
      </c>
      <c r="J1732" s="4" t="s">
        <v>27</v>
      </c>
      <c r="K1732" s="4" t="s">
        <v>28</v>
      </c>
      <c r="L1732" s="4" t="s">
        <v>28</v>
      </c>
      <c r="M1732" s="4" t="s">
        <v>29</v>
      </c>
      <c r="N1732" s="4" t="s">
        <v>28</v>
      </c>
    </row>
    <row r="1733" spans="1:14" ht="14.4" thickBot="1" x14ac:dyDescent="0.35">
      <c r="A1733" s="4" t="s">
        <v>19</v>
      </c>
      <c r="B1733" s="4" t="s">
        <v>495</v>
      </c>
      <c r="C1733" s="4" t="s">
        <v>496</v>
      </c>
      <c r="D1733" s="4" t="s">
        <v>497</v>
      </c>
      <c r="E1733" s="4" t="s">
        <v>23</v>
      </c>
      <c r="F1733" s="4" t="s">
        <v>5889</v>
      </c>
      <c r="G1733" s="4" t="s">
        <v>5890</v>
      </c>
      <c r="H1733" s="4" t="s">
        <v>26</v>
      </c>
      <c r="I1733" s="4" t="s">
        <v>26</v>
      </c>
      <c r="J1733" s="4" t="s">
        <v>27</v>
      </c>
      <c r="K1733" s="4" t="s">
        <v>28</v>
      </c>
      <c r="L1733" s="4" t="s">
        <v>28</v>
      </c>
      <c r="M1733" s="4" t="s">
        <v>29</v>
      </c>
      <c r="N1733" s="4" t="s">
        <v>28</v>
      </c>
    </row>
    <row r="1734" spans="1:14" ht="14.4" thickBot="1" x14ac:dyDescent="0.35">
      <c r="A1734" s="4" t="s">
        <v>19</v>
      </c>
      <c r="B1734" s="4" t="s">
        <v>500</v>
      </c>
      <c r="C1734" s="4" t="s">
        <v>501</v>
      </c>
      <c r="D1734" s="4" t="s">
        <v>502</v>
      </c>
      <c r="E1734" s="4" t="s">
        <v>23</v>
      </c>
      <c r="F1734" s="4" t="s">
        <v>503</v>
      </c>
      <c r="G1734" s="4" t="s">
        <v>504</v>
      </c>
      <c r="H1734" s="4" t="s">
        <v>69</v>
      </c>
      <c r="I1734" s="4" t="s">
        <v>38</v>
      </c>
      <c r="J1734" s="4" t="s">
        <v>28</v>
      </c>
      <c r="K1734" s="4" t="s">
        <v>28</v>
      </c>
      <c r="L1734" s="4" t="s">
        <v>27</v>
      </c>
      <c r="M1734" s="4" t="s">
        <v>34</v>
      </c>
      <c r="N1734" s="4" t="s">
        <v>28</v>
      </c>
    </row>
    <row r="1735" spans="1:14" ht="14.4" thickBot="1" x14ac:dyDescent="0.35">
      <c r="A1735" s="4" t="s">
        <v>19</v>
      </c>
      <c r="B1735" s="4" t="s">
        <v>500</v>
      </c>
      <c r="C1735" s="4" t="s">
        <v>501</v>
      </c>
      <c r="D1735" s="4" t="s">
        <v>502</v>
      </c>
      <c r="E1735" s="4" t="s">
        <v>23</v>
      </c>
      <c r="F1735" s="4" t="s">
        <v>1454</v>
      </c>
      <c r="G1735" s="4" t="s">
        <v>1455</v>
      </c>
      <c r="H1735" s="4" t="s">
        <v>37</v>
      </c>
      <c r="I1735" s="4" t="s">
        <v>38</v>
      </c>
      <c r="J1735" s="4" t="s">
        <v>28</v>
      </c>
      <c r="K1735" s="4" t="s">
        <v>28</v>
      </c>
      <c r="L1735" s="4" t="s">
        <v>27</v>
      </c>
      <c r="M1735" s="4" t="s">
        <v>34</v>
      </c>
      <c r="N1735" s="4" t="s">
        <v>28</v>
      </c>
    </row>
    <row r="1736" spans="1:14" ht="14.4" thickBot="1" x14ac:dyDescent="0.35">
      <c r="A1736" s="4" t="s">
        <v>19</v>
      </c>
      <c r="B1736" s="4" t="s">
        <v>500</v>
      </c>
      <c r="C1736" s="4" t="s">
        <v>501</v>
      </c>
      <c r="D1736" s="4" t="s">
        <v>502</v>
      </c>
      <c r="E1736" s="4" t="s">
        <v>23</v>
      </c>
      <c r="F1736" s="4" t="s">
        <v>3013</v>
      </c>
      <c r="G1736" s="4" t="s">
        <v>3014</v>
      </c>
      <c r="H1736" s="4" t="s">
        <v>26</v>
      </c>
      <c r="I1736" s="4" t="s">
        <v>116</v>
      </c>
      <c r="J1736" s="4" t="s">
        <v>27</v>
      </c>
      <c r="K1736" s="4" t="s">
        <v>28</v>
      </c>
      <c r="L1736" s="4" t="s">
        <v>28</v>
      </c>
      <c r="M1736" s="4" t="s">
        <v>29</v>
      </c>
      <c r="N1736" s="4" t="s">
        <v>28</v>
      </c>
    </row>
    <row r="1737" spans="1:14" ht="14.4" thickBot="1" x14ac:dyDescent="0.35">
      <c r="A1737" s="4" t="s">
        <v>19</v>
      </c>
      <c r="B1737" s="4" t="s">
        <v>500</v>
      </c>
      <c r="C1737" s="4" t="s">
        <v>501</v>
      </c>
      <c r="D1737" s="4" t="s">
        <v>502</v>
      </c>
      <c r="E1737" s="4" t="s">
        <v>23</v>
      </c>
      <c r="F1737" s="4" t="s">
        <v>3677</v>
      </c>
      <c r="G1737" s="4" t="s">
        <v>3678</v>
      </c>
      <c r="H1737" s="4" t="s">
        <v>26</v>
      </c>
      <c r="I1737" s="4" t="s">
        <v>33</v>
      </c>
      <c r="J1737" s="4" t="s">
        <v>27</v>
      </c>
      <c r="K1737" s="4" t="s">
        <v>28</v>
      </c>
      <c r="L1737" s="4" t="s">
        <v>28</v>
      </c>
      <c r="M1737" s="4" t="s">
        <v>34</v>
      </c>
      <c r="N1737" s="4" t="s">
        <v>28</v>
      </c>
    </row>
    <row r="1738" spans="1:14" ht="14.4" thickBot="1" x14ac:dyDescent="0.35">
      <c r="A1738" s="4" t="s">
        <v>19</v>
      </c>
      <c r="B1738" s="4" t="s">
        <v>500</v>
      </c>
      <c r="C1738" s="4" t="s">
        <v>501</v>
      </c>
      <c r="D1738" s="4" t="s">
        <v>502</v>
      </c>
      <c r="E1738" s="4" t="s">
        <v>23</v>
      </c>
      <c r="F1738" s="4" t="s">
        <v>3739</v>
      </c>
      <c r="G1738" s="4" t="s">
        <v>3740</v>
      </c>
      <c r="H1738" s="4" t="s">
        <v>26</v>
      </c>
      <c r="I1738" s="4" t="s">
        <v>26</v>
      </c>
      <c r="J1738" s="4" t="s">
        <v>27</v>
      </c>
      <c r="K1738" s="4" t="s">
        <v>28</v>
      </c>
      <c r="L1738" s="4" t="s">
        <v>28</v>
      </c>
      <c r="M1738" s="4" t="s">
        <v>29</v>
      </c>
      <c r="N1738" s="4" t="s">
        <v>28</v>
      </c>
    </row>
    <row r="1739" spans="1:14" ht="14.4" thickBot="1" x14ac:dyDescent="0.35">
      <c r="A1739" s="4" t="s">
        <v>19</v>
      </c>
      <c r="B1739" s="4" t="s">
        <v>500</v>
      </c>
      <c r="C1739" s="4" t="s">
        <v>501</v>
      </c>
      <c r="D1739" s="4" t="s">
        <v>502</v>
      </c>
      <c r="E1739" s="4" t="s">
        <v>23</v>
      </c>
      <c r="F1739" s="4" t="s">
        <v>4456</v>
      </c>
      <c r="G1739" s="4" t="s">
        <v>4457</v>
      </c>
      <c r="H1739" s="4" t="s">
        <v>135</v>
      </c>
      <c r="I1739" s="4" t="s">
        <v>33</v>
      </c>
      <c r="J1739" s="4" t="s">
        <v>27</v>
      </c>
      <c r="K1739" s="4" t="s">
        <v>28</v>
      </c>
      <c r="L1739" s="4" t="s">
        <v>28</v>
      </c>
      <c r="M1739" s="4" t="s">
        <v>34</v>
      </c>
      <c r="N1739" s="4" t="s">
        <v>28</v>
      </c>
    </row>
    <row r="1740" spans="1:14" ht="14.4" thickBot="1" x14ac:dyDescent="0.35">
      <c r="A1740" s="4" t="s">
        <v>19</v>
      </c>
      <c r="B1740" s="4" t="s">
        <v>500</v>
      </c>
      <c r="C1740" s="4" t="s">
        <v>501</v>
      </c>
      <c r="D1740" s="4" t="s">
        <v>502</v>
      </c>
      <c r="E1740" s="4" t="s">
        <v>23</v>
      </c>
      <c r="F1740" s="4" t="s">
        <v>4458</v>
      </c>
      <c r="G1740" s="4" t="s">
        <v>4459</v>
      </c>
      <c r="H1740" s="4" t="s">
        <v>69</v>
      </c>
      <c r="I1740" s="4" t="s">
        <v>94</v>
      </c>
      <c r="J1740" s="4" t="s">
        <v>28</v>
      </c>
      <c r="K1740" s="4" t="s">
        <v>27</v>
      </c>
      <c r="L1740" s="4" t="s">
        <v>28</v>
      </c>
      <c r="M1740" s="4" t="s">
        <v>34</v>
      </c>
      <c r="N1740" s="4" t="s">
        <v>28</v>
      </c>
    </row>
    <row r="1741" spans="1:14" ht="14.4" thickBot="1" x14ac:dyDescent="0.35">
      <c r="A1741" s="4" t="s">
        <v>19</v>
      </c>
      <c r="B1741" s="4" t="s">
        <v>500</v>
      </c>
      <c r="C1741" s="4" t="s">
        <v>501</v>
      </c>
      <c r="D1741" s="4" t="s">
        <v>502</v>
      </c>
      <c r="E1741" s="4" t="s">
        <v>23</v>
      </c>
      <c r="F1741" s="4" t="s">
        <v>4519</v>
      </c>
      <c r="G1741" s="4" t="s">
        <v>4520</v>
      </c>
      <c r="H1741" s="4" t="s">
        <v>26</v>
      </c>
      <c r="I1741" s="4" t="s">
        <v>26</v>
      </c>
      <c r="J1741" s="4" t="s">
        <v>27</v>
      </c>
      <c r="K1741" s="4" t="s">
        <v>28</v>
      </c>
      <c r="L1741" s="4" t="s">
        <v>28</v>
      </c>
      <c r="M1741" s="4" t="s">
        <v>29</v>
      </c>
      <c r="N1741" s="4" t="s">
        <v>28</v>
      </c>
    </row>
    <row r="1742" spans="1:14" ht="14.4" thickBot="1" x14ac:dyDescent="0.35">
      <c r="A1742" s="4" t="s">
        <v>19</v>
      </c>
      <c r="B1742" s="4" t="s">
        <v>500</v>
      </c>
      <c r="C1742" s="4" t="s">
        <v>501</v>
      </c>
      <c r="D1742" s="4" t="s">
        <v>502</v>
      </c>
      <c r="E1742" s="4" t="s">
        <v>23</v>
      </c>
      <c r="F1742" s="4" t="s">
        <v>5161</v>
      </c>
      <c r="G1742" s="4" t="s">
        <v>5162</v>
      </c>
      <c r="H1742" s="4" t="s">
        <v>26</v>
      </c>
      <c r="I1742" s="4" t="s">
        <v>26</v>
      </c>
      <c r="J1742" s="4" t="s">
        <v>27</v>
      </c>
      <c r="K1742" s="4" t="s">
        <v>28</v>
      </c>
      <c r="L1742" s="4" t="s">
        <v>28</v>
      </c>
      <c r="M1742" s="4" t="s">
        <v>34</v>
      </c>
      <c r="N1742" s="4" t="s">
        <v>28</v>
      </c>
    </row>
    <row r="1743" spans="1:14" ht="14.4" thickBot="1" x14ac:dyDescent="0.35">
      <c r="A1743" s="4" t="s">
        <v>19</v>
      </c>
      <c r="B1743" s="4" t="s">
        <v>500</v>
      </c>
      <c r="C1743" s="4" t="s">
        <v>501</v>
      </c>
      <c r="D1743" s="4" t="s">
        <v>502</v>
      </c>
      <c r="E1743" s="4" t="s">
        <v>23</v>
      </c>
      <c r="F1743" s="4" t="s">
        <v>5210</v>
      </c>
      <c r="G1743" s="4" t="s">
        <v>5211</v>
      </c>
      <c r="H1743" s="4" t="s">
        <v>26</v>
      </c>
      <c r="I1743" s="4" t="s">
        <v>26</v>
      </c>
      <c r="J1743" s="4" t="s">
        <v>27</v>
      </c>
      <c r="K1743" s="4" t="s">
        <v>28</v>
      </c>
      <c r="L1743" s="4" t="s">
        <v>28</v>
      </c>
      <c r="M1743" s="4" t="s">
        <v>29</v>
      </c>
      <c r="N1743" s="4" t="s">
        <v>28</v>
      </c>
    </row>
    <row r="1744" spans="1:14" ht="14.4" thickBot="1" x14ac:dyDescent="0.35">
      <c r="A1744" s="4" t="s">
        <v>19</v>
      </c>
      <c r="B1744" s="4" t="s">
        <v>500</v>
      </c>
      <c r="C1744" s="4" t="s">
        <v>501</v>
      </c>
      <c r="D1744" s="4" t="s">
        <v>502</v>
      </c>
      <c r="E1744" s="4" t="s">
        <v>23</v>
      </c>
      <c r="F1744" s="4" t="s">
        <v>5833</v>
      </c>
      <c r="G1744" s="4" t="s">
        <v>5834</v>
      </c>
      <c r="H1744" s="4" t="s">
        <v>135</v>
      </c>
      <c r="I1744" s="4" t="s">
        <v>1005</v>
      </c>
      <c r="J1744" s="4" t="s">
        <v>28</v>
      </c>
      <c r="K1744" s="4" t="s">
        <v>28</v>
      </c>
      <c r="L1744" s="4" t="s">
        <v>27</v>
      </c>
      <c r="M1744" s="4" t="s">
        <v>34</v>
      </c>
      <c r="N1744" s="4" t="s">
        <v>27</v>
      </c>
    </row>
    <row r="1745" spans="1:14" ht="14.4" thickBot="1" x14ac:dyDescent="0.35">
      <c r="A1745" s="4" t="s">
        <v>19</v>
      </c>
      <c r="B1745" s="4" t="s">
        <v>500</v>
      </c>
      <c r="C1745" s="4" t="s">
        <v>501</v>
      </c>
      <c r="D1745" s="4" t="s">
        <v>502</v>
      </c>
      <c r="E1745" s="4" t="s">
        <v>23</v>
      </c>
      <c r="F1745" s="4" t="s">
        <v>5891</v>
      </c>
      <c r="G1745" s="4" t="s">
        <v>5892</v>
      </c>
      <c r="H1745" s="4" t="s">
        <v>26</v>
      </c>
      <c r="I1745" s="4" t="s">
        <v>26</v>
      </c>
      <c r="J1745" s="4" t="s">
        <v>27</v>
      </c>
      <c r="K1745" s="4" t="s">
        <v>28</v>
      </c>
      <c r="L1745" s="4" t="s">
        <v>28</v>
      </c>
      <c r="M1745" s="4" t="s">
        <v>29</v>
      </c>
      <c r="N1745" s="4" t="s">
        <v>28</v>
      </c>
    </row>
    <row r="1746" spans="1:14" ht="14.4" thickBot="1" x14ac:dyDescent="0.35">
      <c r="A1746" s="4" t="s">
        <v>19</v>
      </c>
      <c r="B1746" s="4" t="s">
        <v>3679</v>
      </c>
      <c r="C1746" s="4" t="s">
        <v>2344</v>
      </c>
      <c r="D1746" s="4" t="s">
        <v>3680</v>
      </c>
      <c r="E1746" s="4" t="s">
        <v>48</v>
      </c>
      <c r="F1746" s="4" t="s">
        <v>3681</v>
      </c>
      <c r="G1746" s="4" t="s">
        <v>3682</v>
      </c>
      <c r="H1746" s="4" t="s">
        <v>26</v>
      </c>
      <c r="I1746" s="4" t="s">
        <v>38</v>
      </c>
      <c r="J1746" s="4" t="s">
        <v>28</v>
      </c>
      <c r="K1746" s="4" t="s">
        <v>28</v>
      </c>
      <c r="L1746" s="4" t="s">
        <v>27</v>
      </c>
      <c r="M1746" s="4" t="s">
        <v>34</v>
      </c>
      <c r="N1746" s="4" t="s">
        <v>28</v>
      </c>
    </row>
    <row r="1747" spans="1:14" ht="14.4" thickBot="1" x14ac:dyDescent="0.35">
      <c r="A1747" s="4" t="s">
        <v>19</v>
      </c>
      <c r="B1747" s="4" t="s">
        <v>3679</v>
      </c>
      <c r="C1747" s="4" t="s">
        <v>2344</v>
      </c>
      <c r="D1747" s="4" t="s">
        <v>3680</v>
      </c>
      <c r="E1747" s="4" t="s">
        <v>48</v>
      </c>
      <c r="F1747" s="4" t="s">
        <v>3741</v>
      </c>
      <c r="G1747" s="4" t="s">
        <v>3742</v>
      </c>
      <c r="H1747" s="4" t="s">
        <v>26</v>
      </c>
      <c r="I1747" s="4" t="s">
        <v>26</v>
      </c>
      <c r="J1747" s="4" t="s">
        <v>27</v>
      </c>
      <c r="K1747" s="4" t="s">
        <v>28</v>
      </c>
      <c r="L1747" s="4" t="s">
        <v>28</v>
      </c>
      <c r="M1747" s="4" t="s">
        <v>29</v>
      </c>
      <c r="N1747" s="4" t="s">
        <v>28</v>
      </c>
    </row>
    <row r="1748" spans="1:14" ht="14.4" thickBot="1" x14ac:dyDescent="0.35">
      <c r="A1748" s="4" t="s">
        <v>19</v>
      </c>
      <c r="B1748" s="4" t="s">
        <v>587</v>
      </c>
      <c r="C1748" s="4" t="s">
        <v>588</v>
      </c>
      <c r="D1748" s="4" t="s">
        <v>589</v>
      </c>
      <c r="E1748" s="4" t="s">
        <v>23</v>
      </c>
      <c r="F1748" s="4" t="s">
        <v>590</v>
      </c>
      <c r="G1748" s="4" t="s">
        <v>591</v>
      </c>
      <c r="H1748" s="4" t="s">
        <v>26</v>
      </c>
      <c r="I1748" s="4" t="s">
        <v>26</v>
      </c>
      <c r="J1748" s="4" t="s">
        <v>27</v>
      </c>
      <c r="K1748" s="4" t="s">
        <v>28</v>
      </c>
      <c r="L1748" s="4" t="s">
        <v>28</v>
      </c>
      <c r="M1748" s="4" t="s">
        <v>29</v>
      </c>
      <c r="N1748" s="4" t="s">
        <v>28</v>
      </c>
    </row>
    <row r="1749" spans="1:14" ht="14.4" thickBot="1" x14ac:dyDescent="0.35">
      <c r="A1749" s="4" t="s">
        <v>19</v>
      </c>
      <c r="B1749" s="4" t="s">
        <v>587</v>
      </c>
      <c r="C1749" s="4" t="s">
        <v>588</v>
      </c>
      <c r="D1749" s="4" t="s">
        <v>589</v>
      </c>
      <c r="E1749" s="4" t="s">
        <v>23</v>
      </c>
      <c r="F1749" s="4" t="s">
        <v>1536</v>
      </c>
      <c r="G1749" s="4" t="s">
        <v>1537</v>
      </c>
      <c r="H1749" s="4" t="s">
        <v>26</v>
      </c>
      <c r="I1749" s="4" t="s">
        <v>26</v>
      </c>
      <c r="J1749" s="4" t="s">
        <v>27</v>
      </c>
      <c r="K1749" s="4" t="s">
        <v>28</v>
      </c>
      <c r="L1749" s="4" t="s">
        <v>28</v>
      </c>
      <c r="M1749" s="4" t="s">
        <v>130</v>
      </c>
      <c r="N1749" s="4" t="s">
        <v>28</v>
      </c>
    </row>
    <row r="1750" spans="1:14" ht="14.4" thickBot="1" x14ac:dyDescent="0.35">
      <c r="A1750" s="4" t="s">
        <v>19</v>
      </c>
      <c r="B1750" s="4" t="s">
        <v>587</v>
      </c>
      <c r="C1750" s="4" t="s">
        <v>588</v>
      </c>
      <c r="D1750" s="4" t="s">
        <v>589</v>
      </c>
      <c r="E1750" s="4" t="s">
        <v>23</v>
      </c>
      <c r="F1750" s="4" t="s">
        <v>2199</v>
      </c>
      <c r="G1750" s="4" t="s">
        <v>2200</v>
      </c>
      <c r="H1750" s="4" t="s">
        <v>26</v>
      </c>
      <c r="I1750" s="4" t="s">
        <v>94</v>
      </c>
      <c r="J1750" s="4" t="s">
        <v>27</v>
      </c>
      <c r="K1750" s="4" t="s">
        <v>28</v>
      </c>
      <c r="L1750" s="4" t="s">
        <v>28</v>
      </c>
      <c r="M1750" s="4" t="s">
        <v>34</v>
      </c>
      <c r="N1750" s="4" t="s">
        <v>27</v>
      </c>
    </row>
    <row r="1751" spans="1:14" ht="14.4" thickBot="1" x14ac:dyDescent="0.35">
      <c r="A1751" s="4" t="s">
        <v>19</v>
      </c>
      <c r="B1751" s="4" t="s">
        <v>587</v>
      </c>
      <c r="C1751" s="4" t="s">
        <v>588</v>
      </c>
      <c r="D1751" s="4" t="s">
        <v>589</v>
      </c>
      <c r="E1751" s="4" t="s">
        <v>23</v>
      </c>
      <c r="F1751" s="4" t="s">
        <v>5835</v>
      </c>
      <c r="G1751" s="4" t="s">
        <v>5836</v>
      </c>
      <c r="H1751" s="4" t="s">
        <v>26</v>
      </c>
      <c r="I1751" s="4" t="s">
        <v>94</v>
      </c>
      <c r="J1751" s="4" t="s">
        <v>27</v>
      </c>
      <c r="K1751" s="4" t="s">
        <v>28</v>
      </c>
      <c r="L1751" s="4" t="s">
        <v>28</v>
      </c>
      <c r="M1751" s="4" t="s">
        <v>34</v>
      </c>
      <c r="N1751" s="4" t="s">
        <v>28</v>
      </c>
    </row>
    <row r="1752" spans="1:14" ht="14.4" thickBot="1" x14ac:dyDescent="0.35">
      <c r="A1752" s="4" t="s">
        <v>19</v>
      </c>
      <c r="B1752" s="4" t="s">
        <v>587</v>
      </c>
      <c r="C1752" s="4" t="s">
        <v>588</v>
      </c>
      <c r="D1752" s="4" t="s">
        <v>589</v>
      </c>
      <c r="E1752" s="4" t="s">
        <v>23</v>
      </c>
      <c r="F1752" s="4" t="s">
        <v>5837</v>
      </c>
      <c r="G1752" s="4" t="s">
        <v>5838</v>
      </c>
      <c r="H1752" s="4" t="s">
        <v>37</v>
      </c>
      <c r="I1752" s="4" t="s">
        <v>38</v>
      </c>
      <c r="J1752" s="4" t="s">
        <v>28</v>
      </c>
      <c r="K1752" s="4" t="s">
        <v>28</v>
      </c>
      <c r="L1752" s="4" t="s">
        <v>27</v>
      </c>
      <c r="M1752" s="4" t="s">
        <v>34</v>
      </c>
      <c r="N1752" s="4" t="s">
        <v>28</v>
      </c>
    </row>
    <row r="1753" spans="1:14" ht="14.4" thickBot="1" x14ac:dyDescent="0.35">
      <c r="A1753" s="4" t="s">
        <v>19</v>
      </c>
      <c r="B1753" s="4" t="s">
        <v>587</v>
      </c>
      <c r="C1753" s="4" t="s">
        <v>2405</v>
      </c>
      <c r="D1753" s="4" t="s">
        <v>2406</v>
      </c>
      <c r="E1753" s="4" t="s">
        <v>48</v>
      </c>
      <c r="F1753" s="4" t="s">
        <v>2407</v>
      </c>
      <c r="G1753" s="4" t="s">
        <v>2408</v>
      </c>
      <c r="H1753" s="4" t="s">
        <v>26</v>
      </c>
      <c r="I1753" s="4" t="s">
        <v>33</v>
      </c>
      <c r="J1753" s="4" t="s">
        <v>27</v>
      </c>
      <c r="K1753" s="4" t="s">
        <v>28</v>
      </c>
      <c r="L1753" s="4" t="s">
        <v>28</v>
      </c>
      <c r="M1753" s="4" t="s">
        <v>34</v>
      </c>
      <c r="N1753" s="4" t="s">
        <v>28</v>
      </c>
    </row>
    <row r="1754" spans="1:14" ht="14.4" thickBot="1" x14ac:dyDescent="0.35">
      <c r="A1754" s="4" t="s">
        <v>19</v>
      </c>
      <c r="B1754" s="4" t="s">
        <v>587</v>
      </c>
      <c r="C1754" s="4" t="s">
        <v>2405</v>
      </c>
      <c r="D1754" s="4" t="s">
        <v>2406</v>
      </c>
      <c r="E1754" s="4" t="s">
        <v>48</v>
      </c>
      <c r="F1754" s="4" t="s">
        <v>5373</v>
      </c>
      <c r="G1754" s="4" t="s">
        <v>5374</v>
      </c>
      <c r="H1754" s="4" t="s">
        <v>69</v>
      </c>
      <c r="I1754" s="4" t="s">
        <v>38</v>
      </c>
      <c r="J1754" s="4" t="s">
        <v>28</v>
      </c>
      <c r="K1754" s="4" t="s">
        <v>28</v>
      </c>
      <c r="L1754" s="4" t="s">
        <v>27</v>
      </c>
      <c r="M1754" s="4" t="s">
        <v>34</v>
      </c>
      <c r="N1754" s="4" t="s">
        <v>28</v>
      </c>
    </row>
    <row r="1755" spans="1:14" ht="14.4" thickBot="1" x14ac:dyDescent="0.35">
      <c r="A1755" s="4" t="s">
        <v>19</v>
      </c>
      <c r="B1755" s="4" t="s">
        <v>4460</v>
      </c>
      <c r="C1755" s="4" t="s">
        <v>4461</v>
      </c>
      <c r="D1755" s="4" t="s">
        <v>4462</v>
      </c>
      <c r="E1755" s="4" t="s">
        <v>48</v>
      </c>
      <c r="F1755" s="4" t="s">
        <v>4463</v>
      </c>
      <c r="G1755" s="4" t="s">
        <v>4464</v>
      </c>
      <c r="H1755" s="4" t="s">
        <v>26</v>
      </c>
      <c r="I1755" s="4" t="s">
        <v>38</v>
      </c>
      <c r="J1755" s="4" t="s">
        <v>28</v>
      </c>
      <c r="K1755" s="4" t="s">
        <v>28</v>
      </c>
      <c r="L1755" s="4" t="s">
        <v>27</v>
      </c>
      <c r="M1755" s="4" t="s">
        <v>34</v>
      </c>
      <c r="N1755" s="4" t="s">
        <v>28</v>
      </c>
    </row>
    <row r="1756" spans="1:14" ht="14.4" thickBot="1" x14ac:dyDescent="0.35">
      <c r="A1756" s="4" t="s">
        <v>19</v>
      </c>
      <c r="B1756" s="4" t="s">
        <v>251</v>
      </c>
      <c r="C1756" s="4" t="s">
        <v>252</v>
      </c>
      <c r="D1756" s="4" t="s">
        <v>253</v>
      </c>
      <c r="E1756" s="4" t="s">
        <v>254</v>
      </c>
      <c r="F1756" s="4" t="s">
        <v>255</v>
      </c>
      <c r="G1756" s="4" t="s">
        <v>256</v>
      </c>
      <c r="H1756" s="4" t="s">
        <v>26</v>
      </c>
      <c r="I1756" s="4" t="s">
        <v>26</v>
      </c>
      <c r="J1756" s="4" t="s">
        <v>27</v>
      </c>
      <c r="K1756" s="4" t="s">
        <v>28</v>
      </c>
      <c r="L1756" s="4" t="s">
        <v>28</v>
      </c>
      <c r="M1756" s="4" t="s">
        <v>29</v>
      </c>
      <c r="N1756" s="4" t="s">
        <v>28</v>
      </c>
    </row>
    <row r="1757" spans="1:14" ht="14.4" thickBot="1" x14ac:dyDescent="0.35">
      <c r="A1757" s="4" t="s">
        <v>19</v>
      </c>
      <c r="B1757" s="4" t="s">
        <v>251</v>
      </c>
      <c r="C1757" s="4" t="s">
        <v>252</v>
      </c>
      <c r="D1757" s="4" t="s">
        <v>253</v>
      </c>
      <c r="E1757" s="4" t="s">
        <v>254</v>
      </c>
      <c r="F1757" s="4" t="s">
        <v>257</v>
      </c>
      <c r="G1757" s="4" t="s">
        <v>258</v>
      </c>
      <c r="H1757" s="4" t="s">
        <v>26</v>
      </c>
      <c r="I1757" s="4" t="s">
        <v>94</v>
      </c>
      <c r="J1757" s="4" t="s">
        <v>27</v>
      </c>
      <c r="K1757" s="4" t="s">
        <v>28</v>
      </c>
      <c r="L1757" s="4" t="s">
        <v>28</v>
      </c>
      <c r="M1757" s="4" t="s">
        <v>34</v>
      </c>
      <c r="N1757" s="4" t="s">
        <v>28</v>
      </c>
    </row>
    <row r="1758" spans="1:14" ht="14.4" thickBot="1" x14ac:dyDescent="0.35">
      <c r="A1758" s="4" t="s">
        <v>19</v>
      </c>
      <c r="B1758" s="4" t="s">
        <v>251</v>
      </c>
      <c r="C1758" s="4" t="s">
        <v>252</v>
      </c>
      <c r="D1758" s="4" t="s">
        <v>253</v>
      </c>
      <c r="E1758" s="4" t="s">
        <v>254</v>
      </c>
      <c r="F1758" s="4" t="s">
        <v>259</v>
      </c>
      <c r="G1758" s="4" t="s">
        <v>260</v>
      </c>
      <c r="H1758" s="4" t="s">
        <v>26</v>
      </c>
      <c r="I1758" s="4" t="s">
        <v>26</v>
      </c>
      <c r="J1758" s="4" t="s">
        <v>27</v>
      </c>
      <c r="K1758" s="4" t="s">
        <v>28</v>
      </c>
      <c r="L1758" s="4" t="s">
        <v>28</v>
      </c>
      <c r="M1758" s="4" t="s">
        <v>29</v>
      </c>
      <c r="N1758" s="4" t="s">
        <v>28</v>
      </c>
    </row>
    <row r="1759" spans="1:14" ht="14.4" thickBot="1" x14ac:dyDescent="0.35">
      <c r="A1759" s="4" t="s">
        <v>19</v>
      </c>
      <c r="B1759" s="4" t="s">
        <v>251</v>
      </c>
      <c r="C1759" s="4" t="s">
        <v>252</v>
      </c>
      <c r="D1759" s="4" t="s">
        <v>253</v>
      </c>
      <c r="E1759" s="4" t="s">
        <v>254</v>
      </c>
      <c r="F1759" s="4" t="s">
        <v>261</v>
      </c>
      <c r="G1759" s="4" t="s">
        <v>262</v>
      </c>
      <c r="H1759" s="4" t="s">
        <v>26</v>
      </c>
      <c r="I1759" s="4" t="s">
        <v>26</v>
      </c>
      <c r="J1759" s="4" t="s">
        <v>27</v>
      </c>
      <c r="K1759" s="4" t="s">
        <v>28</v>
      </c>
      <c r="L1759" s="4" t="s">
        <v>28</v>
      </c>
      <c r="M1759" s="4" t="s">
        <v>29</v>
      </c>
      <c r="N1759" s="4" t="s">
        <v>28</v>
      </c>
    </row>
    <row r="1760" spans="1:14" ht="14.4" thickBot="1" x14ac:dyDescent="0.35">
      <c r="A1760" s="4" t="s">
        <v>19</v>
      </c>
      <c r="B1760" s="4" t="s">
        <v>251</v>
      </c>
      <c r="C1760" s="4" t="s">
        <v>252</v>
      </c>
      <c r="D1760" s="4" t="s">
        <v>253</v>
      </c>
      <c r="E1760" s="4" t="s">
        <v>254</v>
      </c>
      <c r="F1760" s="4" t="s">
        <v>263</v>
      </c>
      <c r="G1760" s="4" t="s">
        <v>264</v>
      </c>
      <c r="H1760" s="4" t="s">
        <v>26</v>
      </c>
      <c r="I1760" s="4" t="s">
        <v>26</v>
      </c>
      <c r="J1760" s="4" t="s">
        <v>27</v>
      </c>
      <c r="K1760" s="4" t="s">
        <v>28</v>
      </c>
      <c r="L1760" s="4" t="s">
        <v>28</v>
      </c>
      <c r="M1760" s="4" t="s">
        <v>29</v>
      </c>
      <c r="N1760" s="4" t="s">
        <v>28</v>
      </c>
    </row>
    <row r="1761" spans="1:14" ht="14.4" thickBot="1" x14ac:dyDescent="0.35">
      <c r="A1761" s="4" t="s">
        <v>19</v>
      </c>
      <c r="B1761" s="4" t="s">
        <v>251</v>
      </c>
      <c r="C1761" s="4" t="s">
        <v>252</v>
      </c>
      <c r="D1761" s="4" t="s">
        <v>253</v>
      </c>
      <c r="E1761" s="4" t="s">
        <v>254</v>
      </c>
      <c r="F1761" s="4" t="s">
        <v>265</v>
      </c>
      <c r="G1761" s="4" t="s">
        <v>266</v>
      </c>
      <c r="H1761" s="4" t="s">
        <v>26</v>
      </c>
      <c r="I1761" s="4" t="s">
        <v>26</v>
      </c>
      <c r="J1761" s="4" t="s">
        <v>27</v>
      </c>
      <c r="K1761" s="4" t="s">
        <v>28</v>
      </c>
      <c r="L1761" s="4" t="s">
        <v>28</v>
      </c>
      <c r="M1761" s="4" t="s">
        <v>130</v>
      </c>
      <c r="N1761" s="4" t="s">
        <v>28</v>
      </c>
    </row>
    <row r="1762" spans="1:14" ht="14.4" thickBot="1" x14ac:dyDescent="0.35">
      <c r="A1762" s="4" t="s">
        <v>19</v>
      </c>
      <c r="B1762" s="4" t="s">
        <v>251</v>
      </c>
      <c r="C1762" s="4" t="s">
        <v>252</v>
      </c>
      <c r="D1762" s="4" t="s">
        <v>253</v>
      </c>
      <c r="E1762" s="4" t="s">
        <v>254</v>
      </c>
      <c r="F1762" s="4" t="s">
        <v>267</v>
      </c>
      <c r="G1762" s="4" t="s">
        <v>268</v>
      </c>
      <c r="H1762" s="4" t="s">
        <v>69</v>
      </c>
      <c r="I1762" s="4" t="s">
        <v>38</v>
      </c>
      <c r="J1762" s="4" t="s">
        <v>28</v>
      </c>
      <c r="K1762" s="4" t="s">
        <v>28</v>
      </c>
      <c r="L1762" s="4" t="s">
        <v>27</v>
      </c>
      <c r="M1762" s="4" t="s">
        <v>34</v>
      </c>
      <c r="N1762" s="4" t="s">
        <v>28</v>
      </c>
    </row>
    <row r="1763" spans="1:14" ht="14.4" thickBot="1" x14ac:dyDescent="0.35">
      <c r="A1763" s="4" t="s">
        <v>19</v>
      </c>
      <c r="B1763" s="4" t="s">
        <v>251</v>
      </c>
      <c r="C1763" s="4" t="s">
        <v>252</v>
      </c>
      <c r="D1763" s="4" t="s">
        <v>253</v>
      </c>
      <c r="E1763" s="4" t="s">
        <v>254</v>
      </c>
      <c r="F1763" s="4" t="s">
        <v>269</v>
      </c>
      <c r="G1763" s="4" t="s">
        <v>270</v>
      </c>
      <c r="H1763" s="4" t="s">
        <v>26</v>
      </c>
      <c r="I1763" s="4" t="s">
        <v>26</v>
      </c>
      <c r="J1763" s="4" t="s">
        <v>27</v>
      </c>
      <c r="K1763" s="4" t="s">
        <v>28</v>
      </c>
      <c r="L1763" s="4" t="s">
        <v>28</v>
      </c>
      <c r="M1763" s="4" t="s">
        <v>130</v>
      </c>
      <c r="N1763" s="4" t="s">
        <v>28</v>
      </c>
    </row>
    <row r="1764" spans="1:14" ht="14.4" thickBot="1" x14ac:dyDescent="0.35">
      <c r="A1764" s="4" t="s">
        <v>19</v>
      </c>
      <c r="B1764" s="4" t="s">
        <v>251</v>
      </c>
      <c r="C1764" s="4" t="s">
        <v>252</v>
      </c>
      <c r="D1764" s="4" t="s">
        <v>253</v>
      </c>
      <c r="E1764" s="4" t="s">
        <v>254</v>
      </c>
      <c r="F1764" s="4" t="s">
        <v>271</v>
      </c>
      <c r="G1764" s="4" t="s">
        <v>272</v>
      </c>
      <c r="H1764" s="4" t="s">
        <v>26</v>
      </c>
      <c r="I1764" s="4" t="s">
        <v>26</v>
      </c>
      <c r="J1764" s="4" t="s">
        <v>27</v>
      </c>
      <c r="K1764" s="4" t="s">
        <v>28</v>
      </c>
      <c r="L1764" s="4" t="s">
        <v>28</v>
      </c>
      <c r="M1764" s="4" t="s">
        <v>130</v>
      </c>
      <c r="N1764" s="4" t="s">
        <v>28</v>
      </c>
    </row>
    <row r="1765" spans="1:14" ht="14.4" thickBot="1" x14ac:dyDescent="0.35">
      <c r="A1765" s="4" t="s">
        <v>19</v>
      </c>
      <c r="B1765" s="4" t="s">
        <v>251</v>
      </c>
      <c r="C1765" s="4" t="s">
        <v>252</v>
      </c>
      <c r="D1765" s="4" t="s">
        <v>253</v>
      </c>
      <c r="E1765" s="4" t="s">
        <v>254</v>
      </c>
      <c r="F1765" s="4" t="s">
        <v>273</v>
      </c>
      <c r="G1765" s="4" t="s">
        <v>274</v>
      </c>
      <c r="H1765" s="4" t="s">
        <v>26</v>
      </c>
      <c r="I1765" s="4" t="s">
        <v>26</v>
      </c>
      <c r="J1765" s="4" t="s">
        <v>27</v>
      </c>
      <c r="K1765" s="4" t="s">
        <v>28</v>
      </c>
      <c r="L1765" s="4" t="s">
        <v>28</v>
      </c>
      <c r="M1765" s="4" t="s">
        <v>130</v>
      </c>
      <c r="N1765" s="4" t="s">
        <v>28</v>
      </c>
    </row>
    <row r="1766" spans="1:14" ht="14.4" thickBot="1" x14ac:dyDescent="0.35">
      <c r="A1766" s="4" t="s">
        <v>19</v>
      </c>
      <c r="B1766" s="4" t="s">
        <v>251</v>
      </c>
      <c r="C1766" s="4" t="s">
        <v>252</v>
      </c>
      <c r="D1766" s="4" t="s">
        <v>253</v>
      </c>
      <c r="E1766" s="4" t="s">
        <v>254</v>
      </c>
      <c r="F1766" s="4" t="s">
        <v>275</v>
      </c>
      <c r="G1766" s="4" t="s">
        <v>276</v>
      </c>
      <c r="H1766" s="4" t="s">
        <v>26</v>
      </c>
      <c r="I1766" s="4" t="s">
        <v>26</v>
      </c>
      <c r="J1766" s="4" t="s">
        <v>27</v>
      </c>
      <c r="K1766" s="4" t="s">
        <v>28</v>
      </c>
      <c r="L1766" s="4" t="s">
        <v>28</v>
      </c>
      <c r="M1766" s="4" t="s">
        <v>130</v>
      </c>
      <c r="N1766" s="4" t="s">
        <v>28</v>
      </c>
    </row>
    <row r="1767" spans="1:14" ht="14.4" thickBot="1" x14ac:dyDescent="0.35">
      <c r="A1767" s="4" t="s">
        <v>19</v>
      </c>
      <c r="B1767" s="4" t="s">
        <v>251</v>
      </c>
      <c r="C1767" s="4" t="s">
        <v>252</v>
      </c>
      <c r="D1767" s="4" t="s">
        <v>253</v>
      </c>
      <c r="E1767" s="4" t="s">
        <v>254</v>
      </c>
      <c r="F1767" s="4" t="s">
        <v>277</v>
      </c>
      <c r="G1767" s="4" t="s">
        <v>278</v>
      </c>
      <c r="H1767" s="4" t="s">
        <v>135</v>
      </c>
      <c r="I1767" s="4" t="s">
        <v>69</v>
      </c>
      <c r="J1767" s="4" t="s">
        <v>27</v>
      </c>
      <c r="K1767" s="4" t="s">
        <v>28</v>
      </c>
      <c r="L1767" s="4" t="s">
        <v>28</v>
      </c>
      <c r="M1767" s="4" t="s">
        <v>34</v>
      </c>
      <c r="N1767" s="4" t="s">
        <v>28</v>
      </c>
    </row>
    <row r="1768" spans="1:14" ht="14.4" thickBot="1" x14ac:dyDescent="0.35">
      <c r="A1768" s="4" t="s">
        <v>19</v>
      </c>
      <c r="B1768" s="4" t="s">
        <v>251</v>
      </c>
      <c r="C1768" s="4" t="s">
        <v>252</v>
      </c>
      <c r="D1768" s="4" t="s">
        <v>253</v>
      </c>
      <c r="E1768" s="4" t="s">
        <v>254</v>
      </c>
      <c r="F1768" s="4" t="s">
        <v>279</v>
      </c>
      <c r="G1768" s="4" t="s">
        <v>280</v>
      </c>
      <c r="H1768" s="4" t="s">
        <v>135</v>
      </c>
      <c r="I1768" s="4" t="s">
        <v>38</v>
      </c>
      <c r="J1768" s="5"/>
      <c r="K1768" s="5"/>
      <c r="L1768" s="5"/>
      <c r="M1768" s="4" t="s">
        <v>29</v>
      </c>
      <c r="N1768" s="5"/>
    </row>
    <row r="1769" spans="1:14" ht="14.4" thickBot="1" x14ac:dyDescent="0.35">
      <c r="A1769" s="4" t="s">
        <v>19</v>
      </c>
      <c r="B1769" s="4" t="s">
        <v>251</v>
      </c>
      <c r="C1769" s="4" t="s">
        <v>252</v>
      </c>
      <c r="D1769" s="4" t="s">
        <v>253</v>
      </c>
      <c r="E1769" s="4" t="s">
        <v>254</v>
      </c>
      <c r="F1769" s="4" t="s">
        <v>281</v>
      </c>
      <c r="G1769" s="4" t="s">
        <v>282</v>
      </c>
      <c r="H1769" s="4" t="s">
        <v>26</v>
      </c>
      <c r="I1769" s="4" t="s">
        <v>33</v>
      </c>
      <c r="J1769" s="4" t="s">
        <v>27</v>
      </c>
      <c r="K1769" s="4" t="s">
        <v>28</v>
      </c>
      <c r="L1769" s="4" t="s">
        <v>28</v>
      </c>
      <c r="M1769" s="4" t="s">
        <v>34</v>
      </c>
      <c r="N1769" s="4" t="s">
        <v>28</v>
      </c>
    </row>
    <row r="1770" spans="1:14" ht="14.4" thickBot="1" x14ac:dyDescent="0.35">
      <c r="A1770" s="4" t="s">
        <v>19</v>
      </c>
      <c r="B1770" s="4" t="s">
        <v>251</v>
      </c>
      <c r="C1770" s="4" t="s">
        <v>252</v>
      </c>
      <c r="D1770" s="4" t="s">
        <v>253</v>
      </c>
      <c r="E1770" s="4" t="s">
        <v>254</v>
      </c>
      <c r="F1770" s="4" t="s">
        <v>283</v>
      </c>
      <c r="G1770" s="4" t="s">
        <v>284</v>
      </c>
      <c r="H1770" s="4" t="s">
        <v>69</v>
      </c>
      <c r="I1770" s="4" t="s">
        <v>94</v>
      </c>
      <c r="J1770" s="4" t="s">
        <v>28</v>
      </c>
      <c r="K1770" s="4" t="s">
        <v>27</v>
      </c>
      <c r="L1770" s="4" t="s">
        <v>28</v>
      </c>
      <c r="M1770" s="4" t="s">
        <v>34</v>
      </c>
      <c r="N1770" s="4" t="s">
        <v>28</v>
      </c>
    </row>
    <row r="1771" spans="1:14" ht="14.4" thickBot="1" x14ac:dyDescent="0.35">
      <c r="A1771" s="4" t="s">
        <v>19</v>
      </c>
      <c r="B1771" s="4" t="s">
        <v>251</v>
      </c>
      <c r="C1771" s="4" t="s">
        <v>252</v>
      </c>
      <c r="D1771" s="4" t="s">
        <v>253</v>
      </c>
      <c r="E1771" s="4" t="s">
        <v>254</v>
      </c>
      <c r="F1771" s="4" t="s">
        <v>285</v>
      </c>
      <c r="G1771" s="4" t="s">
        <v>286</v>
      </c>
      <c r="H1771" s="4" t="s">
        <v>26</v>
      </c>
      <c r="I1771" s="4" t="s">
        <v>69</v>
      </c>
      <c r="J1771" s="4" t="s">
        <v>27</v>
      </c>
      <c r="K1771" s="4" t="s">
        <v>28</v>
      </c>
      <c r="L1771" s="4" t="s">
        <v>28</v>
      </c>
      <c r="M1771" s="4" t="s">
        <v>29</v>
      </c>
      <c r="N1771" s="4" t="s">
        <v>28</v>
      </c>
    </row>
    <row r="1772" spans="1:14" ht="14.4" thickBot="1" x14ac:dyDescent="0.35">
      <c r="A1772" s="4" t="s">
        <v>19</v>
      </c>
      <c r="B1772" s="4" t="s">
        <v>251</v>
      </c>
      <c r="C1772" s="4" t="s">
        <v>252</v>
      </c>
      <c r="D1772" s="4" t="s">
        <v>253</v>
      </c>
      <c r="E1772" s="4" t="s">
        <v>254</v>
      </c>
      <c r="F1772" s="4" t="s">
        <v>287</v>
      </c>
      <c r="G1772" s="4" t="s">
        <v>288</v>
      </c>
      <c r="H1772" s="4" t="s">
        <v>26</v>
      </c>
      <c r="I1772" s="4" t="s">
        <v>94</v>
      </c>
      <c r="J1772" s="5"/>
      <c r="K1772" s="5"/>
      <c r="L1772" s="5"/>
      <c r="M1772" s="4" t="s">
        <v>29</v>
      </c>
      <c r="N1772" s="5"/>
    </row>
    <row r="1773" spans="1:14" ht="14.4" thickBot="1" x14ac:dyDescent="0.35">
      <c r="A1773" s="4" t="s">
        <v>19</v>
      </c>
      <c r="B1773" s="4" t="s">
        <v>251</v>
      </c>
      <c r="C1773" s="4" t="s">
        <v>252</v>
      </c>
      <c r="D1773" s="4" t="s">
        <v>253</v>
      </c>
      <c r="E1773" s="4" t="s">
        <v>254</v>
      </c>
      <c r="F1773" s="4" t="s">
        <v>289</v>
      </c>
      <c r="G1773" s="4" t="s">
        <v>290</v>
      </c>
      <c r="H1773" s="4" t="s">
        <v>26</v>
      </c>
      <c r="I1773" s="4" t="s">
        <v>135</v>
      </c>
      <c r="J1773" s="5"/>
      <c r="K1773" s="5"/>
      <c r="L1773" s="5"/>
      <c r="M1773" s="4" t="s">
        <v>29</v>
      </c>
      <c r="N1773" s="5"/>
    </row>
    <row r="1774" spans="1:14" ht="14.4" thickBot="1" x14ac:dyDescent="0.35">
      <c r="A1774" s="4" t="s">
        <v>19</v>
      </c>
      <c r="B1774" s="4" t="s">
        <v>251</v>
      </c>
      <c r="C1774" s="4" t="s">
        <v>252</v>
      </c>
      <c r="D1774" s="4" t="s">
        <v>253</v>
      </c>
      <c r="E1774" s="4" t="s">
        <v>254</v>
      </c>
      <c r="F1774" s="4" t="s">
        <v>291</v>
      </c>
      <c r="G1774" s="4" t="s">
        <v>292</v>
      </c>
      <c r="H1774" s="4" t="s">
        <v>135</v>
      </c>
      <c r="I1774" s="4" t="s">
        <v>33</v>
      </c>
      <c r="J1774" s="4" t="s">
        <v>27</v>
      </c>
      <c r="K1774" s="4" t="s">
        <v>28</v>
      </c>
      <c r="L1774" s="4" t="s">
        <v>28</v>
      </c>
      <c r="M1774" s="4" t="s">
        <v>34</v>
      </c>
      <c r="N1774" s="4" t="s">
        <v>28</v>
      </c>
    </row>
    <row r="1775" spans="1:14" ht="14.4" thickBot="1" x14ac:dyDescent="0.35">
      <c r="A1775" s="4" t="s">
        <v>19</v>
      </c>
      <c r="B1775" s="4" t="s">
        <v>251</v>
      </c>
      <c r="C1775" s="4" t="s">
        <v>252</v>
      </c>
      <c r="D1775" s="4" t="s">
        <v>253</v>
      </c>
      <c r="E1775" s="4" t="s">
        <v>254</v>
      </c>
      <c r="F1775" s="4" t="s">
        <v>293</v>
      </c>
      <c r="G1775" s="4" t="s">
        <v>294</v>
      </c>
      <c r="H1775" s="4" t="s">
        <v>135</v>
      </c>
      <c r="I1775" s="4" t="s">
        <v>38</v>
      </c>
      <c r="J1775" s="5"/>
      <c r="K1775" s="5"/>
      <c r="L1775" s="5"/>
      <c r="M1775" s="4" t="s">
        <v>29</v>
      </c>
      <c r="N1775" s="5"/>
    </row>
    <row r="1776" spans="1:14" ht="14.4" thickBot="1" x14ac:dyDescent="0.35">
      <c r="A1776" s="4" t="s">
        <v>19</v>
      </c>
      <c r="B1776" s="4" t="s">
        <v>251</v>
      </c>
      <c r="C1776" s="4" t="s">
        <v>252</v>
      </c>
      <c r="D1776" s="4" t="s">
        <v>253</v>
      </c>
      <c r="E1776" s="4" t="s">
        <v>254</v>
      </c>
      <c r="F1776" s="4" t="s">
        <v>295</v>
      </c>
      <c r="G1776" s="4" t="s">
        <v>296</v>
      </c>
      <c r="H1776" s="4" t="s">
        <v>26</v>
      </c>
      <c r="I1776" s="4" t="s">
        <v>33</v>
      </c>
      <c r="J1776" s="4" t="s">
        <v>27</v>
      </c>
      <c r="K1776" s="4" t="s">
        <v>28</v>
      </c>
      <c r="L1776" s="4" t="s">
        <v>28</v>
      </c>
      <c r="M1776" s="4" t="s">
        <v>34</v>
      </c>
      <c r="N1776" s="4" t="s">
        <v>28</v>
      </c>
    </row>
    <row r="1777" spans="1:14" ht="14.4" thickBot="1" x14ac:dyDescent="0.35">
      <c r="A1777" s="4" t="s">
        <v>19</v>
      </c>
      <c r="B1777" s="4" t="s">
        <v>251</v>
      </c>
      <c r="C1777" s="4" t="s">
        <v>252</v>
      </c>
      <c r="D1777" s="4" t="s">
        <v>253</v>
      </c>
      <c r="E1777" s="4" t="s">
        <v>254</v>
      </c>
      <c r="F1777" s="4" t="s">
        <v>297</v>
      </c>
      <c r="G1777" s="4" t="s">
        <v>298</v>
      </c>
      <c r="H1777" s="4" t="s">
        <v>26</v>
      </c>
      <c r="I1777" s="4" t="s">
        <v>33</v>
      </c>
      <c r="J1777" s="4" t="s">
        <v>27</v>
      </c>
      <c r="K1777" s="4" t="s">
        <v>28</v>
      </c>
      <c r="L1777" s="4" t="s">
        <v>28</v>
      </c>
      <c r="M1777" s="4" t="s">
        <v>34</v>
      </c>
      <c r="N1777" s="4" t="s">
        <v>28</v>
      </c>
    </row>
    <row r="1778" spans="1:14" ht="14.4" thickBot="1" x14ac:dyDescent="0.35">
      <c r="A1778" s="4" t="s">
        <v>19</v>
      </c>
      <c r="B1778" s="4" t="s">
        <v>251</v>
      </c>
      <c r="C1778" s="4" t="s">
        <v>252</v>
      </c>
      <c r="D1778" s="4" t="s">
        <v>253</v>
      </c>
      <c r="E1778" s="4" t="s">
        <v>254</v>
      </c>
      <c r="F1778" s="4" t="s">
        <v>299</v>
      </c>
      <c r="G1778" s="4" t="s">
        <v>300</v>
      </c>
      <c r="H1778" s="4" t="s">
        <v>37</v>
      </c>
      <c r="I1778" s="4" t="s">
        <v>38</v>
      </c>
      <c r="J1778" s="4" t="s">
        <v>28</v>
      </c>
      <c r="K1778" s="4" t="s">
        <v>28</v>
      </c>
      <c r="L1778" s="4" t="s">
        <v>27</v>
      </c>
      <c r="M1778" s="4" t="s">
        <v>34</v>
      </c>
      <c r="N1778" s="4" t="s">
        <v>28</v>
      </c>
    </row>
    <row r="1779" spans="1:14" ht="14.4" thickBot="1" x14ac:dyDescent="0.35">
      <c r="A1779" s="4" t="s">
        <v>19</v>
      </c>
      <c r="B1779" s="4" t="s">
        <v>251</v>
      </c>
      <c r="C1779" s="4" t="s">
        <v>252</v>
      </c>
      <c r="D1779" s="4" t="s">
        <v>253</v>
      </c>
      <c r="E1779" s="4" t="s">
        <v>254</v>
      </c>
      <c r="F1779" s="4" t="s">
        <v>301</v>
      </c>
      <c r="G1779" s="4" t="s">
        <v>302</v>
      </c>
      <c r="H1779" s="4" t="s">
        <v>135</v>
      </c>
      <c r="I1779" s="4" t="s">
        <v>33</v>
      </c>
      <c r="J1779" s="4" t="s">
        <v>27</v>
      </c>
      <c r="K1779" s="4" t="s">
        <v>28</v>
      </c>
      <c r="L1779" s="4" t="s">
        <v>28</v>
      </c>
      <c r="M1779" s="4" t="s">
        <v>34</v>
      </c>
      <c r="N1779" s="4" t="s">
        <v>28</v>
      </c>
    </row>
    <row r="1780" spans="1:14" ht="14.4" thickBot="1" x14ac:dyDescent="0.35">
      <c r="A1780" s="4" t="s">
        <v>19</v>
      </c>
      <c r="B1780" s="4" t="s">
        <v>251</v>
      </c>
      <c r="C1780" s="4" t="s">
        <v>252</v>
      </c>
      <c r="D1780" s="4" t="s">
        <v>253</v>
      </c>
      <c r="E1780" s="4" t="s">
        <v>254</v>
      </c>
      <c r="F1780" s="4" t="s">
        <v>303</v>
      </c>
      <c r="G1780" s="4" t="s">
        <v>304</v>
      </c>
      <c r="H1780" s="4" t="s">
        <v>26</v>
      </c>
      <c r="I1780" s="4" t="s">
        <v>69</v>
      </c>
      <c r="J1780" s="4" t="s">
        <v>27</v>
      </c>
      <c r="K1780" s="4" t="s">
        <v>28</v>
      </c>
      <c r="L1780" s="4" t="s">
        <v>28</v>
      </c>
      <c r="M1780" s="4" t="s">
        <v>34</v>
      </c>
      <c r="N1780" s="4" t="s">
        <v>28</v>
      </c>
    </row>
    <row r="1781" spans="1:14" ht="14.4" thickBot="1" x14ac:dyDescent="0.35">
      <c r="A1781" s="4" t="s">
        <v>19</v>
      </c>
      <c r="B1781" s="4" t="s">
        <v>251</v>
      </c>
      <c r="C1781" s="4" t="s">
        <v>252</v>
      </c>
      <c r="D1781" s="4" t="s">
        <v>253</v>
      </c>
      <c r="E1781" s="4" t="s">
        <v>254</v>
      </c>
      <c r="F1781" s="4" t="s">
        <v>305</v>
      </c>
      <c r="G1781" s="4" t="s">
        <v>306</v>
      </c>
      <c r="H1781" s="4" t="s">
        <v>135</v>
      </c>
      <c r="I1781" s="4" t="s">
        <v>33</v>
      </c>
      <c r="J1781" s="4" t="s">
        <v>27</v>
      </c>
      <c r="K1781" s="4" t="s">
        <v>28</v>
      </c>
      <c r="L1781" s="4" t="s">
        <v>28</v>
      </c>
      <c r="M1781" s="4" t="s">
        <v>34</v>
      </c>
      <c r="N1781" s="4" t="s">
        <v>28</v>
      </c>
    </row>
    <row r="1782" spans="1:14" ht="14.4" thickBot="1" x14ac:dyDescent="0.35">
      <c r="A1782" s="4" t="s">
        <v>19</v>
      </c>
      <c r="B1782" s="4" t="s">
        <v>251</v>
      </c>
      <c r="C1782" s="4" t="s">
        <v>252</v>
      </c>
      <c r="D1782" s="4" t="s">
        <v>253</v>
      </c>
      <c r="E1782" s="4" t="s">
        <v>254</v>
      </c>
      <c r="F1782" s="4" t="s">
        <v>307</v>
      </c>
      <c r="G1782" s="4" t="s">
        <v>308</v>
      </c>
      <c r="H1782" s="4" t="s">
        <v>26</v>
      </c>
      <c r="I1782" s="4" t="s">
        <v>69</v>
      </c>
      <c r="J1782" s="4" t="s">
        <v>27</v>
      </c>
      <c r="K1782" s="4" t="s">
        <v>28</v>
      </c>
      <c r="L1782" s="4" t="s">
        <v>28</v>
      </c>
      <c r="M1782" s="4" t="s">
        <v>34</v>
      </c>
      <c r="N1782" s="4" t="s">
        <v>28</v>
      </c>
    </row>
    <row r="1783" spans="1:14" ht="14.4" thickBot="1" x14ac:dyDescent="0.35">
      <c r="A1783" s="4" t="s">
        <v>19</v>
      </c>
      <c r="B1783" s="4" t="s">
        <v>251</v>
      </c>
      <c r="C1783" s="4" t="s">
        <v>252</v>
      </c>
      <c r="D1783" s="4" t="s">
        <v>253</v>
      </c>
      <c r="E1783" s="4" t="s">
        <v>254</v>
      </c>
      <c r="F1783" s="4" t="s">
        <v>52</v>
      </c>
      <c r="G1783" s="4" t="s">
        <v>309</v>
      </c>
      <c r="H1783" s="4" t="s">
        <v>69</v>
      </c>
      <c r="I1783" s="4" t="s">
        <v>94</v>
      </c>
      <c r="J1783" s="4" t="s">
        <v>28</v>
      </c>
      <c r="K1783" s="4" t="s">
        <v>27</v>
      </c>
      <c r="L1783" s="4" t="s">
        <v>28</v>
      </c>
      <c r="M1783" s="4" t="s">
        <v>34</v>
      </c>
      <c r="N1783" s="4" t="s">
        <v>28</v>
      </c>
    </row>
    <row r="1784" spans="1:14" ht="14.4" thickBot="1" x14ac:dyDescent="0.35">
      <c r="A1784" s="4" t="s">
        <v>19</v>
      </c>
      <c r="B1784" s="4" t="s">
        <v>251</v>
      </c>
      <c r="C1784" s="4" t="s">
        <v>252</v>
      </c>
      <c r="D1784" s="4" t="s">
        <v>253</v>
      </c>
      <c r="E1784" s="4" t="s">
        <v>254</v>
      </c>
      <c r="F1784" s="4" t="s">
        <v>310</v>
      </c>
      <c r="G1784" s="4" t="s">
        <v>311</v>
      </c>
      <c r="H1784" s="4" t="s">
        <v>26</v>
      </c>
      <c r="I1784" s="4" t="s">
        <v>33</v>
      </c>
      <c r="J1784" s="4" t="s">
        <v>27</v>
      </c>
      <c r="K1784" s="4" t="s">
        <v>28</v>
      </c>
      <c r="L1784" s="4" t="s">
        <v>28</v>
      </c>
      <c r="M1784" s="4" t="s">
        <v>34</v>
      </c>
      <c r="N1784" s="4" t="s">
        <v>28</v>
      </c>
    </row>
    <row r="1785" spans="1:14" ht="14.4" thickBot="1" x14ac:dyDescent="0.35">
      <c r="A1785" s="4" t="s">
        <v>19</v>
      </c>
      <c r="B1785" s="4" t="s">
        <v>251</v>
      </c>
      <c r="C1785" s="4" t="s">
        <v>252</v>
      </c>
      <c r="D1785" s="4" t="s">
        <v>253</v>
      </c>
      <c r="E1785" s="4" t="s">
        <v>254</v>
      </c>
      <c r="F1785" s="4" t="s">
        <v>312</v>
      </c>
      <c r="G1785" s="4" t="s">
        <v>313</v>
      </c>
      <c r="H1785" s="4" t="s">
        <v>69</v>
      </c>
      <c r="I1785" s="4" t="s">
        <v>94</v>
      </c>
      <c r="J1785" s="4" t="s">
        <v>28</v>
      </c>
      <c r="K1785" s="4" t="s">
        <v>27</v>
      </c>
      <c r="L1785" s="4" t="s">
        <v>28</v>
      </c>
      <c r="M1785" s="4" t="s">
        <v>34</v>
      </c>
      <c r="N1785" s="4" t="s">
        <v>28</v>
      </c>
    </row>
    <row r="1786" spans="1:14" ht="14.4" thickBot="1" x14ac:dyDescent="0.35">
      <c r="A1786" s="4" t="s">
        <v>19</v>
      </c>
      <c r="B1786" s="4" t="s">
        <v>251</v>
      </c>
      <c r="C1786" s="4" t="s">
        <v>252</v>
      </c>
      <c r="D1786" s="4" t="s">
        <v>253</v>
      </c>
      <c r="E1786" s="4" t="s">
        <v>254</v>
      </c>
      <c r="F1786" s="4" t="s">
        <v>314</v>
      </c>
      <c r="G1786" s="4" t="s">
        <v>315</v>
      </c>
      <c r="H1786" s="4" t="s">
        <v>26</v>
      </c>
      <c r="I1786" s="4" t="s">
        <v>33</v>
      </c>
      <c r="J1786" s="4" t="s">
        <v>27</v>
      </c>
      <c r="K1786" s="4" t="s">
        <v>28</v>
      </c>
      <c r="L1786" s="4" t="s">
        <v>28</v>
      </c>
      <c r="M1786" s="4" t="s">
        <v>34</v>
      </c>
      <c r="N1786" s="4" t="s">
        <v>28</v>
      </c>
    </row>
    <row r="1787" spans="1:14" ht="14.4" thickBot="1" x14ac:dyDescent="0.35">
      <c r="A1787" s="4" t="s">
        <v>19</v>
      </c>
      <c r="B1787" s="4" t="s">
        <v>251</v>
      </c>
      <c r="C1787" s="4" t="s">
        <v>252</v>
      </c>
      <c r="D1787" s="4" t="s">
        <v>253</v>
      </c>
      <c r="E1787" s="4" t="s">
        <v>254</v>
      </c>
      <c r="F1787" s="4" t="s">
        <v>316</v>
      </c>
      <c r="G1787" s="4" t="s">
        <v>317</v>
      </c>
      <c r="H1787" s="4" t="s">
        <v>69</v>
      </c>
      <c r="I1787" s="4" t="s">
        <v>94</v>
      </c>
      <c r="J1787" s="4" t="s">
        <v>28</v>
      </c>
      <c r="K1787" s="4" t="s">
        <v>27</v>
      </c>
      <c r="L1787" s="4" t="s">
        <v>28</v>
      </c>
      <c r="M1787" s="4" t="s">
        <v>34</v>
      </c>
      <c r="N1787" s="4" t="s">
        <v>28</v>
      </c>
    </row>
    <row r="1788" spans="1:14" ht="14.4" thickBot="1" x14ac:dyDescent="0.35">
      <c r="A1788" s="4" t="s">
        <v>19</v>
      </c>
      <c r="B1788" s="4" t="s">
        <v>251</v>
      </c>
      <c r="C1788" s="4" t="s">
        <v>252</v>
      </c>
      <c r="D1788" s="4" t="s">
        <v>253</v>
      </c>
      <c r="E1788" s="4" t="s">
        <v>254</v>
      </c>
      <c r="F1788" s="4" t="s">
        <v>318</v>
      </c>
      <c r="G1788" s="4" t="s">
        <v>319</v>
      </c>
      <c r="H1788" s="4" t="s">
        <v>26</v>
      </c>
      <c r="I1788" s="4" t="s">
        <v>33</v>
      </c>
      <c r="J1788" s="4" t="s">
        <v>27</v>
      </c>
      <c r="K1788" s="4" t="s">
        <v>28</v>
      </c>
      <c r="L1788" s="4" t="s">
        <v>28</v>
      </c>
      <c r="M1788" s="4" t="s">
        <v>34</v>
      </c>
      <c r="N1788" s="4" t="s">
        <v>28</v>
      </c>
    </row>
    <row r="1789" spans="1:14" ht="14.4" thickBot="1" x14ac:dyDescent="0.35">
      <c r="A1789" s="4" t="s">
        <v>19</v>
      </c>
      <c r="B1789" s="4" t="s">
        <v>251</v>
      </c>
      <c r="C1789" s="4" t="s">
        <v>252</v>
      </c>
      <c r="D1789" s="4" t="s">
        <v>253</v>
      </c>
      <c r="E1789" s="4" t="s">
        <v>254</v>
      </c>
      <c r="F1789" s="4" t="s">
        <v>320</v>
      </c>
      <c r="G1789" s="4" t="s">
        <v>321</v>
      </c>
      <c r="H1789" s="4" t="s">
        <v>135</v>
      </c>
      <c r="I1789" s="4" t="s">
        <v>33</v>
      </c>
      <c r="J1789" s="4" t="s">
        <v>27</v>
      </c>
      <c r="K1789" s="4" t="s">
        <v>28</v>
      </c>
      <c r="L1789" s="4" t="s">
        <v>28</v>
      </c>
      <c r="M1789" s="4" t="s">
        <v>34</v>
      </c>
      <c r="N1789" s="4" t="s">
        <v>28</v>
      </c>
    </row>
    <row r="1790" spans="1:14" ht="14.4" thickBot="1" x14ac:dyDescent="0.35">
      <c r="A1790" s="4" t="s">
        <v>19</v>
      </c>
      <c r="B1790" s="4" t="s">
        <v>251</v>
      </c>
      <c r="C1790" s="4" t="s">
        <v>252</v>
      </c>
      <c r="D1790" s="4" t="s">
        <v>253</v>
      </c>
      <c r="E1790" s="4" t="s">
        <v>254</v>
      </c>
      <c r="F1790" s="4" t="s">
        <v>1199</v>
      </c>
      <c r="G1790" s="4" t="s">
        <v>1200</v>
      </c>
      <c r="H1790" s="4" t="s">
        <v>26</v>
      </c>
      <c r="I1790" s="4" t="s">
        <v>135</v>
      </c>
      <c r="J1790" s="4" t="s">
        <v>27</v>
      </c>
      <c r="K1790" s="4" t="s">
        <v>28</v>
      </c>
      <c r="L1790" s="4" t="s">
        <v>28</v>
      </c>
      <c r="M1790" s="4" t="s">
        <v>29</v>
      </c>
      <c r="N1790" s="4" t="s">
        <v>28</v>
      </c>
    </row>
    <row r="1791" spans="1:14" ht="14.4" thickBot="1" x14ac:dyDescent="0.35">
      <c r="A1791" s="4" t="s">
        <v>19</v>
      </c>
      <c r="B1791" s="4" t="s">
        <v>251</v>
      </c>
      <c r="C1791" s="4" t="s">
        <v>252</v>
      </c>
      <c r="D1791" s="4" t="s">
        <v>253</v>
      </c>
      <c r="E1791" s="4" t="s">
        <v>254</v>
      </c>
      <c r="F1791" s="4" t="s">
        <v>1201</v>
      </c>
      <c r="G1791" s="4" t="s">
        <v>1202</v>
      </c>
      <c r="H1791" s="4" t="s">
        <v>26</v>
      </c>
      <c r="I1791" s="4" t="s">
        <v>26</v>
      </c>
      <c r="J1791" s="4" t="s">
        <v>27</v>
      </c>
      <c r="K1791" s="4" t="s">
        <v>28</v>
      </c>
      <c r="L1791" s="4" t="s">
        <v>28</v>
      </c>
      <c r="M1791" s="4" t="s">
        <v>29</v>
      </c>
      <c r="N1791" s="4" t="s">
        <v>28</v>
      </c>
    </row>
    <row r="1792" spans="1:14" ht="14.4" thickBot="1" x14ac:dyDescent="0.35">
      <c r="A1792" s="4" t="s">
        <v>19</v>
      </c>
      <c r="B1792" s="4" t="s">
        <v>251</v>
      </c>
      <c r="C1792" s="4" t="s">
        <v>252</v>
      </c>
      <c r="D1792" s="4" t="s">
        <v>253</v>
      </c>
      <c r="E1792" s="4" t="s">
        <v>254</v>
      </c>
      <c r="F1792" s="4" t="s">
        <v>1203</v>
      </c>
      <c r="G1792" s="4" t="s">
        <v>1204</v>
      </c>
      <c r="H1792" s="4" t="s">
        <v>26</v>
      </c>
      <c r="I1792" s="4" t="s">
        <v>26</v>
      </c>
      <c r="J1792" s="4" t="s">
        <v>27</v>
      </c>
      <c r="K1792" s="4" t="s">
        <v>28</v>
      </c>
      <c r="L1792" s="4" t="s">
        <v>28</v>
      </c>
      <c r="M1792" s="4" t="s">
        <v>29</v>
      </c>
      <c r="N1792" s="4" t="s">
        <v>28</v>
      </c>
    </row>
    <row r="1793" spans="1:14" ht="14.4" thickBot="1" x14ac:dyDescent="0.35">
      <c r="A1793" s="4" t="s">
        <v>19</v>
      </c>
      <c r="B1793" s="4" t="s">
        <v>251</v>
      </c>
      <c r="C1793" s="4" t="s">
        <v>252</v>
      </c>
      <c r="D1793" s="4" t="s">
        <v>253</v>
      </c>
      <c r="E1793" s="4" t="s">
        <v>254</v>
      </c>
      <c r="F1793" s="4" t="s">
        <v>1205</v>
      </c>
      <c r="G1793" s="4" t="s">
        <v>1206</v>
      </c>
      <c r="H1793" s="4" t="s">
        <v>26</v>
      </c>
      <c r="I1793" s="4" t="s">
        <v>26</v>
      </c>
      <c r="J1793" s="4" t="s">
        <v>27</v>
      </c>
      <c r="K1793" s="4" t="s">
        <v>28</v>
      </c>
      <c r="L1793" s="4" t="s">
        <v>28</v>
      </c>
      <c r="M1793" s="4" t="s">
        <v>29</v>
      </c>
      <c r="N1793" s="4" t="s">
        <v>28</v>
      </c>
    </row>
    <row r="1794" spans="1:14" ht="14.4" thickBot="1" x14ac:dyDescent="0.35">
      <c r="A1794" s="4" t="s">
        <v>19</v>
      </c>
      <c r="B1794" s="4" t="s">
        <v>251</v>
      </c>
      <c r="C1794" s="4" t="s">
        <v>252</v>
      </c>
      <c r="D1794" s="4" t="s">
        <v>253</v>
      </c>
      <c r="E1794" s="4" t="s">
        <v>254</v>
      </c>
      <c r="F1794" s="4" t="s">
        <v>1207</v>
      </c>
      <c r="G1794" s="4" t="s">
        <v>1208</v>
      </c>
      <c r="H1794" s="4" t="s">
        <v>135</v>
      </c>
      <c r="I1794" s="4" t="s">
        <v>33</v>
      </c>
      <c r="J1794" s="4" t="s">
        <v>27</v>
      </c>
      <c r="K1794" s="4" t="s">
        <v>28</v>
      </c>
      <c r="L1794" s="4" t="s">
        <v>28</v>
      </c>
      <c r="M1794" s="4" t="s">
        <v>34</v>
      </c>
      <c r="N1794" s="4" t="s">
        <v>28</v>
      </c>
    </row>
    <row r="1795" spans="1:14" ht="14.4" thickBot="1" x14ac:dyDescent="0.35">
      <c r="A1795" s="4" t="s">
        <v>19</v>
      </c>
      <c r="B1795" s="4" t="s">
        <v>251</v>
      </c>
      <c r="C1795" s="4" t="s">
        <v>252</v>
      </c>
      <c r="D1795" s="4" t="s">
        <v>253</v>
      </c>
      <c r="E1795" s="4" t="s">
        <v>254</v>
      </c>
      <c r="F1795" s="4" t="s">
        <v>1209</v>
      </c>
      <c r="G1795" s="4" t="s">
        <v>1210</v>
      </c>
      <c r="H1795" s="4" t="s">
        <v>26</v>
      </c>
      <c r="I1795" s="4" t="s">
        <v>69</v>
      </c>
      <c r="J1795" s="4" t="s">
        <v>27</v>
      </c>
      <c r="K1795" s="4" t="s">
        <v>28</v>
      </c>
      <c r="L1795" s="4" t="s">
        <v>28</v>
      </c>
      <c r="M1795" s="4" t="s">
        <v>34</v>
      </c>
      <c r="N1795" s="4" t="s">
        <v>27</v>
      </c>
    </row>
    <row r="1796" spans="1:14" ht="14.4" thickBot="1" x14ac:dyDescent="0.35">
      <c r="A1796" s="4" t="s">
        <v>19</v>
      </c>
      <c r="B1796" s="4" t="s">
        <v>251</v>
      </c>
      <c r="C1796" s="4" t="s">
        <v>252</v>
      </c>
      <c r="D1796" s="4" t="s">
        <v>253</v>
      </c>
      <c r="E1796" s="4" t="s">
        <v>254</v>
      </c>
      <c r="F1796" s="4" t="s">
        <v>1211</v>
      </c>
      <c r="G1796" s="4" t="s">
        <v>1212</v>
      </c>
      <c r="H1796" s="4" t="s">
        <v>26</v>
      </c>
      <c r="I1796" s="4" t="s">
        <v>38</v>
      </c>
      <c r="J1796" s="4" t="s">
        <v>28</v>
      </c>
      <c r="K1796" s="4" t="s">
        <v>28</v>
      </c>
      <c r="L1796" s="4" t="s">
        <v>27</v>
      </c>
      <c r="M1796" s="4" t="s">
        <v>29</v>
      </c>
      <c r="N1796" s="5"/>
    </row>
    <row r="1797" spans="1:14" ht="14.4" thickBot="1" x14ac:dyDescent="0.35">
      <c r="A1797" s="4" t="s">
        <v>19</v>
      </c>
      <c r="B1797" s="4" t="s">
        <v>251</v>
      </c>
      <c r="C1797" s="4" t="s">
        <v>252</v>
      </c>
      <c r="D1797" s="4" t="s">
        <v>253</v>
      </c>
      <c r="E1797" s="4" t="s">
        <v>254</v>
      </c>
      <c r="F1797" s="4" t="s">
        <v>1213</v>
      </c>
      <c r="G1797" s="4" t="s">
        <v>1214</v>
      </c>
      <c r="H1797" s="4" t="s">
        <v>26</v>
      </c>
      <c r="I1797" s="4" t="s">
        <v>26</v>
      </c>
      <c r="J1797" s="4" t="s">
        <v>27</v>
      </c>
      <c r="K1797" s="4" t="s">
        <v>28</v>
      </c>
      <c r="L1797" s="4" t="s">
        <v>28</v>
      </c>
      <c r="M1797" s="4" t="s">
        <v>29</v>
      </c>
      <c r="N1797" s="4" t="s">
        <v>28</v>
      </c>
    </row>
    <row r="1798" spans="1:14" ht="14.4" thickBot="1" x14ac:dyDescent="0.35">
      <c r="A1798" s="4" t="s">
        <v>19</v>
      </c>
      <c r="B1798" s="4" t="s">
        <v>251</v>
      </c>
      <c r="C1798" s="4" t="s">
        <v>252</v>
      </c>
      <c r="D1798" s="4" t="s">
        <v>253</v>
      </c>
      <c r="E1798" s="4" t="s">
        <v>254</v>
      </c>
      <c r="F1798" s="4" t="s">
        <v>1215</v>
      </c>
      <c r="G1798" s="4" t="s">
        <v>1216</v>
      </c>
      <c r="H1798" s="4" t="s">
        <v>26</v>
      </c>
      <c r="I1798" s="4" t="s">
        <v>26</v>
      </c>
      <c r="J1798" s="4" t="s">
        <v>27</v>
      </c>
      <c r="K1798" s="4" t="s">
        <v>28</v>
      </c>
      <c r="L1798" s="4" t="s">
        <v>28</v>
      </c>
      <c r="M1798" s="4" t="s">
        <v>34</v>
      </c>
      <c r="N1798" s="4" t="s">
        <v>28</v>
      </c>
    </row>
    <row r="1799" spans="1:14" ht="14.4" thickBot="1" x14ac:dyDescent="0.35">
      <c r="A1799" s="4" t="s">
        <v>19</v>
      </c>
      <c r="B1799" s="4" t="s">
        <v>251</v>
      </c>
      <c r="C1799" s="4" t="s">
        <v>252</v>
      </c>
      <c r="D1799" s="4" t="s">
        <v>253</v>
      </c>
      <c r="E1799" s="4" t="s">
        <v>254</v>
      </c>
      <c r="F1799" s="4" t="s">
        <v>1217</v>
      </c>
      <c r="G1799" s="4" t="s">
        <v>1218</v>
      </c>
      <c r="H1799" s="4" t="s">
        <v>26</v>
      </c>
      <c r="I1799" s="4" t="s">
        <v>33</v>
      </c>
      <c r="J1799" s="4" t="s">
        <v>27</v>
      </c>
      <c r="K1799" s="4" t="s">
        <v>28</v>
      </c>
      <c r="L1799" s="4" t="s">
        <v>28</v>
      </c>
      <c r="M1799" s="4" t="s">
        <v>34</v>
      </c>
      <c r="N1799" s="4" t="s">
        <v>27</v>
      </c>
    </row>
    <row r="1800" spans="1:14" ht="14.4" thickBot="1" x14ac:dyDescent="0.35">
      <c r="A1800" s="4" t="s">
        <v>19</v>
      </c>
      <c r="B1800" s="4" t="s">
        <v>251</v>
      </c>
      <c r="C1800" s="4" t="s">
        <v>252</v>
      </c>
      <c r="D1800" s="4" t="s">
        <v>253</v>
      </c>
      <c r="E1800" s="4" t="s">
        <v>254</v>
      </c>
      <c r="F1800" s="4" t="s">
        <v>1219</v>
      </c>
      <c r="G1800" s="4" t="s">
        <v>1220</v>
      </c>
      <c r="H1800" s="4" t="s">
        <v>26</v>
      </c>
      <c r="I1800" s="4" t="s">
        <v>38</v>
      </c>
      <c r="J1800" s="4" t="s">
        <v>28</v>
      </c>
      <c r="K1800" s="4" t="s">
        <v>28</v>
      </c>
      <c r="L1800" s="4" t="s">
        <v>27</v>
      </c>
      <c r="M1800" s="4" t="s">
        <v>29</v>
      </c>
      <c r="N1800" s="4" t="s">
        <v>28</v>
      </c>
    </row>
    <row r="1801" spans="1:14" ht="14.4" thickBot="1" x14ac:dyDescent="0.35">
      <c r="A1801" s="4" t="s">
        <v>19</v>
      </c>
      <c r="B1801" s="4" t="s">
        <v>251</v>
      </c>
      <c r="C1801" s="4" t="s">
        <v>252</v>
      </c>
      <c r="D1801" s="4" t="s">
        <v>253</v>
      </c>
      <c r="E1801" s="4" t="s">
        <v>254</v>
      </c>
      <c r="F1801" s="4" t="s">
        <v>1221</v>
      </c>
      <c r="G1801" s="4" t="s">
        <v>1222</v>
      </c>
      <c r="H1801" s="4" t="s">
        <v>26</v>
      </c>
      <c r="I1801" s="4" t="s">
        <v>26</v>
      </c>
      <c r="J1801" s="4" t="s">
        <v>27</v>
      </c>
      <c r="K1801" s="4" t="s">
        <v>28</v>
      </c>
      <c r="L1801" s="4" t="s">
        <v>28</v>
      </c>
      <c r="M1801" s="4" t="s">
        <v>29</v>
      </c>
      <c r="N1801" s="4" t="s">
        <v>28</v>
      </c>
    </row>
    <row r="1802" spans="1:14" ht="14.4" thickBot="1" x14ac:dyDescent="0.35">
      <c r="A1802" s="4" t="s">
        <v>19</v>
      </c>
      <c r="B1802" s="4" t="s">
        <v>251</v>
      </c>
      <c r="C1802" s="4" t="s">
        <v>252</v>
      </c>
      <c r="D1802" s="4" t="s">
        <v>253</v>
      </c>
      <c r="E1802" s="4" t="s">
        <v>254</v>
      </c>
      <c r="F1802" s="4" t="s">
        <v>1223</v>
      </c>
      <c r="G1802" s="4" t="s">
        <v>1224</v>
      </c>
      <c r="H1802" s="4" t="s">
        <v>26</v>
      </c>
      <c r="I1802" s="4" t="s">
        <v>33</v>
      </c>
      <c r="J1802" s="4" t="s">
        <v>27</v>
      </c>
      <c r="K1802" s="4" t="s">
        <v>28</v>
      </c>
      <c r="L1802" s="4" t="s">
        <v>28</v>
      </c>
      <c r="M1802" s="4" t="s">
        <v>34</v>
      </c>
      <c r="N1802" s="4" t="s">
        <v>28</v>
      </c>
    </row>
    <row r="1803" spans="1:14" ht="14.4" thickBot="1" x14ac:dyDescent="0.35">
      <c r="A1803" s="4" t="s">
        <v>19</v>
      </c>
      <c r="B1803" s="4" t="s">
        <v>251</v>
      </c>
      <c r="C1803" s="4" t="s">
        <v>252</v>
      </c>
      <c r="D1803" s="4" t="s">
        <v>253</v>
      </c>
      <c r="E1803" s="4" t="s">
        <v>254</v>
      </c>
      <c r="F1803" s="4" t="s">
        <v>1225</v>
      </c>
      <c r="G1803" s="4" t="s">
        <v>1226</v>
      </c>
      <c r="H1803" s="4" t="s">
        <v>26</v>
      </c>
      <c r="I1803" s="4" t="s">
        <v>26</v>
      </c>
      <c r="J1803" s="4" t="s">
        <v>27</v>
      </c>
      <c r="K1803" s="4" t="s">
        <v>28</v>
      </c>
      <c r="L1803" s="4" t="s">
        <v>28</v>
      </c>
      <c r="M1803" s="4" t="s">
        <v>130</v>
      </c>
      <c r="N1803" s="4" t="s">
        <v>28</v>
      </c>
    </row>
    <row r="1804" spans="1:14" ht="14.4" thickBot="1" x14ac:dyDescent="0.35">
      <c r="A1804" s="4" t="s">
        <v>19</v>
      </c>
      <c r="B1804" s="4" t="s">
        <v>251</v>
      </c>
      <c r="C1804" s="4" t="s">
        <v>252</v>
      </c>
      <c r="D1804" s="4" t="s">
        <v>253</v>
      </c>
      <c r="E1804" s="4" t="s">
        <v>254</v>
      </c>
      <c r="F1804" s="4" t="s">
        <v>1227</v>
      </c>
      <c r="G1804" s="4" t="s">
        <v>1228</v>
      </c>
      <c r="H1804" s="4" t="s">
        <v>26</v>
      </c>
      <c r="I1804" s="4" t="s">
        <v>94</v>
      </c>
      <c r="J1804" s="4" t="s">
        <v>27</v>
      </c>
      <c r="K1804" s="4" t="s">
        <v>28</v>
      </c>
      <c r="L1804" s="4" t="s">
        <v>28</v>
      </c>
      <c r="M1804" s="4" t="s">
        <v>34</v>
      </c>
      <c r="N1804" s="4" t="s">
        <v>28</v>
      </c>
    </row>
    <row r="1805" spans="1:14" ht="14.4" thickBot="1" x14ac:dyDescent="0.35">
      <c r="A1805" s="4" t="s">
        <v>19</v>
      </c>
      <c r="B1805" s="4" t="s">
        <v>251</v>
      </c>
      <c r="C1805" s="4" t="s">
        <v>252</v>
      </c>
      <c r="D1805" s="4" t="s">
        <v>253</v>
      </c>
      <c r="E1805" s="4" t="s">
        <v>254</v>
      </c>
      <c r="F1805" s="4" t="s">
        <v>1229</v>
      </c>
      <c r="G1805" s="4" t="s">
        <v>1230</v>
      </c>
      <c r="H1805" s="4" t="s">
        <v>135</v>
      </c>
      <c r="I1805" s="4" t="s">
        <v>33</v>
      </c>
      <c r="J1805" s="4" t="s">
        <v>27</v>
      </c>
      <c r="K1805" s="4" t="s">
        <v>28</v>
      </c>
      <c r="L1805" s="4" t="s">
        <v>28</v>
      </c>
      <c r="M1805" s="4" t="s">
        <v>34</v>
      </c>
      <c r="N1805" s="4" t="s">
        <v>28</v>
      </c>
    </row>
    <row r="1806" spans="1:14" ht="14.4" thickBot="1" x14ac:dyDescent="0.35">
      <c r="A1806" s="4" t="s">
        <v>19</v>
      </c>
      <c r="B1806" s="4" t="s">
        <v>251</v>
      </c>
      <c r="C1806" s="4" t="s">
        <v>252</v>
      </c>
      <c r="D1806" s="4" t="s">
        <v>253</v>
      </c>
      <c r="E1806" s="4" t="s">
        <v>254</v>
      </c>
      <c r="F1806" s="4" t="s">
        <v>1231</v>
      </c>
      <c r="G1806" s="4" t="s">
        <v>1232</v>
      </c>
      <c r="H1806" s="4" t="s">
        <v>26</v>
      </c>
      <c r="I1806" s="4" t="s">
        <v>38</v>
      </c>
      <c r="J1806" s="4" t="s">
        <v>28</v>
      </c>
      <c r="K1806" s="4" t="s">
        <v>28</v>
      </c>
      <c r="L1806" s="4" t="s">
        <v>27</v>
      </c>
      <c r="M1806" s="4" t="s">
        <v>34</v>
      </c>
      <c r="N1806" s="4" t="s">
        <v>27</v>
      </c>
    </row>
    <row r="1807" spans="1:14" ht="14.4" thickBot="1" x14ac:dyDescent="0.35">
      <c r="A1807" s="4" t="s">
        <v>19</v>
      </c>
      <c r="B1807" s="4" t="s">
        <v>251</v>
      </c>
      <c r="C1807" s="4" t="s">
        <v>252</v>
      </c>
      <c r="D1807" s="4" t="s">
        <v>253</v>
      </c>
      <c r="E1807" s="4" t="s">
        <v>254</v>
      </c>
      <c r="F1807" s="4" t="s">
        <v>1233</v>
      </c>
      <c r="G1807" s="4" t="s">
        <v>1234</v>
      </c>
      <c r="H1807" s="4" t="s">
        <v>135</v>
      </c>
      <c r="I1807" s="4" t="s">
        <v>94</v>
      </c>
      <c r="J1807" s="4" t="s">
        <v>27</v>
      </c>
      <c r="K1807" s="4" t="s">
        <v>28</v>
      </c>
      <c r="L1807" s="4" t="s">
        <v>28</v>
      </c>
      <c r="M1807" s="4" t="s">
        <v>34</v>
      </c>
      <c r="N1807" s="4" t="s">
        <v>27</v>
      </c>
    </row>
    <row r="1808" spans="1:14" ht="14.4" thickBot="1" x14ac:dyDescent="0.35">
      <c r="A1808" s="4" t="s">
        <v>19</v>
      </c>
      <c r="B1808" s="4" t="s">
        <v>251</v>
      </c>
      <c r="C1808" s="4" t="s">
        <v>252</v>
      </c>
      <c r="D1808" s="4" t="s">
        <v>253</v>
      </c>
      <c r="E1808" s="4" t="s">
        <v>254</v>
      </c>
      <c r="F1808" s="4" t="s">
        <v>1235</v>
      </c>
      <c r="G1808" s="4" t="s">
        <v>1236</v>
      </c>
      <c r="H1808" s="4" t="s">
        <v>122</v>
      </c>
      <c r="I1808" s="4" t="s">
        <v>38</v>
      </c>
      <c r="J1808" s="4" t="s">
        <v>28</v>
      </c>
      <c r="K1808" s="4" t="s">
        <v>28</v>
      </c>
      <c r="L1808" s="4" t="s">
        <v>27</v>
      </c>
      <c r="M1808" s="4" t="s">
        <v>34</v>
      </c>
      <c r="N1808" s="4" t="s">
        <v>28</v>
      </c>
    </row>
    <row r="1809" spans="1:14" ht="14.4" thickBot="1" x14ac:dyDescent="0.35">
      <c r="A1809" s="4" t="s">
        <v>19</v>
      </c>
      <c r="B1809" s="4" t="s">
        <v>251</v>
      </c>
      <c r="C1809" s="4" t="s">
        <v>252</v>
      </c>
      <c r="D1809" s="4" t="s">
        <v>253</v>
      </c>
      <c r="E1809" s="4" t="s">
        <v>254</v>
      </c>
      <c r="F1809" s="4" t="s">
        <v>1237</v>
      </c>
      <c r="G1809" s="4" t="s">
        <v>1238</v>
      </c>
      <c r="H1809" s="4" t="s">
        <v>26</v>
      </c>
      <c r="I1809" s="4" t="s">
        <v>26</v>
      </c>
      <c r="J1809" s="4" t="s">
        <v>27</v>
      </c>
      <c r="K1809" s="4" t="s">
        <v>28</v>
      </c>
      <c r="L1809" s="4" t="s">
        <v>28</v>
      </c>
      <c r="M1809" s="4" t="s">
        <v>29</v>
      </c>
      <c r="N1809" s="4" t="s">
        <v>28</v>
      </c>
    </row>
    <row r="1810" spans="1:14" ht="14.4" thickBot="1" x14ac:dyDescent="0.35">
      <c r="A1810" s="4" t="s">
        <v>19</v>
      </c>
      <c r="B1810" s="4" t="s">
        <v>251</v>
      </c>
      <c r="C1810" s="4" t="s">
        <v>252</v>
      </c>
      <c r="D1810" s="4" t="s">
        <v>253</v>
      </c>
      <c r="E1810" s="4" t="s">
        <v>254</v>
      </c>
      <c r="F1810" s="4" t="s">
        <v>1239</v>
      </c>
      <c r="G1810" s="4" t="s">
        <v>1240</v>
      </c>
      <c r="H1810" s="4" t="s">
        <v>26</v>
      </c>
      <c r="I1810" s="4" t="s">
        <v>33</v>
      </c>
      <c r="J1810" s="4" t="s">
        <v>27</v>
      </c>
      <c r="K1810" s="4" t="s">
        <v>28</v>
      </c>
      <c r="L1810" s="4" t="s">
        <v>28</v>
      </c>
      <c r="M1810" s="4" t="s">
        <v>34</v>
      </c>
      <c r="N1810" s="4" t="s">
        <v>28</v>
      </c>
    </row>
    <row r="1811" spans="1:14" ht="14.4" thickBot="1" x14ac:dyDescent="0.35">
      <c r="A1811" s="4" t="s">
        <v>19</v>
      </c>
      <c r="B1811" s="4" t="s">
        <v>251</v>
      </c>
      <c r="C1811" s="4" t="s">
        <v>252</v>
      </c>
      <c r="D1811" s="4" t="s">
        <v>253</v>
      </c>
      <c r="E1811" s="4" t="s">
        <v>254</v>
      </c>
      <c r="F1811" s="4" t="s">
        <v>1241</v>
      </c>
      <c r="G1811" s="4" t="s">
        <v>1242</v>
      </c>
      <c r="H1811" s="4" t="s">
        <v>26</v>
      </c>
      <c r="I1811" s="4" t="s">
        <v>94</v>
      </c>
      <c r="J1811" s="4" t="s">
        <v>27</v>
      </c>
      <c r="K1811" s="4" t="s">
        <v>28</v>
      </c>
      <c r="L1811" s="4" t="s">
        <v>28</v>
      </c>
      <c r="M1811" s="4" t="s">
        <v>34</v>
      </c>
      <c r="N1811" s="4" t="s">
        <v>27</v>
      </c>
    </row>
    <row r="1812" spans="1:14" ht="14.4" thickBot="1" x14ac:dyDescent="0.35">
      <c r="A1812" s="4" t="s">
        <v>19</v>
      </c>
      <c r="B1812" s="4" t="s">
        <v>251</v>
      </c>
      <c r="C1812" s="4" t="s">
        <v>252</v>
      </c>
      <c r="D1812" s="4" t="s">
        <v>253</v>
      </c>
      <c r="E1812" s="4" t="s">
        <v>254</v>
      </c>
      <c r="F1812" s="4" t="s">
        <v>1243</v>
      </c>
      <c r="G1812" s="4" t="s">
        <v>1244</v>
      </c>
      <c r="H1812" s="4" t="s">
        <v>26</v>
      </c>
      <c r="I1812" s="4" t="s">
        <v>33</v>
      </c>
      <c r="J1812" s="4" t="s">
        <v>27</v>
      </c>
      <c r="K1812" s="4" t="s">
        <v>28</v>
      </c>
      <c r="L1812" s="4" t="s">
        <v>28</v>
      </c>
      <c r="M1812" s="4" t="s">
        <v>34</v>
      </c>
      <c r="N1812" s="4" t="s">
        <v>28</v>
      </c>
    </row>
    <row r="1813" spans="1:14" ht="14.4" thickBot="1" x14ac:dyDescent="0.35">
      <c r="A1813" s="4" t="s">
        <v>19</v>
      </c>
      <c r="B1813" s="4" t="s">
        <v>251</v>
      </c>
      <c r="C1813" s="4" t="s">
        <v>252</v>
      </c>
      <c r="D1813" s="4" t="s">
        <v>253</v>
      </c>
      <c r="E1813" s="4" t="s">
        <v>254</v>
      </c>
      <c r="F1813" s="4" t="s">
        <v>1245</v>
      </c>
      <c r="G1813" s="4" t="s">
        <v>1246</v>
      </c>
      <c r="H1813" s="4" t="s">
        <v>135</v>
      </c>
      <c r="I1813" s="4" t="s">
        <v>33</v>
      </c>
      <c r="J1813" s="4" t="s">
        <v>27</v>
      </c>
      <c r="K1813" s="4" t="s">
        <v>28</v>
      </c>
      <c r="L1813" s="4" t="s">
        <v>28</v>
      </c>
      <c r="M1813" s="4" t="s">
        <v>34</v>
      </c>
      <c r="N1813" s="4" t="s">
        <v>28</v>
      </c>
    </row>
    <row r="1814" spans="1:14" ht="14.4" thickBot="1" x14ac:dyDescent="0.35">
      <c r="A1814" s="4" t="s">
        <v>19</v>
      </c>
      <c r="B1814" s="4" t="s">
        <v>251</v>
      </c>
      <c r="C1814" s="4" t="s">
        <v>252</v>
      </c>
      <c r="D1814" s="4" t="s">
        <v>253</v>
      </c>
      <c r="E1814" s="4" t="s">
        <v>254</v>
      </c>
      <c r="F1814" s="4" t="s">
        <v>1247</v>
      </c>
      <c r="G1814" s="4" t="s">
        <v>1248</v>
      </c>
      <c r="H1814" s="4" t="s">
        <v>135</v>
      </c>
      <c r="I1814" s="4" t="s">
        <v>33</v>
      </c>
      <c r="J1814" s="4" t="s">
        <v>27</v>
      </c>
      <c r="K1814" s="4" t="s">
        <v>28</v>
      </c>
      <c r="L1814" s="4" t="s">
        <v>28</v>
      </c>
      <c r="M1814" s="4" t="s">
        <v>34</v>
      </c>
      <c r="N1814" s="4" t="s">
        <v>28</v>
      </c>
    </row>
    <row r="1815" spans="1:14" ht="14.4" thickBot="1" x14ac:dyDescent="0.35">
      <c r="A1815" s="4" t="s">
        <v>19</v>
      </c>
      <c r="B1815" s="4" t="s">
        <v>251</v>
      </c>
      <c r="C1815" s="4" t="s">
        <v>252</v>
      </c>
      <c r="D1815" s="4" t="s">
        <v>253</v>
      </c>
      <c r="E1815" s="4" t="s">
        <v>254</v>
      </c>
      <c r="F1815" s="4" t="s">
        <v>1249</v>
      </c>
      <c r="G1815" s="4" t="s">
        <v>1250</v>
      </c>
      <c r="H1815" s="4" t="s">
        <v>26</v>
      </c>
      <c r="I1815" s="4" t="s">
        <v>26</v>
      </c>
      <c r="J1815" s="4" t="s">
        <v>27</v>
      </c>
      <c r="K1815" s="4" t="s">
        <v>28</v>
      </c>
      <c r="L1815" s="4" t="s">
        <v>28</v>
      </c>
      <c r="M1815" s="4" t="s">
        <v>34</v>
      </c>
      <c r="N1815" s="4" t="s">
        <v>28</v>
      </c>
    </row>
    <row r="1816" spans="1:14" ht="14.4" thickBot="1" x14ac:dyDescent="0.35">
      <c r="A1816" s="4" t="s">
        <v>19</v>
      </c>
      <c r="B1816" s="4" t="s">
        <v>251</v>
      </c>
      <c r="C1816" s="4" t="s">
        <v>252</v>
      </c>
      <c r="D1816" s="4" t="s">
        <v>253</v>
      </c>
      <c r="E1816" s="4" t="s">
        <v>254</v>
      </c>
      <c r="F1816" s="4" t="s">
        <v>1251</v>
      </c>
      <c r="G1816" s="4" t="s">
        <v>1252</v>
      </c>
      <c r="H1816" s="4" t="s">
        <v>69</v>
      </c>
      <c r="I1816" s="4" t="s">
        <v>94</v>
      </c>
      <c r="J1816" s="4" t="s">
        <v>28</v>
      </c>
      <c r="K1816" s="4" t="s">
        <v>27</v>
      </c>
      <c r="L1816" s="4" t="s">
        <v>28</v>
      </c>
      <c r="M1816" s="4" t="s">
        <v>34</v>
      </c>
      <c r="N1816" s="4" t="s">
        <v>28</v>
      </c>
    </row>
    <row r="1817" spans="1:14" ht="14.4" thickBot="1" x14ac:dyDescent="0.35">
      <c r="A1817" s="4" t="s">
        <v>19</v>
      </c>
      <c r="B1817" s="4" t="s">
        <v>251</v>
      </c>
      <c r="C1817" s="4" t="s">
        <v>252</v>
      </c>
      <c r="D1817" s="4" t="s">
        <v>253</v>
      </c>
      <c r="E1817" s="4" t="s">
        <v>254</v>
      </c>
      <c r="F1817" s="4" t="s">
        <v>1253</v>
      </c>
      <c r="G1817" s="4" t="s">
        <v>1254</v>
      </c>
      <c r="H1817" s="4" t="s">
        <v>26</v>
      </c>
      <c r="I1817" s="4" t="s">
        <v>33</v>
      </c>
      <c r="J1817" s="4" t="s">
        <v>27</v>
      </c>
      <c r="K1817" s="4" t="s">
        <v>28</v>
      </c>
      <c r="L1817" s="4" t="s">
        <v>28</v>
      </c>
      <c r="M1817" s="4" t="s">
        <v>34</v>
      </c>
      <c r="N1817" s="4" t="s">
        <v>28</v>
      </c>
    </row>
    <row r="1818" spans="1:14" ht="14.4" thickBot="1" x14ac:dyDescent="0.35">
      <c r="A1818" s="4" t="s">
        <v>19</v>
      </c>
      <c r="B1818" s="4" t="s">
        <v>251</v>
      </c>
      <c r="C1818" s="4" t="s">
        <v>252</v>
      </c>
      <c r="D1818" s="4" t="s">
        <v>253</v>
      </c>
      <c r="E1818" s="4" t="s">
        <v>254</v>
      </c>
      <c r="F1818" s="4" t="s">
        <v>1255</v>
      </c>
      <c r="G1818" s="4" t="s">
        <v>1256</v>
      </c>
      <c r="H1818" s="4" t="s">
        <v>26</v>
      </c>
      <c r="I1818" s="4" t="s">
        <v>33</v>
      </c>
      <c r="J1818" s="4" t="s">
        <v>27</v>
      </c>
      <c r="K1818" s="4" t="s">
        <v>28</v>
      </c>
      <c r="L1818" s="4" t="s">
        <v>28</v>
      </c>
      <c r="M1818" s="4" t="s">
        <v>34</v>
      </c>
      <c r="N1818" s="4" t="s">
        <v>28</v>
      </c>
    </row>
    <row r="1819" spans="1:14" ht="14.4" thickBot="1" x14ac:dyDescent="0.35">
      <c r="A1819" s="4" t="s">
        <v>19</v>
      </c>
      <c r="B1819" s="4" t="s">
        <v>251</v>
      </c>
      <c r="C1819" s="4" t="s">
        <v>252</v>
      </c>
      <c r="D1819" s="4" t="s">
        <v>253</v>
      </c>
      <c r="E1819" s="4" t="s">
        <v>254</v>
      </c>
      <c r="F1819" s="4" t="s">
        <v>1257</v>
      </c>
      <c r="G1819" s="4" t="s">
        <v>1258</v>
      </c>
      <c r="H1819" s="4" t="s">
        <v>135</v>
      </c>
      <c r="I1819" s="4" t="s">
        <v>38</v>
      </c>
      <c r="J1819" s="4" t="s">
        <v>28</v>
      </c>
      <c r="K1819" s="4" t="s">
        <v>28</v>
      </c>
      <c r="L1819" s="4" t="s">
        <v>27</v>
      </c>
      <c r="M1819" s="4" t="s">
        <v>34</v>
      </c>
      <c r="N1819" s="4" t="s">
        <v>27</v>
      </c>
    </row>
    <row r="1820" spans="1:14" ht="14.4" thickBot="1" x14ac:dyDescent="0.35">
      <c r="A1820" s="4" t="s">
        <v>19</v>
      </c>
      <c r="B1820" s="4" t="s">
        <v>251</v>
      </c>
      <c r="C1820" s="4" t="s">
        <v>252</v>
      </c>
      <c r="D1820" s="4" t="s">
        <v>253</v>
      </c>
      <c r="E1820" s="4" t="s">
        <v>254</v>
      </c>
      <c r="F1820" s="4" t="s">
        <v>1259</v>
      </c>
      <c r="G1820" s="4" t="s">
        <v>1260</v>
      </c>
      <c r="H1820" s="4" t="s">
        <v>69</v>
      </c>
      <c r="I1820" s="4" t="s">
        <v>94</v>
      </c>
      <c r="J1820" s="4" t="s">
        <v>28</v>
      </c>
      <c r="K1820" s="4" t="s">
        <v>27</v>
      </c>
      <c r="L1820" s="4" t="s">
        <v>28</v>
      </c>
      <c r="M1820" s="4" t="s">
        <v>34</v>
      </c>
      <c r="N1820" s="4" t="s">
        <v>28</v>
      </c>
    </row>
    <row r="1821" spans="1:14" ht="14.4" thickBot="1" x14ac:dyDescent="0.35">
      <c r="A1821" s="4" t="s">
        <v>19</v>
      </c>
      <c r="B1821" s="4" t="s">
        <v>251</v>
      </c>
      <c r="C1821" s="4" t="s">
        <v>252</v>
      </c>
      <c r="D1821" s="4" t="s">
        <v>253</v>
      </c>
      <c r="E1821" s="4" t="s">
        <v>254</v>
      </c>
      <c r="F1821" s="4" t="s">
        <v>1261</v>
      </c>
      <c r="G1821" s="4" t="s">
        <v>1262</v>
      </c>
      <c r="H1821" s="4" t="s">
        <v>26</v>
      </c>
      <c r="I1821" s="4" t="s">
        <v>69</v>
      </c>
      <c r="J1821" s="4" t="s">
        <v>27</v>
      </c>
      <c r="K1821" s="4" t="s">
        <v>28</v>
      </c>
      <c r="L1821" s="4" t="s">
        <v>28</v>
      </c>
      <c r="M1821" s="4" t="s">
        <v>34</v>
      </c>
      <c r="N1821" s="4" t="s">
        <v>28</v>
      </c>
    </row>
    <row r="1822" spans="1:14" ht="14.4" thickBot="1" x14ac:dyDescent="0.35">
      <c r="A1822" s="4" t="s">
        <v>19</v>
      </c>
      <c r="B1822" s="4" t="s">
        <v>251</v>
      </c>
      <c r="C1822" s="4" t="s">
        <v>252</v>
      </c>
      <c r="D1822" s="4" t="s">
        <v>253</v>
      </c>
      <c r="E1822" s="4" t="s">
        <v>254</v>
      </c>
      <c r="F1822" s="4" t="s">
        <v>1263</v>
      </c>
      <c r="G1822" s="4" t="s">
        <v>1264</v>
      </c>
      <c r="H1822" s="4" t="s">
        <v>135</v>
      </c>
      <c r="I1822" s="4" t="s">
        <v>33</v>
      </c>
      <c r="J1822" s="4" t="s">
        <v>27</v>
      </c>
      <c r="K1822" s="4" t="s">
        <v>28</v>
      </c>
      <c r="L1822" s="4" t="s">
        <v>28</v>
      </c>
      <c r="M1822" s="4" t="s">
        <v>34</v>
      </c>
      <c r="N1822" s="4" t="s">
        <v>28</v>
      </c>
    </row>
    <row r="1823" spans="1:14" ht="14.4" thickBot="1" x14ac:dyDescent="0.35">
      <c r="A1823" s="4" t="s">
        <v>19</v>
      </c>
      <c r="B1823" s="4" t="s">
        <v>251</v>
      </c>
      <c r="C1823" s="4" t="s">
        <v>252</v>
      </c>
      <c r="D1823" s="4" t="s">
        <v>253</v>
      </c>
      <c r="E1823" s="4" t="s">
        <v>254</v>
      </c>
      <c r="F1823" s="4" t="s">
        <v>1265</v>
      </c>
      <c r="G1823" s="4" t="s">
        <v>1266</v>
      </c>
      <c r="H1823" s="4" t="s">
        <v>37</v>
      </c>
      <c r="I1823" s="4" t="s">
        <v>38</v>
      </c>
      <c r="J1823" s="4" t="s">
        <v>28</v>
      </c>
      <c r="K1823" s="4" t="s">
        <v>28</v>
      </c>
      <c r="L1823" s="4" t="s">
        <v>27</v>
      </c>
      <c r="M1823" s="4" t="s">
        <v>34</v>
      </c>
      <c r="N1823" s="4" t="s">
        <v>28</v>
      </c>
    </row>
    <row r="1824" spans="1:14" ht="14.4" thickBot="1" x14ac:dyDescent="0.35">
      <c r="A1824" s="4" t="s">
        <v>19</v>
      </c>
      <c r="B1824" s="4" t="s">
        <v>251</v>
      </c>
      <c r="C1824" s="4" t="s">
        <v>252</v>
      </c>
      <c r="D1824" s="4" t="s">
        <v>253</v>
      </c>
      <c r="E1824" s="4" t="s">
        <v>254</v>
      </c>
      <c r="F1824" s="4" t="s">
        <v>1267</v>
      </c>
      <c r="G1824" s="4" t="s">
        <v>1268</v>
      </c>
      <c r="H1824" s="4" t="s">
        <v>26</v>
      </c>
      <c r="I1824" s="4" t="s">
        <v>61</v>
      </c>
      <c r="J1824" s="4" t="s">
        <v>27</v>
      </c>
      <c r="K1824" s="4" t="s">
        <v>28</v>
      </c>
      <c r="L1824" s="4" t="s">
        <v>28</v>
      </c>
      <c r="M1824" s="4" t="s">
        <v>34</v>
      </c>
      <c r="N1824" s="4" t="s">
        <v>28</v>
      </c>
    </row>
    <row r="1825" spans="1:14" ht="14.4" thickBot="1" x14ac:dyDescent="0.35">
      <c r="A1825" s="4" t="s">
        <v>19</v>
      </c>
      <c r="B1825" s="4" t="s">
        <v>251</v>
      </c>
      <c r="C1825" s="4" t="s">
        <v>252</v>
      </c>
      <c r="D1825" s="4" t="s">
        <v>253</v>
      </c>
      <c r="E1825" s="4" t="s">
        <v>254</v>
      </c>
      <c r="F1825" s="4" t="s">
        <v>1269</v>
      </c>
      <c r="G1825" s="4" t="s">
        <v>1270</v>
      </c>
      <c r="H1825" s="4" t="s">
        <v>122</v>
      </c>
      <c r="I1825" s="4" t="s">
        <v>38</v>
      </c>
      <c r="J1825" s="4" t="s">
        <v>28</v>
      </c>
      <c r="K1825" s="4" t="s">
        <v>28</v>
      </c>
      <c r="L1825" s="4" t="s">
        <v>27</v>
      </c>
      <c r="M1825" s="4" t="s">
        <v>34</v>
      </c>
      <c r="N1825" s="4" t="s">
        <v>28</v>
      </c>
    </row>
    <row r="1826" spans="1:14" ht="14.4" thickBot="1" x14ac:dyDescent="0.35">
      <c r="A1826" s="4" t="s">
        <v>19</v>
      </c>
      <c r="B1826" s="4" t="s">
        <v>251</v>
      </c>
      <c r="C1826" s="4" t="s">
        <v>252</v>
      </c>
      <c r="D1826" s="4" t="s">
        <v>253</v>
      </c>
      <c r="E1826" s="4" t="s">
        <v>254</v>
      </c>
      <c r="F1826" s="4" t="s">
        <v>1271</v>
      </c>
      <c r="G1826" s="4" t="s">
        <v>1272</v>
      </c>
      <c r="H1826" s="4" t="s">
        <v>135</v>
      </c>
      <c r="I1826" s="4" t="s">
        <v>33</v>
      </c>
      <c r="J1826" s="4" t="s">
        <v>27</v>
      </c>
      <c r="K1826" s="4" t="s">
        <v>28</v>
      </c>
      <c r="L1826" s="4" t="s">
        <v>28</v>
      </c>
      <c r="M1826" s="4" t="s">
        <v>34</v>
      </c>
      <c r="N1826" s="4" t="s">
        <v>28</v>
      </c>
    </row>
    <row r="1827" spans="1:14" ht="14.4" thickBot="1" x14ac:dyDescent="0.35">
      <c r="A1827" s="4" t="s">
        <v>19</v>
      </c>
      <c r="B1827" s="4" t="s">
        <v>251</v>
      </c>
      <c r="C1827" s="4" t="s">
        <v>252</v>
      </c>
      <c r="D1827" s="4" t="s">
        <v>253</v>
      </c>
      <c r="E1827" s="4" t="s">
        <v>254</v>
      </c>
      <c r="F1827" s="4" t="s">
        <v>2023</v>
      </c>
      <c r="G1827" s="4" t="s">
        <v>2024</v>
      </c>
      <c r="H1827" s="4" t="s">
        <v>26</v>
      </c>
      <c r="I1827" s="4" t="s">
        <v>26</v>
      </c>
      <c r="J1827" s="4" t="s">
        <v>27</v>
      </c>
      <c r="K1827" s="4" t="s">
        <v>28</v>
      </c>
      <c r="L1827" s="4" t="s">
        <v>28</v>
      </c>
      <c r="M1827" s="4" t="s">
        <v>29</v>
      </c>
      <c r="N1827" s="4" t="s">
        <v>28</v>
      </c>
    </row>
    <row r="1828" spans="1:14" ht="14.4" thickBot="1" x14ac:dyDescent="0.35">
      <c r="A1828" s="4" t="s">
        <v>19</v>
      </c>
      <c r="B1828" s="4" t="s">
        <v>251</v>
      </c>
      <c r="C1828" s="4" t="s">
        <v>252</v>
      </c>
      <c r="D1828" s="4" t="s">
        <v>253</v>
      </c>
      <c r="E1828" s="4" t="s">
        <v>254</v>
      </c>
      <c r="F1828" s="4" t="s">
        <v>2025</v>
      </c>
      <c r="G1828" s="4" t="s">
        <v>2026</v>
      </c>
      <c r="H1828" s="4" t="s">
        <v>26</v>
      </c>
      <c r="I1828" s="4" t="s">
        <v>26</v>
      </c>
      <c r="J1828" s="4" t="s">
        <v>27</v>
      </c>
      <c r="K1828" s="4" t="s">
        <v>28</v>
      </c>
      <c r="L1828" s="4" t="s">
        <v>28</v>
      </c>
      <c r="M1828" s="4" t="s">
        <v>29</v>
      </c>
      <c r="N1828" s="4" t="s">
        <v>28</v>
      </c>
    </row>
    <row r="1829" spans="1:14" ht="14.4" thickBot="1" x14ac:dyDescent="0.35">
      <c r="A1829" s="4" t="s">
        <v>19</v>
      </c>
      <c r="B1829" s="4" t="s">
        <v>251</v>
      </c>
      <c r="C1829" s="4" t="s">
        <v>252</v>
      </c>
      <c r="D1829" s="4" t="s">
        <v>253</v>
      </c>
      <c r="E1829" s="4" t="s">
        <v>254</v>
      </c>
      <c r="F1829" s="4" t="s">
        <v>2027</v>
      </c>
      <c r="G1829" s="4" t="s">
        <v>635</v>
      </c>
      <c r="H1829" s="4" t="s">
        <v>26</v>
      </c>
      <c r="I1829" s="4" t="s">
        <v>454</v>
      </c>
      <c r="J1829" s="4" t="s">
        <v>27</v>
      </c>
      <c r="K1829" s="4" t="s">
        <v>28</v>
      </c>
      <c r="L1829" s="4" t="s">
        <v>28</v>
      </c>
      <c r="M1829" s="4" t="s">
        <v>29</v>
      </c>
      <c r="N1829" s="4" t="s">
        <v>28</v>
      </c>
    </row>
    <row r="1830" spans="1:14" ht="14.4" thickBot="1" x14ac:dyDescent="0.35">
      <c r="A1830" s="4" t="s">
        <v>19</v>
      </c>
      <c r="B1830" s="4" t="s">
        <v>251</v>
      </c>
      <c r="C1830" s="4" t="s">
        <v>252</v>
      </c>
      <c r="D1830" s="4" t="s">
        <v>253</v>
      </c>
      <c r="E1830" s="4" t="s">
        <v>254</v>
      </c>
      <c r="F1830" s="4" t="s">
        <v>2028</v>
      </c>
      <c r="G1830" s="4" t="s">
        <v>2029</v>
      </c>
      <c r="H1830" s="4" t="s">
        <v>135</v>
      </c>
      <c r="I1830" s="4" t="s">
        <v>33</v>
      </c>
      <c r="J1830" s="4" t="s">
        <v>27</v>
      </c>
      <c r="K1830" s="4" t="s">
        <v>28</v>
      </c>
      <c r="L1830" s="4" t="s">
        <v>28</v>
      </c>
      <c r="M1830" s="4" t="s">
        <v>34</v>
      </c>
      <c r="N1830" s="4" t="s">
        <v>28</v>
      </c>
    </row>
    <row r="1831" spans="1:14" ht="14.4" thickBot="1" x14ac:dyDescent="0.35">
      <c r="A1831" s="4" t="s">
        <v>19</v>
      </c>
      <c r="B1831" s="4" t="s">
        <v>251</v>
      </c>
      <c r="C1831" s="4" t="s">
        <v>252</v>
      </c>
      <c r="D1831" s="4" t="s">
        <v>253</v>
      </c>
      <c r="E1831" s="4" t="s">
        <v>254</v>
      </c>
      <c r="F1831" s="4" t="s">
        <v>2030</v>
      </c>
      <c r="G1831" s="4" t="s">
        <v>2031</v>
      </c>
      <c r="H1831" s="4" t="s">
        <v>26</v>
      </c>
      <c r="I1831" s="4" t="s">
        <v>94</v>
      </c>
      <c r="J1831" s="5"/>
      <c r="K1831" s="5"/>
      <c r="L1831" s="5"/>
      <c r="M1831" s="4" t="s">
        <v>29</v>
      </c>
      <c r="N1831" s="5"/>
    </row>
    <row r="1832" spans="1:14" ht="14.4" thickBot="1" x14ac:dyDescent="0.35">
      <c r="A1832" s="4" t="s">
        <v>19</v>
      </c>
      <c r="B1832" s="4" t="s">
        <v>251</v>
      </c>
      <c r="C1832" s="4" t="s">
        <v>252</v>
      </c>
      <c r="D1832" s="4" t="s">
        <v>253</v>
      </c>
      <c r="E1832" s="4" t="s">
        <v>254</v>
      </c>
      <c r="F1832" s="4" t="s">
        <v>2032</v>
      </c>
      <c r="G1832" s="4" t="s">
        <v>2033</v>
      </c>
      <c r="H1832" s="4" t="s">
        <v>26</v>
      </c>
      <c r="I1832" s="4" t="s">
        <v>26</v>
      </c>
      <c r="J1832" s="4" t="s">
        <v>27</v>
      </c>
      <c r="K1832" s="4" t="s">
        <v>28</v>
      </c>
      <c r="L1832" s="4" t="s">
        <v>28</v>
      </c>
      <c r="M1832" s="4" t="s">
        <v>29</v>
      </c>
      <c r="N1832" s="4" t="s">
        <v>28</v>
      </c>
    </row>
    <row r="1833" spans="1:14" ht="14.4" thickBot="1" x14ac:dyDescent="0.35">
      <c r="A1833" s="4" t="s">
        <v>19</v>
      </c>
      <c r="B1833" s="4" t="s">
        <v>251</v>
      </c>
      <c r="C1833" s="4" t="s">
        <v>252</v>
      </c>
      <c r="D1833" s="4" t="s">
        <v>253</v>
      </c>
      <c r="E1833" s="4" t="s">
        <v>254</v>
      </c>
      <c r="F1833" s="4" t="s">
        <v>2034</v>
      </c>
      <c r="G1833" s="4" t="s">
        <v>2035</v>
      </c>
      <c r="H1833" s="4" t="s">
        <v>26</v>
      </c>
      <c r="I1833" s="4" t="s">
        <v>116</v>
      </c>
      <c r="J1833" s="4" t="s">
        <v>27</v>
      </c>
      <c r="K1833" s="4" t="s">
        <v>28</v>
      </c>
      <c r="L1833" s="4" t="s">
        <v>28</v>
      </c>
      <c r="M1833" s="4" t="s">
        <v>29</v>
      </c>
      <c r="N1833" s="4" t="s">
        <v>28</v>
      </c>
    </row>
    <row r="1834" spans="1:14" ht="14.4" thickBot="1" x14ac:dyDescent="0.35">
      <c r="A1834" s="4" t="s">
        <v>19</v>
      </c>
      <c r="B1834" s="4" t="s">
        <v>251</v>
      </c>
      <c r="C1834" s="4" t="s">
        <v>252</v>
      </c>
      <c r="D1834" s="4" t="s">
        <v>253</v>
      </c>
      <c r="E1834" s="4" t="s">
        <v>254</v>
      </c>
      <c r="F1834" s="4" t="s">
        <v>1522</v>
      </c>
      <c r="G1834" s="4" t="s">
        <v>2036</v>
      </c>
      <c r="H1834" s="4" t="s">
        <v>26</v>
      </c>
      <c r="I1834" s="4" t="s">
        <v>26</v>
      </c>
      <c r="J1834" s="4" t="s">
        <v>27</v>
      </c>
      <c r="K1834" s="4" t="s">
        <v>28</v>
      </c>
      <c r="L1834" s="4" t="s">
        <v>28</v>
      </c>
      <c r="M1834" s="4" t="s">
        <v>130</v>
      </c>
      <c r="N1834" s="4" t="s">
        <v>28</v>
      </c>
    </row>
    <row r="1835" spans="1:14" ht="14.4" thickBot="1" x14ac:dyDescent="0.35">
      <c r="A1835" s="4" t="s">
        <v>19</v>
      </c>
      <c r="B1835" s="4" t="s">
        <v>251</v>
      </c>
      <c r="C1835" s="4" t="s">
        <v>252</v>
      </c>
      <c r="D1835" s="4" t="s">
        <v>253</v>
      </c>
      <c r="E1835" s="4" t="s">
        <v>254</v>
      </c>
      <c r="F1835" s="4" t="s">
        <v>2037</v>
      </c>
      <c r="G1835" s="4" t="s">
        <v>2038</v>
      </c>
      <c r="H1835" s="4" t="s">
        <v>26</v>
      </c>
      <c r="I1835" s="4" t="s">
        <v>26</v>
      </c>
      <c r="J1835" s="4" t="s">
        <v>27</v>
      </c>
      <c r="K1835" s="4" t="s">
        <v>28</v>
      </c>
      <c r="L1835" s="4" t="s">
        <v>28</v>
      </c>
      <c r="M1835" s="4" t="s">
        <v>130</v>
      </c>
      <c r="N1835" s="4" t="s">
        <v>28</v>
      </c>
    </row>
    <row r="1836" spans="1:14" ht="14.4" thickBot="1" x14ac:dyDescent="0.35">
      <c r="A1836" s="4" t="s">
        <v>19</v>
      </c>
      <c r="B1836" s="4" t="s">
        <v>251</v>
      </c>
      <c r="C1836" s="4" t="s">
        <v>252</v>
      </c>
      <c r="D1836" s="4" t="s">
        <v>253</v>
      </c>
      <c r="E1836" s="4" t="s">
        <v>254</v>
      </c>
      <c r="F1836" s="4" t="s">
        <v>2039</v>
      </c>
      <c r="G1836" s="4" t="s">
        <v>2040</v>
      </c>
      <c r="H1836" s="4" t="s">
        <v>26</v>
      </c>
      <c r="I1836" s="4" t="s">
        <v>26</v>
      </c>
      <c r="J1836" s="5"/>
      <c r="K1836" s="5"/>
      <c r="L1836" s="5"/>
      <c r="M1836" s="4" t="s">
        <v>130</v>
      </c>
      <c r="N1836" s="5"/>
    </row>
    <row r="1837" spans="1:14" ht="14.4" thickBot="1" x14ac:dyDescent="0.35">
      <c r="A1837" s="4" t="s">
        <v>19</v>
      </c>
      <c r="B1837" s="4" t="s">
        <v>251</v>
      </c>
      <c r="C1837" s="4" t="s">
        <v>252</v>
      </c>
      <c r="D1837" s="4" t="s">
        <v>253</v>
      </c>
      <c r="E1837" s="4" t="s">
        <v>254</v>
      </c>
      <c r="F1837" s="4" t="s">
        <v>2041</v>
      </c>
      <c r="G1837" s="4" t="s">
        <v>2042</v>
      </c>
      <c r="H1837" s="4" t="s">
        <v>135</v>
      </c>
      <c r="I1837" s="4" t="s">
        <v>69</v>
      </c>
      <c r="J1837" s="4" t="s">
        <v>27</v>
      </c>
      <c r="K1837" s="4" t="s">
        <v>28</v>
      </c>
      <c r="L1837" s="4" t="s">
        <v>28</v>
      </c>
      <c r="M1837" s="4" t="s">
        <v>34</v>
      </c>
      <c r="N1837" s="4" t="s">
        <v>28</v>
      </c>
    </row>
    <row r="1838" spans="1:14" ht="14.4" thickBot="1" x14ac:dyDescent="0.35">
      <c r="A1838" s="4" t="s">
        <v>19</v>
      </c>
      <c r="B1838" s="4" t="s">
        <v>251</v>
      </c>
      <c r="C1838" s="4" t="s">
        <v>252</v>
      </c>
      <c r="D1838" s="4" t="s">
        <v>253</v>
      </c>
      <c r="E1838" s="4" t="s">
        <v>254</v>
      </c>
      <c r="F1838" s="4" t="s">
        <v>2043</v>
      </c>
      <c r="G1838" s="4" t="s">
        <v>2044</v>
      </c>
      <c r="H1838" s="4" t="s">
        <v>26</v>
      </c>
      <c r="I1838" s="4" t="s">
        <v>33</v>
      </c>
      <c r="J1838" s="4" t="s">
        <v>27</v>
      </c>
      <c r="K1838" s="4" t="s">
        <v>28</v>
      </c>
      <c r="L1838" s="4" t="s">
        <v>28</v>
      </c>
      <c r="M1838" s="4" t="s">
        <v>34</v>
      </c>
      <c r="N1838" s="4" t="s">
        <v>28</v>
      </c>
    </row>
    <row r="1839" spans="1:14" ht="14.4" thickBot="1" x14ac:dyDescent="0.35">
      <c r="A1839" s="4" t="s">
        <v>19</v>
      </c>
      <c r="B1839" s="4" t="s">
        <v>251</v>
      </c>
      <c r="C1839" s="4" t="s">
        <v>252</v>
      </c>
      <c r="D1839" s="4" t="s">
        <v>253</v>
      </c>
      <c r="E1839" s="4" t="s">
        <v>254</v>
      </c>
      <c r="F1839" s="4" t="s">
        <v>2045</v>
      </c>
      <c r="G1839" s="4" t="s">
        <v>2046</v>
      </c>
      <c r="H1839" s="4" t="s">
        <v>26</v>
      </c>
      <c r="I1839" s="4" t="s">
        <v>26</v>
      </c>
      <c r="J1839" s="4" t="s">
        <v>27</v>
      </c>
      <c r="K1839" s="4" t="s">
        <v>28</v>
      </c>
      <c r="L1839" s="4" t="s">
        <v>28</v>
      </c>
      <c r="M1839" s="4" t="s">
        <v>29</v>
      </c>
      <c r="N1839" s="4" t="s">
        <v>28</v>
      </c>
    </row>
    <row r="1840" spans="1:14" ht="14.4" thickBot="1" x14ac:dyDescent="0.35">
      <c r="A1840" s="4" t="s">
        <v>19</v>
      </c>
      <c r="B1840" s="4" t="s">
        <v>251</v>
      </c>
      <c r="C1840" s="4" t="s">
        <v>252</v>
      </c>
      <c r="D1840" s="4" t="s">
        <v>253</v>
      </c>
      <c r="E1840" s="4" t="s">
        <v>254</v>
      </c>
      <c r="F1840" s="4" t="s">
        <v>2047</v>
      </c>
      <c r="G1840" s="4" t="s">
        <v>2048</v>
      </c>
      <c r="H1840" s="4" t="s">
        <v>26</v>
      </c>
      <c r="I1840" s="4" t="s">
        <v>33</v>
      </c>
      <c r="J1840" s="4" t="s">
        <v>27</v>
      </c>
      <c r="K1840" s="4" t="s">
        <v>28</v>
      </c>
      <c r="L1840" s="4" t="s">
        <v>28</v>
      </c>
      <c r="M1840" s="4" t="s">
        <v>34</v>
      </c>
      <c r="N1840" s="4" t="s">
        <v>28</v>
      </c>
    </row>
    <row r="1841" spans="1:14" ht="14.4" thickBot="1" x14ac:dyDescent="0.35">
      <c r="A1841" s="4" t="s">
        <v>19</v>
      </c>
      <c r="B1841" s="4" t="s">
        <v>251</v>
      </c>
      <c r="C1841" s="4" t="s">
        <v>252</v>
      </c>
      <c r="D1841" s="4" t="s">
        <v>253</v>
      </c>
      <c r="E1841" s="4" t="s">
        <v>254</v>
      </c>
      <c r="F1841" s="4" t="s">
        <v>2049</v>
      </c>
      <c r="G1841" s="4" t="s">
        <v>2050</v>
      </c>
      <c r="H1841" s="4" t="s">
        <v>37</v>
      </c>
      <c r="I1841" s="4" t="s">
        <v>38</v>
      </c>
      <c r="J1841" s="4" t="s">
        <v>28</v>
      </c>
      <c r="K1841" s="4" t="s">
        <v>28</v>
      </c>
      <c r="L1841" s="4" t="s">
        <v>27</v>
      </c>
      <c r="M1841" s="4" t="s">
        <v>34</v>
      </c>
      <c r="N1841" s="4" t="s">
        <v>27</v>
      </c>
    </row>
    <row r="1842" spans="1:14" ht="14.4" thickBot="1" x14ac:dyDescent="0.35">
      <c r="A1842" s="4" t="s">
        <v>19</v>
      </c>
      <c r="B1842" s="4" t="s">
        <v>251</v>
      </c>
      <c r="C1842" s="4" t="s">
        <v>252</v>
      </c>
      <c r="D1842" s="4" t="s">
        <v>253</v>
      </c>
      <c r="E1842" s="4" t="s">
        <v>254</v>
      </c>
      <c r="F1842" s="4" t="s">
        <v>2051</v>
      </c>
      <c r="G1842" s="4" t="s">
        <v>2052</v>
      </c>
      <c r="H1842" s="4" t="s">
        <v>33</v>
      </c>
      <c r="I1842" s="4" t="s">
        <v>38</v>
      </c>
      <c r="J1842" s="4" t="s">
        <v>28</v>
      </c>
      <c r="K1842" s="4" t="s">
        <v>28</v>
      </c>
      <c r="L1842" s="4" t="s">
        <v>27</v>
      </c>
      <c r="M1842" s="4" t="s">
        <v>181</v>
      </c>
      <c r="N1842" s="4" t="s">
        <v>28</v>
      </c>
    </row>
    <row r="1843" spans="1:14" ht="14.4" thickBot="1" x14ac:dyDescent="0.35">
      <c r="A1843" s="4" t="s">
        <v>19</v>
      </c>
      <c r="B1843" s="4" t="s">
        <v>251</v>
      </c>
      <c r="C1843" s="4" t="s">
        <v>252</v>
      </c>
      <c r="D1843" s="4" t="s">
        <v>253</v>
      </c>
      <c r="E1843" s="4" t="s">
        <v>254</v>
      </c>
      <c r="F1843" s="4" t="s">
        <v>2053</v>
      </c>
      <c r="G1843" s="4" t="s">
        <v>2054</v>
      </c>
      <c r="H1843" s="4" t="s">
        <v>26</v>
      </c>
      <c r="I1843" s="4" t="s">
        <v>33</v>
      </c>
      <c r="J1843" s="4" t="s">
        <v>27</v>
      </c>
      <c r="K1843" s="4" t="s">
        <v>28</v>
      </c>
      <c r="L1843" s="4" t="s">
        <v>28</v>
      </c>
      <c r="M1843" s="4" t="s">
        <v>34</v>
      </c>
      <c r="N1843" s="4" t="s">
        <v>28</v>
      </c>
    </row>
    <row r="1844" spans="1:14" ht="14.4" thickBot="1" x14ac:dyDescent="0.35">
      <c r="A1844" s="4" t="s">
        <v>19</v>
      </c>
      <c r="B1844" s="4" t="s">
        <v>251</v>
      </c>
      <c r="C1844" s="4" t="s">
        <v>252</v>
      </c>
      <c r="D1844" s="4" t="s">
        <v>253</v>
      </c>
      <c r="E1844" s="4" t="s">
        <v>254</v>
      </c>
      <c r="F1844" s="4" t="s">
        <v>2055</v>
      </c>
      <c r="G1844" s="4" t="s">
        <v>2056</v>
      </c>
      <c r="H1844" s="4" t="s">
        <v>26</v>
      </c>
      <c r="I1844" s="4" t="s">
        <v>33</v>
      </c>
      <c r="J1844" s="4" t="s">
        <v>27</v>
      </c>
      <c r="K1844" s="4" t="s">
        <v>28</v>
      </c>
      <c r="L1844" s="4" t="s">
        <v>28</v>
      </c>
      <c r="M1844" s="4" t="s">
        <v>34</v>
      </c>
      <c r="N1844" s="4" t="s">
        <v>28</v>
      </c>
    </row>
    <row r="1845" spans="1:14" ht="14.4" thickBot="1" x14ac:dyDescent="0.35">
      <c r="A1845" s="4" t="s">
        <v>19</v>
      </c>
      <c r="B1845" s="4" t="s">
        <v>251</v>
      </c>
      <c r="C1845" s="4" t="s">
        <v>252</v>
      </c>
      <c r="D1845" s="4" t="s">
        <v>253</v>
      </c>
      <c r="E1845" s="4" t="s">
        <v>254</v>
      </c>
      <c r="F1845" s="4" t="s">
        <v>2057</v>
      </c>
      <c r="G1845" s="4" t="s">
        <v>2058</v>
      </c>
      <c r="H1845" s="4" t="s">
        <v>37</v>
      </c>
      <c r="I1845" s="4" t="s">
        <v>38</v>
      </c>
      <c r="J1845" s="4" t="s">
        <v>28</v>
      </c>
      <c r="K1845" s="4" t="s">
        <v>28</v>
      </c>
      <c r="L1845" s="4" t="s">
        <v>27</v>
      </c>
      <c r="M1845" s="4" t="s">
        <v>34</v>
      </c>
      <c r="N1845" s="4" t="s">
        <v>28</v>
      </c>
    </row>
    <row r="1846" spans="1:14" ht="14.4" thickBot="1" x14ac:dyDescent="0.35">
      <c r="A1846" s="4" t="s">
        <v>19</v>
      </c>
      <c r="B1846" s="4" t="s">
        <v>251</v>
      </c>
      <c r="C1846" s="4" t="s">
        <v>252</v>
      </c>
      <c r="D1846" s="4" t="s">
        <v>253</v>
      </c>
      <c r="E1846" s="4" t="s">
        <v>254</v>
      </c>
      <c r="F1846" s="4" t="s">
        <v>2059</v>
      </c>
      <c r="G1846" s="4" t="s">
        <v>2060</v>
      </c>
      <c r="H1846" s="4" t="s">
        <v>37</v>
      </c>
      <c r="I1846" s="4" t="s">
        <v>38</v>
      </c>
      <c r="J1846" s="4" t="s">
        <v>28</v>
      </c>
      <c r="K1846" s="4" t="s">
        <v>28</v>
      </c>
      <c r="L1846" s="4" t="s">
        <v>27</v>
      </c>
      <c r="M1846" s="4" t="s">
        <v>34</v>
      </c>
      <c r="N1846" s="4" t="s">
        <v>28</v>
      </c>
    </row>
    <row r="1847" spans="1:14" ht="14.4" thickBot="1" x14ac:dyDescent="0.35">
      <c r="A1847" s="4" t="s">
        <v>19</v>
      </c>
      <c r="B1847" s="4" t="s">
        <v>251</v>
      </c>
      <c r="C1847" s="4" t="s">
        <v>252</v>
      </c>
      <c r="D1847" s="4" t="s">
        <v>253</v>
      </c>
      <c r="E1847" s="4" t="s">
        <v>254</v>
      </c>
      <c r="F1847" s="4" t="s">
        <v>2061</v>
      </c>
      <c r="G1847" s="4" t="s">
        <v>2062</v>
      </c>
      <c r="H1847" s="4" t="s">
        <v>37</v>
      </c>
      <c r="I1847" s="4" t="s">
        <v>38</v>
      </c>
      <c r="J1847" s="4" t="s">
        <v>28</v>
      </c>
      <c r="K1847" s="4" t="s">
        <v>28</v>
      </c>
      <c r="L1847" s="4" t="s">
        <v>27</v>
      </c>
      <c r="M1847" s="4" t="s">
        <v>34</v>
      </c>
      <c r="N1847" s="4" t="s">
        <v>28</v>
      </c>
    </row>
    <row r="1848" spans="1:14" ht="14.4" thickBot="1" x14ac:dyDescent="0.35">
      <c r="A1848" s="4" t="s">
        <v>19</v>
      </c>
      <c r="B1848" s="4" t="s">
        <v>251</v>
      </c>
      <c r="C1848" s="4" t="s">
        <v>252</v>
      </c>
      <c r="D1848" s="4" t="s">
        <v>253</v>
      </c>
      <c r="E1848" s="4" t="s">
        <v>254</v>
      </c>
      <c r="F1848" s="4" t="s">
        <v>2063</v>
      </c>
      <c r="G1848" s="4" t="s">
        <v>2064</v>
      </c>
      <c r="H1848" s="4" t="s">
        <v>37</v>
      </c>
      <c r="I1848" s="4" t="s">
        <v>38</v>
      </c>
      <c r="J1848" s="4" t="s">
        <v>28</v>
      </c>
      <c r="K1848" s="4" t="s">
        <v>28</v>
      </c>
      <c r="L1848" s="4" t="s">
        <v>27</v>
      </c>
      <c r="M1848" s="4" t="s">
        <v>34</v>
      </c>
      <c r="N1848" s="4" t="s">
        <v>28</v>
      </c>
    </row>
    <row r="1849" spans="1:14" ht="14.4" thickBot="1" x14ac:dyDescent="0.35">
      <c r="A1849" s="4" t="s">
        <v>19</v>
      </c>
      <c r="B1849" s="4" t="s">
        <v>251</v>
      </c>
      <c r="C1849" s="4" t="s">
        <v>252</v>
      </c>
      <c r="D1849" s="4" t="s">
        <v>253</v>
      </c>
      <c r="E1849" s="4" t="s">
        <v>254</v>
      </c>
      <c r="F1849" s="4" t="s">
        <v>2065</v>
      </c>
      <c r="G1849" s="4" t="s">
        <v>2066</v>
      </c>
      <c r="H1849" s="4" t="s">
        <v>26</v>
      </c>
      <c r="I1849" s="4" t="s">
        <v>33</v>
      </c>
      <c r="J1849" s="4" t="s">
        <v>27</v>
      </c>
      <c r="K1849" s="4" t="s">
        <v>28</v>
      </c>
      <c r="L1849" s="4" t="s">
        <v>28</v>
      </c>
      <c r="M1849" s="4" t="s">
        <v>34</v>
      </c>
      <c r="N1849" s="4" t="s">
        <v>28</v>
      </c>
    </row>
    <row r="1850" spans="1:14" ht="14.4" thickBot="1" x14ac:dyDescent="0.35">
      <c r="A1850" s="4" t="s">
        <v>19</v>
      </c>
      <c r="B1850" s="4" t="s">
        <v>251</v>
      </c>
      <c r="C1850" s="4" t="s">
        <v>252</v>
      </c>
      <c r="D1850" s="4" t="s">
        <v>253</v>
      </c>
      <c r="E1850" s="4" t="s">
        <v>254</v>
      </c>
      <c r="F1850" s="4" t="s">
        <v>2688</v>
      </c>
      <c r="G1850" s="4" t="s">
        <v>2689</v>
      </c>
      <c r="H1850" s="4" t="s">
        <v>26</v>
      </c>
      <c r="I1850" s="4" t="s">
        <v>116</v>
      </c>
      <c r="J1850" s="4" t="s">
        <v>27</v>
      </c>
      <c r="K1850" s="4" t="s">
        <v>28</v>
      </c>
      <c r="L1850" s="4" t="s">
        <v>28</v>
      </c>
      <c r="M1850" s="4" t="s">
        <v>29</v>
      </c>
      <c r="N1850" s="4" t="s">
        <v>28</v>
      </c>
    </row>
    <row r="1851" spans="1:14" ht="14.4" thickBot="1" x14ac:dyDescent="0.35">
      <c r="A1851" s="4" t="s">
        <v>19</v>
      </c>
      <c r="B1851" s="4" t="s">
        <v>251</v>
      </c>
      <c r="C1851" s="4" t="s">
        <v>252</v>
      </c>
      <c r="D1851" s="4" t="s">
        <v>253</v>
      </c>
      <c r="E1851" s="4" t="s">
        <v>254</v>
      </c>
      <c r="F1851" s="4" t="s">
        <v>2690</v>
      </c>
      <c r="G1851" s="4" t="s">
        <v>2691</v>
      </c>
      <c r="H1851" s="4" t="s">
        <v>26</v>
      </c>
      <c r="I1851" s="4" t="s">
        <v>26</v>
      </c>
      <c r="J1851" s="4" t="s">
        <v>27</v>
      </c>
      <c r="K1851" s="4" t="s">
        <v>28</v>
      </c>
      <c r="L1851" s="4" t="s">
        <v>28</v>
      </c>
      <c r="M1851" s="4" t="s">
        <v>29</v>
      </c>
      <c r="N1851" s="4" t="s">
        <v>28</v>
      </c>
    </row>
    <row r="1852" spans="1:14" ht="14.4" thickBot="1" x14ac:dyDescent="0.35">
      <c r="A1852" s="4" t="s">
        <v>19</v>
      </c>
      <c r="B1852" s="4" t="s">
        <v>251</v>
      </c>
      <c r="C1852" s="4" t="s">
        <v>252</v>
      </c>
      <c r="D1852" s="4" t="s">
        <v>253</v>
      </c>
      <c r="E1852" s="4" t="s">
        <v>254</v>
      </c>
      <c r="F1852" s="4" t="s">
        <v>2692</v>
      </c>
      <c r="G1852" s="4" t="s">
        <v>2693</v>
      </c>
      <c r="H1852" s="4" t="s">
        <v>26</v>
      </c>
      <c r="I1852" s="4" t="s">
        <v>26</v>
      </c>
      <c r="J1852" s="4" t="s">
        <v>27</v>
      </c>
      <c r="K1852" s="4" t="s">
        <v>28</v>
      </c>
      <c r="L1852" s="4" t="s">
        <v>28</v>
      </c>
      <c r="M1852" s="4" t="s">
        <v>29</v>
      </c>
      <c r="N1852" s="4" t="s">
        <v>28</v>
      </c>
    </row>
    <row r="1853" spans="1:14" ht="14.4" thickBot="1" x14ac:dyDescent="0.35">
      <c r="A1853" s="4" t="s">
        <v>19</v>
      </c>
      <c r="B1853" s="4" t="s">
        <v>251</v>
      </c>
      <c r="C1853" s="4" t="s">
        <v>252</v>
      </c>
      <c r="D1853" s="4" t="s">
        <v>253</v>
      </c>
      <c r="E1853" s="4" t="s">
        <v>254</v>
      </c>
      <c r="F1853" s="4" t="s">
        <v>2694</v>
      </c>
      <c r="G1853" s="4" t="s">
        <v>2695</v>
      </c>
      <c r="H1853" s="4" t="s">
        <v>135</v>
      </c>
      <c r="I1853" s="4" t="s">
        <v>33</v>
      </c>
      <c r="J1853" s="4" t="s">
        <v>27</v>
      </c>
      <c r="K1853" s="4" t="s">
        <v>28</v>
      </c>
      <c r="L1853" s="4" t="s">
        <v>28</v>
      </c>
      <c r="M1853" s="4" t="s">
        <v>34</v>
      </c>
      <c r="N1853" s="4" t="s">
        <v>28</v>
      </c>
    </row>
    <row r="1854" spans="1:14" ht="14.4" thickBot="1" x14ac:dyDescent="0.35">
      <c r="A1854" s="4" t="s">
        <v>19</v>
      </c>
      <c r="B1854" s="4" t="s">
        <v>251</v>
      </c>
      <c r="C1854" s="4" t="s">
        <v>252</v>
      </c>
      <c r="D1854" s="4" t="s">
        <v>253</v>
      </c>
      <c r="E1854" s="4" t="s">
        <v>254</v>
      </c>
      <c r="F1854" s="4" t="s">
        <v>2696</v>
      </c>
      <c r="G1854" s="4" t="s">
        <v>2697</v>
      </c>
      <c r="H1854" s="4" t="s">
        <v>26</v>
      </c>
      <c r="I1854" s="4" t="s">
        <v>69</v>
      </c>
      <c r="J1854" s="4" t="s">
        <v>27</v>
      </c>
      <c r="K1854" s="4" t="s">
        <v>28</v>
      </c>
      <c r="L1854" s="4" t="s">
        <v>28</v>
      </c>
      <c r="M1854" s="4" t="s">
        <v>34</v>
      </c>
      <c r="N1854" s="4" t="s">
        <v>28</v>
      </c>
    </row>
    <row r="1855" spans="1:14" ht="14.4" thickBot="1" x14ac:dyDescent="0.35">
      <c r="A1855" s="4" t="s">
        <v>19</v>
      </c>
      <c r="B1855" s="4" t="s">
        <v>251</v>
      </c>
      <c r="C1855" s="4" t="s">
        <v>252</v>
      </c>
      <c r="D1855" s="4" t="s">
        <v>253</v>
      </c>
      <c r="E1855" s="4" t="s">
        <v>254</v>
      </c>
      <c r="F1855" s="4" t="s">
        <v>2698</v>
      </c>
      <c r="G1855" s="4" t="s">
        <v>2699</v>
      </c>
      <c r="H1855" s="4" t="s">
        <v>26</v>
      </c>
      <c r="I1855" s="4" t="s">
        <v>116</v>
      </c>
      <c r="J1855" s="4" t="s">
        <v>27</v>
      </c>
      <c r="K1855" s="4" t="s">
        <v>28</v>
      </c>
      <c r="L1855" s="4" t="s">
        <v>28</v>
      </c>
      <c r="M1855" s="4" t="s">
        <v>29</v>
      </c>
      <c r="N1855" s="4" t="s">
        <v>28</v>
      </c>
    </row>
    <row r="1856" spans="1:14" ht="14.4" thickBot="1" x14ac:dyDescent="0.35">
      <c r="A1856" s="4" t="s">
        <v>19</v>
      </c>
      <c r="B1856" s="4" t="s">
        <v>251</v>
      </c>
      <c r="C1856" s="4" t="s">
        <v>252</v>
      </c>
      <c r="D1856" s="4" t="s">
        <v>253</v>
      </c>
      <c r="E1856" s="4" t="s">
        <v>254</v>
      </c>
      <c r="F1856" s="4" t="s">
        <v>2700</v>
      </c>
      <c r="G1856" s="4" t="s">
        <v>2701</v>
      </c>
      <c r="H1856" s="4" t="s">
        <v>122</v>
      </c>
      <c r="I1856" s="4" t="s">
        <v>38</v>
      </c>
      <c r="J1856" s="4" t="s">
        <v>28</v>
      </c>
      <c r="K1856" s="4" t="s">
        <v>28</v>
      </c>
      <c r="L1856" s="4" t="s">
        <v>27</v>
      </c>
      <c r="M1856" s="4" t="s">
        <v>29</v>
      </c>
      <c r="N1856" s="5"/>
    </row>
    <row r="1857" spans="1:14" ht="14.4" thickBot="1" x14ac:dyDescent="0.35">
      <c r="A1857" s="4" t="s">
        <v>19</v>
      </c>
      <c r="B1857" s="4" t="s">
        <v>251</v>
      </c>
      <c r="C1857" s="4" t="s">
        <v>252</v>
      </c>
      <c r="D1857" s="4" t="s">
        <v>253</v>
      </c>
      <c r="E1857" s="4" t="s">
        <v>254</v>
      </c>
      <c r="F1857" s="4" t="s">
        <v>2702</v>
      </c>
      <c r="G1857" s="4" t="s">
        <v>2703</v>
      </c>
      <c r="H1857" s="4" t="s">
        <v>26</v>
      </c>
      <c r="I1857" s="4" t="s">
        <v>26</v>
      </c>
      <c r="J1857" s="4" t="s">
        <v>27</v>
      </c>
      <c r="K1857" s="4" t="s">
        <v>28</v>
      </c>
      <c r="L1857" s="4" t="s">
        <v>28</v>
      </c>
      <c r="M1857" s="4" t="s">
        <v>29</v>
      </c>
      <c r="N1857" s="4" t="s">
        <v>28</v>
      </c>
    </row>
    <row r="1858" spans="1:14" ht="14.4" thickBot="1" x14ac:dyDescent="0.35">
      <c r="A1858" s="4" t="s">
        <v>19</v>
      </c>
      <c r="B1858" s="4" t="s">
        <v>251</v>
      </c>
      <c r="C1858" s="4" t="s">
        <v>252</v>
      </c>
      <c r="D1858" s="4" t="s">
        <v>253</v>
      </c>
      <c r="E1858" s="4" t="s">
        <v>254</v>
      </c>
      <c r="F1858" s="4" t="s">
        <v>2704</v>
      </c>
      <c r="G1858" s="4" t="s">
        <v>2705</v>
      </c>
      <c r="H1858" s="4" t="s">
        <v>26</v>
      </c>
      <c r="I1858" s="4" t="s">
        <v>26</v>
      </c>
      <c r="J1858" s="4" t="s">
        <v>27</v>
      </c>
      <c r="K1858" s="4" t="s">
        <v>28</v>
      </c>
      <c r="L1858" s="4" t="s">
        <v>28</v>
      </c>
      <c r="M1858" s="4" t="s">
        <v>130</v>
      </c>
      <c r="N1858" s="4" t="s">
        <v>28</v>
      </c>
    </row>
    <row r="1859" spans="1:14" ht="14.4" thickBot="1" x14ac:dyDescent="0.35">
      <c r="A1859" s="4" t="s">
        <v>19</v>
      </c>
      <c r="B1859" s="4" t="s">
        <v>251</v>
      </c>
      <c r="C1859" s="4" t="s">
        <v>252</v>
      </c>
      <c r="D1859" s="4" t="s">
        <v>253</v>
      </c>
      <c r="E1859" s="4" t="s">
        <v>254</v>
      </c>
      <c r="F1859" s="4" t="s">
        <v>2706</v>
      </c>
      <c r="G1859" s="4" t="s">
        <v>2707</v>
      </c>
      <c r="H1859" s="4" t="s">
        <v>26</v>
      </c>
      <c r="I1859" s="4" t="s">
        <v>26</v>
      </c>
      <c r="J1859" s="4" t="s">
        <v>27</v>
      </c>
      <c r="K1859" s="4" t="s">
        <v>28</v>
      </c>
      <c r="L1859" s="4" t="s">
        <v>28</v>
      </c>
      <c r="M1859" s="4" t="s">
        <v>29</v>
      </c>
      <c r="N1859" s="4" t="s">
        <v>28</v>
      </c>
    </row>
    <row r="1860" spans="1:14" ht="14.4" thickBot="1" x14ac:dyDescent="0.35">
      <c r="A1860" s="4" t="s">
        <v>19</v>
      </c>
      <c r="B1860" s="4" t="s">
        <v>251</v>
      </c>
      <c r="C1860" s="4" t="s">
        <v>252</v>
      </c>
      <c r="D1860" s="4" t="s">
        <v>253</v>
      </c>
      <c r="E1860" s="4" t="s">
        <v>254</v>
      </c>
      <c r="F1860" s="4" t="s">
        <v>2708</v>
      </c>
      <c r="G1860" s="4" t="s">
        <v>2709</v>
      </c>
      <c r="H1860" s="4" t="s">
        <v>26</v>
      </c>
      <c r="I1860" s="4" t="s">
        <v>26</v>
      </c>
      <c r="J1860" s="4" t="s">
        <v>27</v>
      </c>
      <c r="K1860" s="4" t="s">
        <v>28</v>
      </c>
      <c r="L1860" s="4" t="s">
        <v>28</v>
      </c>
      <c r="M1860" s="4" t="s">
        <v>29</v>
      </c>
      <c r="N1860" s="4" t="s">
        <v>28</v>
      </c>
    </row>
    <row r="1861" spans="1:14" ht="14.4" thickBot="1" x14ac:dyDescent="0.35">
      <c r="A1861" s="4" t="s">
        <v>19</v>
      </c>
      <c r="B1861" s="4" t="s">
        <v>251</v>
      </c>
      <c r="C1861" s="4" t="s">
        <v>252</v>
      </c>
      <c r="D1861" s="4" t="s">
        <v>253</v>
      </c>
      <c r="E1861" s="4" t="s">
        <v>254</v>
      </c>
      <c r="F1861" s="4" t="s">
        <v>2710</v>
      </c>
      <c r="G1861" s="4" t="s">
        <v>2711</v>
      </c>
      <c r="H1861" s="4" t="s">
        <v>69</v>
      </c>
      <c r="I1861" s="4" t="s">
        <v>38</v>
      </c>
      <c r="J1861" s="4" t="s">
        <v>28</v>
      </c>
      <c r="K1861" s="4" t="s">
        <v>28</v>
      </c>
      <c r="L1861" s="4" t="s">
        <v>27</v>
      </c>
      <c r="M1861" s="4" t="s">
        <v>34</v>
      </c>
      <c r="N1861" s="4" t="s">
        <v>27</v>
      </c>
    </row>
    <row r="1862" spans="1:14" ht="14.4" thickBot="1" x14ac:dyDescent="0.35">
      <c r="A1862" s="4" t="s">
        <v>19</v>
      </c>
      <c r="B1862" s="4" t="s">
        <v>251</v>
      </c>
      <c r="C1862" s="4" t="s">
        <v>252</v>
      </c>
      <c r="D1862" s="4" t="s">
        <v>253</v>
      </c>
      <c r="E1862" s="4" t="s">
        <v>254</v>
      </c>
      <c r="F1862" s="4" t="s">
        <v>2712</v>
      </c>
      <c r="G1862" s="4" t="s">
        <v>2713</v>
      </c>
      <c r="H1862" s="4" t="s">
        <v>135</v>
      </c>
      <c r="I1862" s="4" t="s">
        <v>38</v>
      </c>
      <c r="J1862" s="4" t="s">
        <v>28</v>
      </c>
      <c r="K1862" s="4" t="s">
        <v>28</v>
      </c>
      <c r="L1862" s="4" t="s">
        <v>27</v>
      </c>
      <c r="M1862" s="4" t="s">
        <v>375</v>
      </c>
      <c r="N1862" s="4" t="s">
        <v>28</v>
      </c>
    </row>
    <row r="1863" spans="1:14" ht="14.4" thickBot="1" x14ac:dyDescent="0.35">
      <c r="A1863" s="4" t="s">
        <v>19</v>
      </c>
      <c r="B1863" s="4" t="s">
        <v>251</v>
      </c>
      <c r="C1863" s="4" t="s">
        <v>252</v>
      </c>
      <c r="D1863" s="4" t="s">
        <v>253</v>
      </c>
      <c r="E1863" s="4" t="s">
        <v>254</v>
      </c>
      <c r="F1863" s="4" t="s">
        <v>2714</v>
      </c>
      <c r="G1863" s="4" t="s">
        <v>2715</v>
      </c>
      <c r="H1863" s="4" t="s">
        <v>26</v>
      </c>
      <c r="I1863" s="4" t="s">
        <v>33</v>
      </c>
      <c r="J1863" s="4" t="s">
        <v>27</v>
      </c>
      <c r="K1863" s="4" t="s">
        <v>28</v>
      </c>
      <c r="L1863" s="4" t="s">
        <v>28</v>
      </c>
      <c r="M1863" s="4" t="s">
        <v>34</v>
      </c>
      <c r="N1863" s="4" t="s">
        <v>28</v>
      </c>
    </row>
    <row r="1864" spans="1:14" ht="14.4" thickBot="1" x14ac:dyDescent="0.35">
      <c r="A1864" s="4" t="s">
        <v>19</v>
      </c>
      <c r="B1864" s="4" t="s">
        <v>251</v>
      </c>
      <c r="C1864" s="4" t="s">
        <v>252</v>
      </c>
      <c r="D1864" s="4" t="s">
        <v>253</v>
      </c>
      <c r="E1864" s="4" t="s">
        <v>254</v>
      </c>
      <c r="F1864" s="4" t="s">
        <v>2716</v>
      </c>
      <c r="G1864" s="4" t="s">
        <v>2717</v>
      </c>
      <c r="H1864" s="4" t="s">
        <v>26</v>
      </c>
      <c r="I1864" s="4" t="s">
        <v>69</v>
      </c>
      <c r="J1864" s="4" t="s">
        <v>27</v>
      </c>
      <c r="K1864" s="4" t="s">
        <v>28</v>
      </c>
      <c r="L1864" s="4" t="s">
        <v>28</v>
      </c>
      <c r="M1864" s="4" t="s">
        <v>34</v>
      </c>
      <c r="N1864" s="4" t="s">
        <v>28</v>
      </c>
    </row>
    <row r="1865" spans="1:14" ht="14.4" thickBot="1" x14ac:dyDescent="0.35">
      <c r="A1865" s="4" t="s">
        <v>19</v>
      </c>
      <c r="B1865" s="4" t="s">
        <v>251</v>
      </c>
      <c r="C1865" s="4" t="s">
        <v>252</v>
      </c>
      <c r="D1865" s="4" t="s">
        <v>253</v>
      </c>
      <c r="E1865" s="4" t="s">
        <v>254</v>
      </c>
      <c r="F1865" s="4" t="s">
        <v>2718</v>
      </c>
      <c r="G1865" s="4" t="s">
        <v>2719</v>
      </c>
      <c r="H1865" s="4" t="s">
        <v>135</v>
      </c>
      <c r="I1865" s="4" t="s">
        <v>33</v>
      </c>
      <c r="J1865" s="4" t="s">
        <v>27</v>
      </c>
      <c r="K1865" s="4" t="s">
        <v>28</v>
      </c>
      <c r="L1865" s="4" t="s">
        <v>28</v>
      </c>
      <c r="M1865" s="4" t="s">
        <v>34</v>
      </c>
      <c r="N1865" s="4" t="s">
        <v>28</v>
      </c>
    </row>
    <row r="1866" spans="1:14" ht="14.4" thickBot="1" x14ac:dyDescent="0.35">
      <c r="A1866" s="4" t="s">
        <v>19</v>
      </c>
      <c r="B1866" s="4" t="s">
        <v>251</v>
      </c>
      <c r="C1866" s="4" t="s">
        <v>252</v>
      </c>
      <c r="D1866" s="4" t="s">
        <v>253</v>
      </c>
      <c r="E1866" s="4" t="s">
        <v>254</v>
      </c>
      <c r="F1866" s="4" t="s">
        <v>2720</v>
      </c>
      <c r="G1866" s="4" t="s">
        <v>2721</v>
      </c>
      <c r="H1866" s="4" t="s">
        <v>26</v>
      </c>
      <c r="I1866" s="4" t="s">
        <v>135</v>
      </c>
      <c r="J1866" s="4" t="s">
        <v>27</v>
      </c>
      <c r="K1866" s="4" t="s">
        <v>28</v>
      </c>
      <c r="L1866" s="4" t="s">
        <v>28</v>
      </c>
      <c r="M1866" s="4" t="s">
        <v>29</v>
      </c>
      <c r="N1866" s="4" t="s">
        <v>28</v>
      </c>
    </row>
    <row r="1867" spans="1:14" ht="14.4" thickBot="1" x14ac:dyDescent="0.35">
      <c r="A1867" s="4" t="s">
        <v>19</v>
      </c>
      <c r="B1867" s="4" t="s">
        <v>251</v>
      </c>
      <c r="C1867" s="4" t="s">
        <v>252</v>
      </c>
      <c r="D1867" s="4" t="s">
        <v>253</v>
      </c>
      <c r="E1867" s="4" t="s">
        <v>254</v>
      </c>
      <c r="F1867" s="4" t="s">
        <v>2722</v>
      </c>
      <c r="G1867" s="4" t="s">
        <v>2723</v>
      </c>
      <c r="H1867" s="4" t="s">
        <v>26</v>
      </c>
      <c r="I1867" s="4" t="s">
        <v>94</v>
      </c>
      <c r="J1867" s="5"/>
      <c r="K1867" s="5"/>
      <c r="L1867" s="5"/>
      <c r="M1867" s="4" t="s">
        <v>29</v>
      </c>
      <c r="N1867" s="5"/>
    </row>
    <row r="1868" spans="1:14" ht="14.4" thickBot="1" x14ac:dyDescent="0.35">
      <c r="A1868" s="4" t="s">
        <v>19</v>
      </c>
      <c r="B1868" s="4" t="s">
        <v>251</v>
      </c>
      <c r="C1868" s="4" t="s">
        <v>252</v>
      </c>
      <c r="D1868" s="4" t="s">
        <v>253</v>
      </c>
      <c r="E1868" s="4" t="s">
        <v>254</v>
      </c>
      <c r="F1868" s="4" t="s">
        <v>2724</v>
      </c>
      <c r="G1868" s="4" t="s">
        <v>2725</v>
      </c>
      <c r="H1868" s="4" t="s">
        <v>135</v>
      </c>
      <c r="I1868" s="4" t="s">
        <v>38</v>
      </c>
      <c r="J1868" s="5"/>
      <c r="K1868" s="5"/>
      <c r="L1868" s="5"/>
      <c r="M1868" s="4" t="s">
        <v>29</v>
      </c>
      <c r="N1868" s="5"/>
    </row>
    <row r="1869" spans="1:14" ht="14.4" thickBot="1" x14ac:dyDescent="0.35">
      <c r="A1869" s="4" t="s">
        <v>19</v>
      </c>
      <c r="B1869" s="4" t="s">
        <v>251</v>
      </c>
      <c r="C1869" s="4" t="s">
        <v>252</v>
      </c>
      <c r="D1869" s="4" t="s">
        <v>253</v>
      </c>
      <c r="E1869" s="4" t="s">
        <v>254</v>
      </c>
      <c r="F1869" s="4" t="s">
        <v>2726</v>
      </c>
      <c r="G1869" s="4" t="s">
        <v>2727</v>
      </c>
      <c r="H1869" s="4" t="s">
        <v>26</v>
      </c>
      <c r="I1869" s="4" t="s">
        <v>33</v>
      </c>
      <c r="J1869" s="4" t="s">
        <v>27</v>
      </c>
      <c r="K1869" s="4" t="s">
        <v>28</v>
      </c>
      <c r="L1869" s="4" t="s">
        <v>28</v>
      </c>
      <c r="M1869" s="4" t="s">
        <v>34</v>
      </c>
      <c r="N1869" s="4" t="s">
        <v>28</v>
      </c>
    </row>
    <row r="1870" spans="1:14" ht="14.4" thickBot="1" x14ac:dyDescent="0.35">
      <c r="A1870" s="4" t="s">
        <v>19</v>
      </c>
      <c r="B1870" s="4" t="s">
        <v>251</v>
      </c>
      <c r="C1870" s="4" t="s">
        <v>252</v>
      </c>
      <c r="D1870" s="4" t="s">
        <v>253</v>
      </c>
      <c r="E1870" s="4" t="s">
        <v>254</v>
      </c>
      <c r="F1870" s="4" t="s">
        <v>2728</v>
      </c>
      <c r="G1870" s="4" t="s">
        <v>2729</v>
      </c>
      <c r="H1870" s="4" t="s">
        <v>135</v>
      </c>
      <c r="I1870" s="4" t="s">
        <v>38</v>
      </c>
      <c r="J1870" s="4" t="s">
        <v>28</v>
      </c>
      <c r="K1870" s="4" t="s">
        <v>28</v>
      </c>
      <c r="L1870" s="4" t="s">
        <v>27</v>
      </c>
      <c r="M1870" s="4" t="s">
        <v>29</v>
      </c>
      <c r="N1870" s="5"/>
    </row>
    <row r="1871" spans="1:14" ht="14.4" thickBot="1" x14ac:dyDescent="0.35">
      <c r="A1871" s="4" t="s">
        <v>19</v>
      </c>
      <c r="B1871" s="4" t="s">
        <v>251</v>
      </c>
      <c r="C1871" s="4" t="s">
        <v>252</v>
      </c>
      <c r="D1871" s="4" t="s">
        <v>253</v>
      </c>
      <c r="E1871" s="4" t="s">
        <v>254</v>
      </c>
      <c r="F1871" s="4" t="s">
        <v>2730</v>
      </c>
      <c r="G1871" s="4" t="s">
        <v>2731</v>
      </c>
      <c r="H1871" s="4" t="s">
        <v>69</v>
      </c>
      <c r="I1871" s="4" t="s">
        <v>94</v>
      </c>
      <c r="J1871" s="4" t="s">
        <v>28</v>
      </c>
      <c r="K1871" s="4" t="s">
        <v>27</v>
      </c>
      <c r="L1871" s="4" t="s">
        <v>28</v>
      </c>
      <c r="M1871" s="4" t="s">
        <v>34</v>
      </c>
      <c r="N1871" s="4" t="s">
        <v>28</v>
      </c>
    </row>
    <row r="1872" spans="1:14" ht="14.4" thickBot="1" x14ac:dyDescent="0.35">
      <c r="A1872" s="4" t="s">
        <v>19</v>
      </c>
      <c r="B1872" s="4" t="s">
        <v>251</v>
      </c>
      <c r="C1872" s="4" t="s">
        <v>252</v>
      </c>
      <c r="D1872" s="4" t="s">
        <v>253</v>
      </c>
      <c r="E1872" s="4" t="s">
        <v>254</v>
      </c>
      <c r="F1872" s="4" t="s">
        <v>2732</v>
      </c>
      <c r="G1872" s="4" t="s">
        <v>2733</v>
      </c>
      <c r="H1872" s="4" t="s">
        <v>26</v>
      </c>
      <c r="I1872" s="4" t="s">
        <v>33</v>
      </c>
      <c r="J1872" s="4" t="s">
        <v>27</v>
      </c>
      <c r="K1872" s="4" t="s">
        <v>28</v>
      </c>
      <c r="L1872" s="4" t="s">
        <v>28</v>
      </c>
      <c r="M1872" s="4" t="s">
        <v>34</v>
      </c>
      <c r="N1872" s="4" t="s">
        <v>28</v>
      </c>
    </row>
    <row r="1873" spans="1:14" ht="14.4" thickBot="1" x14ac:dyDescent="0.35">
      <c r="A1873" s="4" t="s">
        <v>19</v>
      </c>
      <c r="B1873" s="4" t="s">
        <v>251</v>
      </c>
      <c r="C1873" s="4" t="s">
        <v>252</v>
      </c>
      <c r="D1873" s="4" t="s">
        <v>253</v>
      </c>
      <c r="E1873" s="4" t="s">
        <v>254</v>
      </c>
      <c r="F1873" s="4" t="s">
        <v>2734</v>
      </c>
      <c r="G1873" s="4" t="s">
        <v>2735</v>
      </c>
      <c r="H1873" s="4" t="s">
        <v>135</v>
      </c>
      <c r="I1873" s="4" t="s">
        <v>33</v>
      </c>
      <c r="J1873" s="4" t="s">
        <v>27</v>
      </c>
      <c r="K1873" s="4" t="s">
        <v>28</v>
      </c>
      <c r="L1873" s="4" t="s">
        <v>28</v>
      </c>
      <c r="M1873" s="4" t="s">
        <v>34</v>
      </c>
      <c r="N1873" s="4" t="s">
        <v>28</v>
      </c>
    </row>
    <row r="1874" spans="1:14" ht="14.4" thickBot="1" x14ac:dyDescent="0.35">
      <c r="A1874" s="4" t="s">
        <v>19</v>
      </c>
      <c r="B1874" s="4" t="s">
        <v>251</v>
      </c>
      <c r="C1874" s="4" t="s">
        <v>252</v>
      </c>
      <c r="D1874" s="4" t="s">
        <v>253</v>
      </c>
      <c r="E1874" s="4" t="s">
        <v>254</v>
      </c>
      <c r="F1874" s="4" t="s">
        <v>2736</v>
      </c>
      <c r="G1874" s="4" t="s">
        <v>2737</v>
      </c>
      <c r="H1874" s="4" t="s">
        <v>26</v>
      </c>
      <c r="I1874" s="4" t="s">
        <v>33</v>
      </c>
      <c r="J1874" s="4" t="s">
        <v>27</v>
      </c>
      <c r="K1874" s="4" t="s">
        <v>28</v>
      </c>
      <c r="L1874" s="4" t="s">
        <v>28</v>
      </c>
      <c r="M1874" s="4" t="s">
        <v>34</v>
      </c>
      <c r="N1874" s="4" t="s">
        <v>28</v>
      </c>
    </row>
    <row r="1875" spans="1:14" ht="14.4" thickBot="1" x14ac:dyDescent="0.35">
      <c r="A1875" s="4" t="s">
        <v>19</v>
      </c>
      <c r="B1875" s="4" t="s">
        <v>251</v>
      </c>
      <c r="C1875" s="4" t="s">
        <v>252</v>
      </c>
      <c r="D1875" s="4" t="s">
        <v>253</v>
      </c>
      <c r="E1875" s="4" t="s">
        <v>254</v>
      </c>
      <c r="F1875" s="4" t="s">
        <v>2738</v>
      </c>
      <c r="G1875" s="4" t="s">
        <v>2739</v>
      </c>
      <c r="H1875" s="4" t="s">
        <v>69</v>
      </c>
      <c r="I1875" s="4" t="s">
        <v>94</v>
      </c>
      <c r="J1875" s="4" t="s">
        <v>28</v>
      </c>
      <c r="K1875" s="4" t="s">
        <v>27</v>
      </c>
      <c r="L1875" s="4" t="s">
        <v>28</v>
      </c>
      <c r="M1875" s="4" t="s">
        <v>34</v>
      </c>
      <c r="N1875" s="4" t="s">
        <v>28</v>
      </c>
    </row>
    <row r="1876" spans="1:14" ht="14.4" thickBot="1" x14ac:dyDescent="0.35">
      <c r="A1876" s="4" t="s">
        <v>19</v>
      </c>
      <c r="B1876" s="4" t="s">
        <v>251</v>
      </c>
      <c r="C1876" s="4" t="s">
        <v>252</v>
      </c>
      <c r="D1876" s="4" t="s">
        <v>253</v>
      </c>
      <c r="E1876" s="4" t="s">
        <v>254</v>
      </c>
      <c r="F1876" s="4" t="s">
        <v>2740</v>
      </c>
      <c r="G1876" s="4" t="s">
        <v>2741</v>
      </c>
      <c r="H1876" s="4" t="s">
        <v>26</v>
      </c>
      <c r="I1876" s="4" t="s">
        <v>38</v>
      </c>
      <c r="J1876" s="4" t="s">
        <v>28</v>
      </c>
      <c r="K1876" s="4" t="s">
        <v>28</v>
      </c>
      <c r="L1876" s="4" t="s">
        <v>27</v>
      </c>
      <c r="M1876" s="4" t="s">
        <v>34</v>
      </c>
      <c r="N1876" s="4" t="s">
        <v>28</v>
      </c>
    </row>
    <row r="1877" spans="1:14" ht="14.4" thickBot="1" x14ac:dyDescent="0.35">
      <c r="A1877" s="4" t="s">
        <v>19</v>
      </c>
      <c r="B1877" s="4" t="s">
        <v>251</v>
      </c>
      <c r="C1877" s="4" t="s">
        <v>252</v>
      </c>
      <c r="D1877" s="4" t="s">
        <v>253</v>
      </c>
      <c r="E1877" s="4" t="s">
        <v>254</v>
      </c>
      <c r="F1877" s="4" t="s">
        <v>2742</v>
      </c>
      <c r="G1877" s="4" t="s">
        <v>2743</v>
      </c>
      <c r="H1877" s="4" t="s">
        <v>69</v>
      </c>
      <c r="I1877" s="4" t="s">
        <v>94</v>
      </c>
      <c r="J1877" s="4" t="s">
        <v>28</v>
      </c>
      <c r="K1877" s="4" t="s">
        <v>27</v>
      </c>
      <c r="L1877" s="4" t="s">
        <v>28</v>
      </c>
      <c r="M1877" s="4" t="s">
        <v>34</v>
      </c>
      <c r="N1877" s="4" t="s">
        <v>28</v>
      </c>
    </row>
    <row r="1878" spans="1:14" ht="14.4" thickBot="1" x14ac:dyDescent="0.35">
      <c r="A1878" s="4" t="s">
        <v>19</v>
      </c>
      <c r="B1878" s="4" t="s">
        <v>251</v>
      </c>
      <c r="C1878" s="4" t="s">
        <v>252</v>
      </c>
      <c r="D1878" s="4" t="s">
        <v>253</v>
      </c>
      <c r="E1878" s="4" t="s">
        <v>254</v>
      </c>
      <c r="F1878" s="4" t="s">
        <v>2744</v>
      </c>
      <c r="G1878" s="4" t="s">
        <v>2745</v>
      </c>
      <c r="H1878" s="4" t="s">
        <v>135</v>
      </c>
      <c r="I1878" s="4" t="s">
        <v>33</v>
      </c>
      <c r="J1878" s="4" t="s">
        <v>27</v>
      </c>
      <c r="K1878" s="4" t="s">
        <v>28</v>
      </c>
      <c r="L1878" s="4" t="s">
        <v>28</v>
      </c>
      <c r="M1878" s="4" t="s">
        <v>34</v>
      </c>
      <c r="N1878" s="4" t="s">
        <v>28</v>
      </c>
    </row>
    <row r="1879" spans="1:14" ht="14.4" thickBot="1" x14ac:dyDescent="0.35">
      <c r="A1879" s="4" t="s">
        <v>19</v>
      </c>
      <c r="B1879" s="4" t="s">
        <v>251</v>
      </c>
      <c r="C1879" s="4" t="s">
        <v>252</v>
      </c>
      <c r="D1879" s="4" t="s">
        <v>253</v>
      </c>
      <c r="E1879" s="4" t="s">
        <v>254</v>
      </c>
      <c r="F1879" s="4" t="s">
        <v>2746</v>
      </c>
      <c r="G1879" s="4" t="s">
        <v>2747</v>
      </c>
      <c r="H1879" s="4" t="s">
        <v>26</v>
      </c>
      <c r="I1879" s="4" t="s">
        <v>33</v>
      </c>
      <c r="J1879" s="4" t="s">
        <v>27</v>
      </c>
      <c r="K1879" s="4" t="s">
        <v>28</v>
      </c>
      <c r="L1879" s="4" t="s">
        <v>28</v>
      </c>
      <c r="M1879" s="4" t="s">
        <v>34</v>
      </c>
      <c r="N1879" s="4" t="s">
        <v>28</v>
      </c>
    </row>
    <row r="1880" spans="1:14" ht="14.4" thickBot="1" x14ac:dyDescent="0.35">
      <c r="A1880" s="4" t="s">
        <v>19</v>
      </c>
      <c r="B1880" s="4" t="s">
        <v>251</v>
      </c>
      <c r="C1880" s="4" t="s">
        <v>252</v>
      </c>
      <c r="D1880" s="4" t="s">
        <v>253</v>
      </c>
      <c r="E1880" s="4" t="s">
        <v>254</v>
      </c>
      <c r="F1880" s="4" t="s">
        <v>2748</v>
      </c>
      <c r="G1880" s="4" t="s">
        <v>2749</v>
      </c>
      <c r="H1880" s="4" t="s">
        <v>135</v>
      </c>
      <c r="I1880" s="4" t="s">
        <v>33</v>
      </c>
      <c r="J1880" s="4" t="s">
        <v>27</v>
      </c>
      <c r="K1880" s="4" t="s">
        <v>28</v>
      </c>
      <c r="L1880" s="4" t="s">
        <v>28</v>
      </c>
      <c r="M1880" s="4" t="s">
        <v>34</v>
      </c>
      <c r="N1880" s="4" t="s">
        <v>28</v>
      </c>
    </row>
    <row r="1881" spans="1:14" ht="14.4" thickBot="1" x14ac:dyDescent="0.35">
      <c r="A1881" s="4" t="s">
        <v>19</v>
      </c>
      <c r="B1881" s="4" t="s">
        <v>251</v>
      </c>
      <c r="C1881" s="4" t="s">
        <v>252</v>
      </c>
      <c r="D1881" s="4" t="s">
        <v>253</v>
      </c>
      <c r="E1881" s="4" t="s">
        <v>254</v>
      </c>
      <c r="F1881" s="4" t="s">
        <v>2750</v>
      </c>
      <c r="G1881" s="4" t="s">
        <v>2751</v>
      </c>
      <c r="H1881" s="4" t="s">
        <v>135</v>
      </c>
      <c r="I1881" s="4" t="s">
        <v>94</v>
      </c>
      <c r="J1881" s="4" t="s">
        <v>27</v>
      </c>
      <c r="K1881" s="4" t="s">
        <v>28</v>
      </c>
      <c r="L1881" s="4" t="s">
        <v>28</v>
      </c>
      <c r="M1881" s="4" t="s">
        <v>34</v>
      </c>
      <c r="N1881" s="4" t="s">
        <v>28</v>
      </c>
    </row>
    <row r="1882" spans="1:14" ht="14.4" thickBot="1" x14ac:dyDescent="0.35">
      <c r="A1882" s="4" t="s">
        <v>19</v>
      </c>
      <c r="B1882" s="4" t="s">
        <v>251</v>
      </c>
      <c r="C1882" s="4" t="s">
        <v>252</v>
      </c>
      <c r="D1882" s="4" t="s">
        <v>253</v>
      </c>
      <c r="E1882" s="4" t="s">
        <v>254</v>
      </c>
      <c r="F1882" s="4" t="s">
        <v>2752</v>
      </c>
      <c r="G1882" s="4" t="s">
        <v>2753</v>
      </c>
      <c r="H1882" s="4" t="s">
        <v>135</v>
      </c>
      <c r="I1882" s="4" t="s">
        <v>454</v>
      </c>
      <c r="J1882" s="4" t="s">
        <v>27</v>
      </c>
      <c r="K1882" s="4" t="s">
        <v>28</v>
      </c>
      <c r="L1882" s="4" t="s">
        <v>28</v>
      </c>
      <c r="M1882" s="4" t="s">
        <v>34</v>
      </c>
      <c r="N1882" s="4" t="s">
        <v>28</v>
      </c>
    </row>
    <row r="1883" spans="1:14" ht="14.4" thickBot="1" x14ac:dyDescent="0.35">
      <c r="A1883" s="4" t="s">
        <v>19</v>
      </c>
      <c r="B1883" s="4" t="s">
        <v>251</v>
      </c>
      <c r="C1883" s="4" t="s">
        <v>252</v>
      </c>
      <c r="D1883" s="4" t="s">
        <v>253</v>
      </c>
      <c r="E1883" s="4" t="s">
        <v>254</v>
      </c>
      <c r="F1883" s="4" t="s">
        <v>1646</v>
      </c>
      <c r="G1883" s="4" t="s">
        <v>2754</v>
      </c>
      <c r="H1883" s="4" t="s">
        <v>26</v>
      </c>
      <c r="I1883" s="4" t="s">
        <v>33</v>
      </c>
      <c r="J1883" s="4" t="s">
        <v>27</v>
      </c>
      <c r="K1883" s="4" t="s">
        <v>28</v>
      </c>
      <c r="L1883" s="4" t="s">
        <v>28</v>
      </c>
      <c r="M1883" s="4" t="s">
        <v>34</v>
      </c>
      <c r="N1883" s="4" t="s">
        <v>28</v>
      </c>
    </row>
    <row r="1884" spans="1:14" ht="14.4" thickBot="1" x14ac:dyDescent="0.35">
      <c r="A1884" s="4" t="s">
        <v>19</v>
      </c>
      <c r="B1884" s="4" t="s">
        <v>251</v>
      </c>
      <c r="C1884" s="4" t="s">
        <v>252</v>
      </c>
      <c r="D1884" s="4" t="s">
        <v>253</v>
      </c>
      <c r="E1884" s="4" t="s">
        <v>254</v>
      </c>
      <c r="F1884" s="4" t="s">
        <v>2755</v>
      </c>
      <c r="G1884" s="4" t="s">
        <v>2756</v>
      </c>
      <c r="H1884" s="4" t="s">
        <v>69</v>
      </c>
      <c r="I1884" s="4" t="s">
        <v>94</v>
      </c>
      <c r="J1884" s="4" t="s">
        <v>28</v>
      </c>
      <c r="K1884" s="4" t="s">
        <v>27</v>
      </c>
      <c r="L1884" s="4" t="s">
        <v>28</v>
      </c>
      <c r="M1884" s="4" t="s">
        <v>34</v>
      </c>
      <c r="N1884" s="4" t="s">
        <v>28</v>
      </c>
    </row>
    <row r="1885" spans="1:14" ht="14.4" thickBot="1" x14ac:dyDescent="0.35">
      <c r="A1885" s="4" t="s">
        <v>19</v>
      </c>
      <c r="B1885" s="4" t="s">
        <v>251</v>
      </c>
      <c r="C1885" s="4" t="s">
        <v>252</v>
      </c>
      <c r="D1885" s="4" t="s">
        <v>253</v>
      </c>
      <c r="E1885" s="4" t="s">
        <v>254</v>
      </c>
      <c r="F1885" s="4" t="s">
        <v>2757</v>
      </c>
      <c r="G1885" s="4" t="s">
        <v>2758</v>
      </c>
      <c r="H1885" s="4" t="s">
        <v>26</v>
      </c>
      <c r="I1885" s="4" t="s">
        <v>69</v>
      </c>
      <c r="J1885" s="4" t="s">
        <v>27</v>
      </c>
      <c r="K1885" s="4" t="s">
        <v>28</v>
      </c>
      <c r="L1885" s="4" t="s">
        <v>28</v>
      </c>
      <c r="M1885" s="4" t="s">
        <v>34</v>
      </c>
      <c r="N1885" s="4" t="s">
        <v>27</v>
      </c>
    </row>
    <row r="1886" spans="1:14" ht="14.4" thickBot="1" x14ac:dyDescent="0.35">
      <c r="A1886" s="4" t="s">
        <v>19</v>
      </c>
      <c r="B1886" s="4" t="s">
        <v>251</v>
      </c>
      <c r="C1886" s="4" t="s">
        <v>252</v>
      </c>
      <c r="D1886" s="4" t="s">
        <v>253</v>
      </c>
      <c r="E1886" s="4" t="s">
        <v>254</v>
      </c>
      <c r="F1886" s="4" t="s">
        <v>2759</v>
      </c>
      <c r="G1886" s="4" t="s">
        <v>2760</v>
      </c>
      <c r="H1886" s="4" t="s">
        <v>32</v>
      </c>
      <c r="I1886" s="4" t="s">
        <v>33</v>
      </c>
      <c r="J1886" s="4" t="s">
        <v>27</v>
      </c>
      <c r="K1886" s="4" t="s">
        <v>28</v>
      </c>
      <c r="L1886" s="4" t="s">
        <v>28</v>
      </c>
      <c r="M1886" s="4" t="s">
        <v>34</v>
      </c>
      <c r="N1886" s="4" t="s">
        <v>28</v>
      </c>
    </row>
    <row r="1887" spans="1:14" ht="14.4" thickBot="1" x14ac:dyDescent="0.35">
      <c r="A1887" s="4" t="s">
        <v>19</v>
      </c>
      <c r="B1887" s="4" t="s">
        <v>251</v>
      </c>
      <c r="C1887" s="4" t="s">
        <v>252</v>
      </c>
      <c r="D1887" s="4" t="s">
        <v>253</v>
      </c>
      <c r="E1887" s="4" t="s">
        <v>254</v>
      </c>
      <c r="F1887" s="4" t="s">
        <v>2761</v>
      </c>
      <c r="G1887" s="4" t="s">
        <v>2762</v>
      </c>
      <c r="H1887" s="4" t="s">
        <v>135</v>
      </c>
      <c r="I1887" s="4" t="s">
        <v>33</v>
      </c>
      <c r="J1887" s="4" t="s">
        <v>27</v>
      </c>
      <c r="K1887" s="4" t="s">
        <v>28</v>
      </c>
      <c r="L1887" s="4" t="s">
        <v>28</v>
      </c>
      <c r="M1887" s="4" t="s">
        <v>34</v>
      </c>
      <c r="N1887" s="4" t="s">
        <v>28</v>
      </c>
    </row>
    <row r="1888" spans="1:14" ht="14.4" thickBot="1" x14ac:dyDescent="0.35">
      <c r="A1888" s="4" t="s">
        <v>19</v>
      </c>
      <c r="B1888" s="4" t="s">
        <v>251</v>
      </c>
      <c r="C1888" s="4" t="s">
        <v>252</v>
      </c>
      <c r="D1888" s="4" t="s">
        <v>253</v>
      </c>
      <c r="E1888" s="4" t="s">
        <v>254</v>
      </c>
      <c r="F1888" s="4" t="s">
        <v>3457</v>
      </c>
      <c r="G1888" s="4" t="s">
        <v>635</v>
      </c>
      <c r="H1888" s="4" t="s">
        <v>26</v>
      </c>
      <c r="I1888" s="4" t="s">
        <v>26</v>
      </c>
      <c r="J1888" s="4" t="s">
        <v>27</v>
      </c>
      <c r="K1888" s="4" t="s">
        <v>28</v>
      </c>
      <c r="L1888" s="4" t="s">
        <v>28</v>
      </c>
      <c r="M1888" s="4" t="s">
        <v>29</v>
      </c>
      <c r="N1888" s="4" t="s">
        <v>28</v>
      </c>
    </row>
    <row r="1889" spans="1:14" ht="14.4" thickBot="1" x14ac:dyDescent="0.35">
      <c r="A1889" s="4" t="s">
        <v>19</v>
      </c>
      <c r="B1889" s="4" t="s">
        <v>251</v>
      </c>
      <c r="C1889" s="4" t="s">
        <v>252</v>
      </c>
      <c r="D1889" s="4" t="s">
        <v>253</v>
      </c>
      <c r="E1889" s="4" t="s">
        <v>254</v>
      </c>
      <c r="F1889" s="4" t="s">
        <v>3458</v>
      </c>
      <c r="G1889" s="4" t="s">
        <v>3459</v>
      </c>
      <c r="H1889" s="4" t="s">
        <v>26</v>
      </c>
      <c r="I1889" s="4" t="s">
        <v>135</v>
      </c>
      <c r="J1889" s="4" t="s">
        <v>27</v>
      </c>
      <c r="K1889" s="4" t="s">
        <v>28</v>
      </c>
      <c r="L1889" s="4" t="s">
        <v>28</v>
      </c>
      <c r="M1889" s="4" t="s">
        <v>29</v>
      </c>
      <c r="N1889" s="4" t="s">
        <v>28</v>
      </c>
    </row>
    <row r="1890" spans="1:14" ht="14.4" thickBot="1" x14ac:dyDescent="0.35">
      <c r="A1890" s="4" t="s">
        <v>19</v>
      </c>
      <c r="B1890" s="4" t="s">
        <v>251</v>
      </c>
      <c r="C1890" s="4" t="s">
        <v>252</v>
      </c>
      <c r="D1890" s="4" t="s">
        <v>253</v>
      </c>
      <c r="E1890" s="4" t="s">
        <v>254</v>
      </c>
      <c r="F1890" s="4" t="s">
        <v>3460</v>
      </c>
      <c r="G1890" s="4" t="s">
        <v>3461</v>
      </c>
      <c r="H1890" s="4" t="s">
        <v>26</v>
      </c>
      <c r="I1890" s="4" t="s">
        <v>26</v>
      </c>
      <c r="J1890" s="4" t="s">
        <v>27</v>
      </c>
      <c r="K1890" s="4" t="s">
        <v>28</v>
      </c>
      <c r="L1890" s="4" t="s">
        <v>28</v>
      </c>
      <c r="M1890" s="4" t="s">
        <v>29</v>
      </c>
      <c r="N1890" s="4" t="s">
        <v>28</v>
      </c>
    </row>
    <row r="1891" spans="1:14" ht="14.4" thickBot="1" x14ac:dyDescent="0.35">
      <c r="A1891" s="4" t="s">
        <v>19</v>
      </c>
      <c r="B1891" s="4" t="s">
        <v>251</v>
      </c>
      <c r="C1891" s="4" t="s">
        <v>252</v>
      </c>
      <c r="D1891" s="4" t="s">
        <v>253</v>
      </c>
      <c r="E1891" s="4" t="s">
        <v>254</v>
      </c>
      <c r="F1891" s="4" t="s">
        <v>3462</v>
      </c>
      <c r="G1891" s="4" t="s">
        <v>3463</v>
      </c>
      <c r="H1891" s="4" t="s">
        <v>26</v>
      </c>
      <c r="I1891" s="4" t="s">
        <v>33</v>
      </c>
      <c r="J1891" s="4" t="s">
        <v>27</v>
      </c>
      <c r="K1891" s="4" t="s">
        <v>28</v>
      </c>
      <c r="L1891" s="4" t="s">
        <v>28</v>
      </c>
      <c r="M1891" s="4" t="s">
        <v>29</v>
      </c>
      <c r="N1891" s="4" t="s">
        <v>28</v>
      </c>
    </row>
    <row r="1892" spans="1:14" ht="14.4" thickBot="1" x14ac:dyDescent="0.35">
      <c r="A1892" s="4" t="s">
        <v>19</v>
      </c>
      <c r="B1892" s="4" t="s">
        <v>251</v>
      </c>
      <c r="C1892" s="4" t="s">
        <v>252</v>
      </c>
      <c r="D1892" s="4" t="s">
        <v>253</v>
      </c>
      <c r="E1892" s="4" t="s">
        <v>254</v>
      </c>
      <c r="F1892" s="4" t="s">
        <v>3464</v>
      </c>
      <c r="G1892" s="4" t="s">
        <v>3465</v>
      </c>
      <c r="H1892" s="4" t="s">
        <v>26</v>
      </c>
      <c r="I1892" s="4" t="s">
        <v>26</v>
      </c>
      <c r="J1892" s="4" t="s">
        <v>27</v>
      </c>
      <c r="K1892" s="4" t="s">
        <v>28</v>
      </c>
      <c r="L1892" s="4" t="s">
        <v>28</v>
      </c>
      <c r="M1892" s="4" t="s">
        <v>29</v>
      </c>
      <c r="N1892" s="4" t="s">
        <v>28</v>
      </c>
    </row>
    <row r="1893" spans="1:14" ht="14.4" thickBot="1" x14ac:dyDescent="0.35">
      <c r="A1893" s="4" t="s">
        <v>19</v>
      </c>
      <c r="B1893" s="4" t="s">
        <v>251</v>
      </c>
      <c r="C1893" s="4" t="s">
        <v>252</v>
      </c>
      <c r="D1893" s="4" t="s">
        <v>253</v>
      </c>
      <c r="E1893" s="4" t="s">
        <v>254</v>
      </c>
      <c r="F1893" s="4" t="s">
        <v>3466</v>
      </c>
      <c r="G1893" s="4" t="s">
        <v>3467</v>
      </c>
      <c r="H1893" s="4" t="s">
        <v>135</v>
      </c>
      <c r="I1893" s="4" t="s">
        <v>94</v>
      </c>
      <c r="J1893" s="4" t="s">
        <v>27</v>
      </c>
      <c r="K1893" s="4" t="s">
        <v>28</v>
      </c>
      <c r="L1893" s="4" t="s">
        <v>28</v>
      </c>
      <c r="M1893" s="4" t="s">
        <v>34</v>
      </c>
      <c r="N1893" s="4" t="s">
        <v>28</v>
      </c>
    </row>
    <row r="1894" spans="1:14" ht="14.4" thickBot="1" x14ac:dyDescent="0.35">
      <c r="A1894" s="4" t="s">
        <v>19</v>
      </c>
      <c r="B1894" s="4" t="s">
        <v>251</v>
      </c>
      <c r="C1894" s="4" t="s">
        <v>252</v>
      </c>
      <c r="D1894" s="4" t="s">
        <v>253</v>
      </c>
      <c r="E1894" s="4" t="s">
        <v>254</v>
      </c>
      <c r="F1894" s="4" t="s">
        <v>3468</v>
      </c>
      <c r="G1894" s="4" t="s">
        <v>3469</v>
      </c>
      <c r="H1894" s="4" t="s">
        <v>190</v>
      </c>
      <c r="I1894" s="4" t="s">
        <v>116</v>
      </c>
      <c r="J1894" s="4" t="s">
        <v>27</v>
      </c>
      <c r="K1894" s="4" t="s">
        <v>28</v>
      </c>
      <c r="L1894" s="4" t="s">
        <v>28</v>
      </c>
      <c r="M1894" s="4" t="s">
        <v>29</v>
      </c>
      <c r="N1894" s="4" t="s">
        <v>28</v>
      </c>
    </row>
    <row r="1895" spans="1:14" ht="14.4" thickBot="1" x14ac:dyDescent="0.35">
      <c r="A1895" s="4" t="s">
        <v>19</v>
      </c>
      <c r="B1895" s="4" t="s">
        <v>251</v>
      </c>
      <c r="C1895" s="4" t="s">
        <v>252</v>
      </c>
      <c r="D1895" s="4" t="s">
        <v>253</v>
      </c>
      <c r="E1895" s="4" t="s">
        <v>254</v>
      </c>
      <c r="F1895" s="4" t="s">
        <v>3470</v>
      </c>
      <c r="G1895" s="4" t="s">
        <v>3471</v>
      </c>
      <c r="H1895" s="4" t="s">
        <v>135</v>
      </c>
      <c r="I1895" s="4" t="s">
        <v>94</v>
      </c>
      <c r="J1895" s="4" t="s">
        <v>27</v>
      </c>
      <c r="K1895" s="4" t="s">
        <v>28</v>
      </c>
      <c r="L1895" s="4" t="s">
        <v>28</v>
      </c>
      <c r="M1895" s="4" t="s">
        <v>34</v>
      </c>
      <c r="N1895" s="4" t="s">
        <v>28</v>
      </c>
    </row>
    <row r="1896" spans="1:14" ht="14.4" thickBot="1" x14ac:dyDescent="0.35">
      <c r="A1896" s="4" t="s">
        <v>19</v>
      </c>
      <c r="B1896" s="4" t="s">
        <v>251</v>
      </c>
      <c r="C1896" s="4" t="s">
        <v>252</v>
      </c>
      <c r="D1896" s="4" t="s">
        <v>253</v>
      </c>
      <c r="E1896" s="4" t="s">
        <v>254</v>
      </c>
      <c r="F1896" s="4" t="s">
        <v>3472</v>
      </c>
      <c r="G1896" s="4" t="s">
        <v>3473</v>
      </c>
      <c r="H1896" s="4" t="s">
        <v>26</v>
      </c>
      <c r="I1896" s="4" t="s">
        <v>26</v>
      </c>
      <c r="J1896" s="4" t="s">
        <v>27</v>
      </c>
      <c r="K1896" s="4" t="s">
        <v>28</v>
      </c>
      <c r="L1896" s="4" t="s">
        <v>28</v>
      </c>
      <c r="M1896" s="4" t="s">
        <v>130</v>
      </c>
      <c r="N1896" s="4" t="s">
        <v>28</v>
      </c>
    </row>
    <row r="1897" spans="1:14" ht="14.4" thickBot="1" x14ac:dyDescent="0.35">
      <c r="A1897" s="4" t="s">
        <v>19</v>
      </c>
      <c r="B1897" s="4" t="s">
        <v>251</v>
      </c>
      <c r="C1897" s="4" t="s">
        <v>252</v>
      </c>
      <c r="D1897" s="4" t="s">
        <v>253</v>
      </c>
      <c r="E1897" s="4" t="s">
        <v>254</v>
      </c>
      <c r="F1897" s="4" t="s">
        <v>3474</v>
      </c>
      <c r="G1897" s="4" t="s">
        <v>2040</v>
      </c>
      <c r="H1897" s="4" t="s">
        <v>26</v>
      </c>
      <c r="I1897" s="4" t="s">
        <v>26</v>
      </c>
      <c r="J1897" s="4" t="s">
        <v>27</v>
      </c>
      <c r="K1897" s="4" t="s">
        <v>28</v>
      </c>
      <c r="L1897" s="4" t="s">
        <v>28</v>
      </c>
      <c r="M1897" s="4" t="s">
        <v>130</v>
      </c>
      <c r="N1897" s="4" t="s">
        <v>28</v>
      </c>
    </row>
    <row r="1898" spans="1:14" ht="14.4" thickBot="1" x14ac:dyDescent="0.35">
      <c r="A1898" s="4" t="s">
        <v>19</v>
      </c>
      <c r="B1898" s="4" t="s">
        <v>251</v>
      </c>
      <c r="C1898" s="4" t="s">
        <v>252</v>
      </c>
      <c r="D1898" s="4" t="s">
        <v>253</v>
      </c>
      <c r="E1898" s="4" t="s">
        <v>254</v>
      </c>
      <c r="F1898" s="4" t="s">
        <v>3475</v>
      </c>
      <c r="G1898" s="4" t="s">
        <v>3476</v>
      </c>
      <c r="H1898" s="4" t="s">
        <v>26</v>
      </c>
      <c r="I1898" s="4" t="s">
        <v>26</v>
      </c>
      <c r="J1898" s="4" t="s">
        <v>27</v>
      </c>
      <c r="K1898" s="4" t="s">
        <v>28</v>
      </c>
      <c r="L1898" s="4" t="s">
        <v>28</v>
      </c>
      <c r="M1898" s="4" t="s">
        <v>130</v>
      </c>
      <c r="N1898" s="4" t="s">
        <v>28</v>
      </c>
    </row>
    <row r="1899" spans="1:14" ht="14.4" thickBot="1" x14ac:dyDescent="0.35">
      <c r="A1899" s="4" t="s">
        <v>19</v>
      </c>
      <c r="B1899" s="4" t="s">
        <v>251</v>
      </c>
      <c r="C1899" s="4" t="s">
        <v>252</v>
      </c>
      <c r="D1899" s="4" t="s">
        <v>253</v>
      </c>
      <c r="E1899" s="4" t="s">
        <v>254</v>
      </c>
      <c r="F1899" s="4" t="s">
        <v>3477</v>
      </c>
      <c r="G1899" s="4" t="s">
        <v>1667</v>
      </c>
      <c r="H1899" s="4" t="s">
        <v>26</v>
      </c>
      <c r="I1899" s="4" t="s">
        <v>33</v>
      </c>
      <c r="J1899" s="4" t="s">
        <v>27</v>
      </c>
      <c r="K1899" s="4" t="s">
        <v>28</v>
      </c>
      <c r="L1899" s="4" t="s">
        <v>28</v>
      </c>
      <c r="M1899" s="4" t="s">
        <v>34</v>
      </c>
      <c r="N1899" s="4" t="s">
        <v>28</v>
      </c>
    </row>
    <row r="1900" spans="1:14" ht="14.4" thickBot="1" x14ac:dyDescent="0.35">
      <c r="A1900" s="4" t="s">
        <v>19</v>
      </c>
      <c r="B1900" s="4" t="s">
        <v>251</v>
      </c>
      <c r="C1900" s="4" t="s">
        <v>252</v>
      </c>
      <c r="D1900" s="4" t="s">
        <v>253</v>
      </c>
      <c r="E1900" s="4" t="s">
        <v>254</v>
      </c>
      <c r="F1900" s="4" t="s">
        <v>3478</v>
      </c>
      <c r="G1900" s="4" t="s">
        <v>3479</v>
      </c>
      <c r="H1900" s="4" t="s">
        <v>26</v>
      </c>
      <c r="I1900" s="4" t="s">
        <v>33</v>
      </c>
      <c r="J1900" s="4" t="s">
        <v>27</v>
      </c>
      <c r="K1900" s="4" t="s">
        <v>28</v>
      </c>
      <c r="L1900" s="4" t="s">
        <v>28</v>
      </c>
      <c r="M1900" s="4" t="s">
        <v>34</v>
      </c>
      <c r="N1900" s="4" t="s">
        <v>28</v>
      </c>
    </row>
    <row r="1901" spans="1:14" ht="14.4" thickBot="1" x14ac:dyDescent="0.35">
      <c r="A1901" s="4" t="s">
        <v>19</v>
      </c>
      <c r="B1901" s="4" t="s">
        <v>251</v>
      </c>
      <c r="C1901" s="4" t="s">
        <v>252</v>
      </c>
      <c r="D1901" s="4" t="s">
        <v>253</v>
      </c>
      <c r="E1901" s="4" t="s">
        <v>254</v>
      </c>
      <c r="F1901" s="4" t="s">
        <v>3480</v>
      </c>
      <c r="G1901" s="4" t="s">
        <v>3481</v>
      </c>
      <c r="H1901" s="4" t="s">
        <v>26</v>
      </c>
      <c r="I1901" s="4" t="s">
        <v>33</v>
      </c>
      <c r="J1901" s="4" t="s">
        <v>27</v>
      </c>
      <c r="K1901" s="4" t="s">
        <v>28</v>
      </c>
      <c r="L1901" s="4" t="s">
        <v>28</v>
      </c>
      <c r="M1901" s="4" t="s">
        <v>34</v>
      </c>
      <c r="N1901" s="4" t="s">
        <v>28</v>
      </c>
    </row>
    <row r="1902" spans="1:14" ht="14.4" thickBot="1" x14ac:dyDescent="0.35">
      <c r="A1902" s="4" t="s">
        <v>19</v>
      </c>
      <c r="B1902" s="4" t="s">
        <v>251</v>
      </c>
      <c r="C1902" s="4" t="s">
        <v>252</v>
      </c>
      <c r="D1902" s="4" t="s">
        <v>253</v>
      </c>
      <c r="E1902" s="4" t="s">
        <v>254</v>
      </c>
      <c r="F1902" s="4" t="s">
        <v>3482</v>
      </c>
      <c r="G1902" s="4" t="s">
        <v>3483</v>
      </c>
      <c r="H1902" s="4" t="s">
        <v>37</v>
      </c>
      <c r="I1902" s="4" t="s">
        <v>38</v>
      </c>
      <c r="J1902" s="4" t="s">
        <v>28</v>
      </c>
      <c r="K1902" s="4" t="s">
        <v>28</v>
      </c>
      <c r="L1902" s="4" t="s">
        <v>27</v>
      </c>
      <c r="M1902" s="4" t="s">
        <v>34</v>
      </c>
      <c r="N1902" s="4" t="s">
        <v>27</v>
      </c>
    </row>
    <row r="1903" spans="1:14" ht="14.4" thickBot="1" x14ac:dyDescent="0.35">
      <c r="A1903" s="4" t="s">
        <v>19</v>
      </c>
      <c r="B1903" s="4" t="s">
        <v>251</v>
      </c>
      <c r="C1903" s="4" t="s">
        <v>252</v>
      </c>
      <c r="D1903" s="4" t="s">
        <v>253</v>
      </c>
      <c r="E1903" s="4" t="s">
        <v>254</v>
      </c>
      <c r="F1903" s="4" t="s">
        <v>3484</v>
      </c>
      <c r="G1903" s="4" t="s">
        <v>3485</v>
      </c>
      <c r="H1903" s="4" t="s">
        <v>37</v>
      </c>
      <c r="I1903" s="4" t="s">
        <v>38</v>
      </c>
      <c r="J1903" s="4" t="s">
        <v>28</v>
      </c>
      <c r="K1903" s="4" t="s">
        <v>28</v>
      </c>
      <c r="L1903" s="4" t="s">
        <v>27</v>
      </c>
      <c r="M1903" s="4" t="s">
        <v>34</v>
      </c>
      <c r="N1903" s="4" t="s">
        <v>28</v>
      </c>
    </row>
    <row r="1904" spans="1:14" ht="14.4" thickBot="1" x14ac:dyDescent="0.35">
      <c r="A1904" s="4" t="s">
        <v>19</v>
      </c>
      <c r="B1904" s="4" t="s">
        <v>251</v>
      </c>
      <c r="C1904" s="4" t="s">
        <v>252</v>
      </c>
      <c r="D1904" s="4" t="s">
        <v>253</v>
      </c>
      <c r="E1904" s="4" t="s">
        <v>254</v>
      </c>
      <c r="F1904" s="4" t="s">
        <v>3486</v>
      </c>
      <c r="G1904" s="4" t="s">
        <v>3487</v>
      </c>
      <c r="H1904" s="4" t="s">
        <v>69</v>
      </c>
      <c r="I1904" s="4" t="s">
        <v>94</v>
      </c>
      <c r="J1904" s="4" t="s">
        <v>28</v>
      </c>
      <c r="K1904" s="4" t="s">
        <v>27</v>
      </c>
      <c r="L1904" s="4" t="s">
        <v>28</v>
      </c>
      <c r="M1904" s="4" t="s">
        <v>34</v>
      </c>
      <c r="N1904" s="4" t="s">
        <v>28</v>
      </c>
    </row>
    <row r="1905" spans="1:14" ht="14.4" thickBot="1" x14ac:dyDescent="0.35">
      <c r="A1905" s="4" t="s">
        <v>19</v>
      </c>
      <c r="B1905" s="4" t="s">
        <v>251</v>
      </c>
      <c r="C1905" s="4" t="s">
        <v>252</v>
      </c>
      <c r="D1905" s="4" t="s">
        <v>253</v>
      </c>
      <c r="E1905" s="4" t="s">
        <v>254</v>
      </c>
      <c r="F1905" s="4" t="s">
        <v>3488</v>
      </c>
      <c r="G1905" s="4" t="s">
        <v>3489</v>
      </c>
      <c r="H1905" s="4" t="s">
        <v>135</v>
      </c>
      <c r="I1905" s="4" t="s">
        <v>69</v>
      </c>
      <c r="J1905" s="5"/>
      <c r="K1905" s="5"/>
      <c r="L1905" s="5"/>
      <c r="M1905" s="4" t="s">
        <v>29</v>
      </c>
      <c r="N1905" s="5"/>
    </row>
    <row r="1906" spans="1:14" ht="14.4" thickBot="1" x14ac:dyDescent="0.35">
      <c r="A1906" s="4" t="s">
        <v>19</v>
      </c>
      <c r="B1906" s="4" t="s">
        <v>251</v>
      </c>
      <c r="C1906" s="4" t="s">
        <v>252</v>
      </c>
      <c r="D1906" s="4" t="s">
        <v>253</v>
      </c>
      <c r="E1906" s="4" t="s">
        <v>254</v>
      </c>
      <c r="F1906" s="4" t="s">
        <v>3490</v>
      </c>
      <c r="G1906" s="4" t="s">
        <v>3491</v>
      </c>
      <c r="H1906" s="4" t="s">
        <v>135</v>
      </c>
      <c r="I1906" s="4" t="s">
        <v>94</v>
      </c>
      <c r="J1906" s="5"/>
      <c r="K1906" s="5"/>
      <c r="L1906" s="5"/>
      <c r="M1906" s="4" t="s">
        <v>29</v>
      </c>
      <c r="N1906" s="5"/>
    </row>
    <row r="1907" spans="1:14" ht="14.4" thickBot="1" x14ac:dyDescent="0.35">
      <c r="A1907" s="4" t="s">
        <v>19</v>
      </c>
      <c r="B1907" s="4" t="s">
        <v>251</v>
      </c>
      <c r="C1907" s="4" t="s">
        <v>252</v>
      </c>
      <c r="D1907" s="4" t="s">
        <v>253</v>
      </c>
      <c r="E1907" s="4" t="s">
        <v>254</v>
      </c>
      <c r="F1907" s="4" t="s">
        <v>3492</v>
      </c>
      <c r="G1907" s="4" t="s">
        <v>3493</v>
      </c>
      <c r="H1907" s="4" t="s">
        <v>135</v>
      </c>
      <c r="I1907" s="4" t="s">
        <v>94</v>
      </c>
      <c r="J1907" s="5"/>
      <c r="K1907" s="5"/>
      <c r="L1907" s="5"/>
      <c r="M1907" s="4" t="s">
        <v>29</v>
      </c>
      <c r="N1907" s="5"/>
    </row>
    <row r="1908" spans="1:14" ht="14.4" thickBot="1" x14ac:dyDescent="0.35">
      <c r="A1908" s="4" t="s">
        <v>19</v>
      </c>
      <c r="B1908" s="4" t="s">
        <v>251</v>
      </c>
      <c r="C1908" s="4" t="s">
        <v>252</v>
      </c>
      <c r="D1908" s="4" t="s">
        <v>253</v>
      </c>
      <c r="E1908" s="4" t="s">
        <v>254</v>
      </c>
      <c r="F1908" s="4" t="s">
        <v>3494</v>
      </c>
      <c r="G1908" s="4" t="s">
        <v>3495</v>
      </c>
      <c r="H1908" s="4" t="s">
        <v>26</v>
      </c>
      <c r="I1908" s="4" t="s">
        <v>94</v>
      </c>
      <c r="J1908" s="5"/>
      <c r="K1908" s="5"/>
      <c r="L1908" s="5"/>
      <c r="M1908" s="4" t="s">
        <v>29</v>
      </c>
      <c r="N1908" s="5"/>
    </row>
    <row r="1909" spans="1:14" ht="14.4" thickBot="1" x14ac:dyDescent="0.35">
      <c r="A1909" s="4" t="s">
        <v>19</v>
      </c>
      <c r="B1909" s="4" t="s">
        <v>251</v>
      </c>
      <c r="C1909" s="4" t="s">
        <v>252</v>
      </c>
      <c r="D1909" s="4" t="s">
        <v>253</v>
      </c>
      <c r="E1909" s="4" t="s">
        <v>254</v>
      </c>
      <c r="F1909" s="4" t="s">
        <v>3496</v>
      </c>
      <c r="G1909" s="4" t="s">
        <v>3497</v>
      </c>
      <c r="H1909" s="4" t="s">
        <v>26</v>
      </c>
      <c r="I1909" s="4" t="s">
        <v>33</v>
      </c>
      <c r="J1909" s="4" t="s">
        <v>27</v>
      </c>
      <c r="K1909" s="4" t="s">
        <v>28</v>
      </c>
      <c r="L1909" s="4" t="s">
        <v>28</v>
      </c>
      <c r="M1909" s="4" t="s">
        <v>34</v>
      </c>
      <c r="N1909" s="4" t="s">
        <v>28</v>
      </c>
    </row>
    <row r="1910" spans="1:14" ht="14.4" thickBot="1" x14ac:dyDescent="0.35">
      <c r="A1910" s="4" t="s">
        <v>19</v>
      </c>
      <c r="B1910" s="4" t="s">
        <v>251</v>
      </c>
      <c r="C1910" s="4" t="s">
        <v>252</v>
      </c>
      <c r="D1910" s="4" t="s">
        <v>253</v>
      </c>
      <c r="E1910" s="4" t="s">
        <v>254</v>
      </c>
      <c r="F1910" s="4" t="s">
        <v>3498</v>
      </c>
      <c r="G1910" s="4" t="s">
        <v>3499</v>
      </c>
      <c r="H1910" s="4" t="s">
        <v>122</v>
      </c>
      <c r="I1910" s="4" t="s">
        <v>38</v>
      </c>
      <c r="J1910" s="4" t="s">
        <v>28</v>
      </c>
      <c r="K1910" s="4" t="s">
        <v>28</v>
      </c>
      <c r="L1910" s="4" t="s">
        <v>27</v>
      </c>
      <c r="M1910" s="4" t="s">
        <v>34</v>
      </c>
      <c r="N1910" s="4" t="s">
        <v>28</v>
      </c>
    </row>
    <row r="1911" spans="1:14" ht="14.4" thickBot="1" x14ac:dyDescent="0.35">
      <c r="A1911" s="4" t="s">
        <v>19</v>
      </c>
      <c r="B1911" s="4" t="s">
        <v>251</v>
      </c>
      <c r="C1911" s="4" t="s">
        <v>252</v>
      </c>
      <c r="D1911" s="4" t="s">
        <v>253</v>
      </c>
      <c r="E1911" s="4" t="s">
        <v>254</v>
      </c>
      <c r="F1911" s="4" t="s">
        <v>3500</v>
      </c>
      <c r="G1911" s="4" t="s">
        <v>3501</v>
      </c>
      <c r="H1911" s="4" t="s">
        <v>135</v>
      </c>
      <c r="I1911" s="4" t="s">
        <v>69</v>
      </c>
      <c r="J1911" s="4" t="s">
        <v>27</v>
      </c>
      <c r="K1911" s="4" t="s">
        <v>28</v>
      </c>
      <c r="L1911" s="4" t="s">
        <v>28</v>
      </c>
      <c r="M1911" s="4" t="s">
        <v>34</v>
      </c>
      <c r="N1911" s="4" t="s">
        <v>27</v>
      </c>
    </row>
    <row r="1912" spans="1:14" ht="14.4" thickBot="1" x14ac:dyDescent="0.35">
      <c r="A1912" s="4" t="s">
        <v>19</v>
      </c>
      <c r="B1912" s="4" t="s">
        <v>251</v>
      </c>
      <c r="C1912" s="4" t="s">
        <v>252</v>
      </c>
      <c r="D1912" s="4" t="s">
        <v>253</v>
      </c>
      <c r="E1912" s="4" t="s">
        <v>254</v>
      </c>
      <c r="F1912" s="4" t="s">
        <v>3502</v>
      </c>
      <c r="G1912" s="4" t="s">
        <v>3503</v>
      </c>
      <c r="H1912" s="4" t="s">
        <v>26</v>
      </c>
      <c r="I1912" s="4" t="s">
        <v>33</v>
      </c>
      <c r="J1912" s="4" t="s">
        <v>27</v>
      </c>
      <c r="K1912" s="4" t="s">
        <v>28</v>
      </c>
      <c r="L1912" s="4" t="s">
        <v>28</v>
      </c>
      <c r="M1912" s="4" t="s">
        <v>34</v>
      </c>
      <c r="N1912" s="4" t="s">
        <v>28</v>
      </c>
    </row>
    <row r="1913" spans="1:14" ht="14.4" thickBot="1" x14ac:dyDescent="0.35">
      <c r="A1913" s="4" t="s">
        <v>19</v>
      </c>
      <c r="B1913" s="4" t="s">
        <v>251</v>
      </c>
      <c r="C1913" s="4" t="s">
        <v>252</v>
      </c>
      <c r="D1913" s="4" t="s">
        <v>253</v>
      </c>
      <c r="E1913" s="4" t="s">
        <v>254</v>
      </c>
      <c r="F1913" s="4" t="s">
        <v>3504</v>
      </c>
      <c r="G1913" s="4" t="s">
        <v>3505</v>
      </c>
      <c r="H1913" s="4" t="s">
        <v>26</v>
      </c>
      <c r="I1913" s="4" t="s">
        <v>33</v>
      </c>
      <c r="J1913" s="4" t="s">
        <v>27</v>
      </c>
      <c r="K1913" s="4" t="s">
        <v>28</v>
      </c>
      <c r="L1913" s="4" t="s">
        <v>28</v>
      </c>
      <c r="M1913" s="4" t="s">
        <v>34</v>
      </c>
      <c r="N1913" s="4" t="s">
        <v>28</v>
      </c>
    </row>
    <row r="1914" spans="1:14" ht="14.4" thickBot="1" x14ac:dyDescent="0.35">
      <c r="A1914" s="4" t="s">
        <v>19</v>
      </c>
      <c r="B1914" s="4" t="s">
        <v>251</v>
      </c>
      <c r="C1914" s="4" t="s">
        <v>252</v>
      </c>
      <c r="D1914" s="4" t="s">
        <v>253</v>
      </c>
      <c r="E1914" s="4" t="s">
        <v>254</v>
      </c>
      <c r="F1914" s="4" t="s">
        <v>3506</v>
      </c>
      <c r="G1914" s="4" t="s">
        <v>3507</v>
      </c>
      <c r="H1914" s="4" t="s">
        <v>26</v>
      </c>
      <c r="I1914" s="4" t="s">
        <v>33</v>
      </c>
      <c r="J1914" s="4" t="s">
        <v>27</v>
      </c>
      <c r="K1914" s="4" t="s">
        <v>28</v>
      </c>
      <c r="L1914" s="4" t="s">
        <v>28</v>
      </c>
      <c r="M1914" s="4" t="s">
        <v>34</v>
      </c>
      <c r="N1914" s="4" t="s">
        <v>28</v>
      </c>
    </row>
    <row r="1915" spans="1:14" ht="14.4" thickBot="1" x14ac:dyDescent="0.35">
      <c r="A1915" s="4" t="s">
        <v>19</v>
      </c>
      <c r="B1915" s="4" t="s">
        <v>251</v>
      </c>
      <c r="C1915" s="4" t="s">
        <v>252</v>
      </c>
      <c r="D1915" s="4" t="s">
        <v>253</v>
      </c>
      <c r="E1915" s="4" t="s">
        <v>254</v>
      </c>
      <c r="F1915" s="4" t="s">
        <v>3508</v>
      </c>
      <c r="G1915" s="4" t="s">
        <v>1465</v>
      </c>
      <c r="H1915" s="4" t="s">
        <v>26</v>
      </c>
      <c r="I1915" s="4" t="s">
        <v>33</v>
      </c>
      <c r="J1915" s="4" t="s">
        <v>27</v>
      </c>
      <c r="K1915" s="4" t="s">
        <v>28</v>
      </c>
      <c r="L1915" s="4" t="s">
        <v>28</v>
      </c>
      <c r="M1915" s="4" t="s">
        <v>34</v>
      </c>
      <c r="N1915" s="4" t="s">
        <v>28</v>
      </c>
    </row>
    <row r="1916" spans="1:14" ht="14.4" thickBot="1" x14ac:dyDescent="0.35">
      <c r="A1916" s="4" t="s">
        <v>19</v>
      </c>
      <c r="B1916" s="4" t="s">
        <v>251</v>
      </c>
      <c r="C1916" s="4" t="s">
        <v>252</v>
      </c>
      <c r="D1916" s="4" t="s">
        <v>253</v>
      </c>
      <c r="E1916" s="4" t="s">
        <v>254</v>
      </c>
      <c r="F1916" s="4" t="s">
        <v>3509</v>
      </c>
      <c r="G1916" s="4" t="s">
        <v>3510</v>
      </c>
      <c r="H1916" s="4" t="s">
        <v>135</v>
      </c>
      <c r="I1916" s="4" t="s">
        <v>38</v>
      </c>
      <c r="J1916" s="4" t="s">
        <v>28</v>
      </c>
      <c r="K1916" s="4" t="s">
        <v>28</v>
      </c>
      <c r="L1916" s="4" t="s">
        <v>27</v>
      </c>
      <c r="M1916" s="4" t="s">
        <v>34</v>
      </c>
      <c r="N1916" s="4" t="s">
        <v>27</v>
      </c>
    </row>
    <row r="1917" spans="1:14" ht="14.4" thickBot="1" x14ac:dyDescent="0.35">
      <c r="A1917" s="4" t="s">
        <v>19</v>
      </c>
      <c r="B1917" s="4" t="s">
        <v>251</v>
      </c>
      <c r="C1917" s="4" t="s">
        <v>252</v>
      </c>
      <c r="D1917" s="4" t="s">
        <v>253</v>
      </c>
      <c r="E1917" s="4" t="s">
        <v>254</v>
      </c>
      <c r="F1917" s="4" t="s">
        <v>3511</v>
      </c>
      <c r="G1917" s="4" t="s">
        <v>3512</v>
      </c>
      <c r="H1917" s="4" t="s">
        <v>69</v>
      </c>
      <c r="I1917" s="4" t="s">
        <v>94</v>
      </c>
      <c r="J1917" s="4" t="s">
        <v>28</v>
      </c>
      <c r="K1917" s="4" t="s">
        <v>27</v>
      </c>
      <c r="L1917" s="4" t="s">
        <v>28</v>
      </c>
      <c r="M1917" s="4" t="s">
        <v>34</v>
      </c>
      <c r="N1917" s="4" t="s">
        <v>28</v>
      </c>
    </row>
    <row r="1918" spans="1:14" ht="14.4" thickBot="1" x14ac:dyDescent="0.35">
      <c r="A1918" s="4" t="s">
        <v>19</v>
      </c>
      <c r="B1918" s="4" t="s">
        <v>251</v>
      </c>
      <c r="C1918" s="4" t="s">
        <v>252</v>
      </c>
      <c r="D1918" s="4" t="s">
        <v>253</v>
      </c>
      <c r="E1918" s="4" t="s">
        <v>254</v>
      </c>
      <c r="F1918" s="4" t="s">
        <v>3513</v>
      </c>
      <c r="G1918" s="4" t="s">
        <v>3514</v>
      </c>
      <c r="H1918" s="4" t="s">
        <v>135</v>
      </c>
      <c r="I1918" s="4" t="s">
        <v>69</v>
      </c>
      <c r="J1918" s="4" t="s">
        <v>27</v>
      </c>
      <c r="K1918" s="4" t="s">
        <v>28</v>
      </c>
      <c r="L1918" s="4" t="s">
        <v>28</v>
      </c>
      <c r="M1918" s="4" t="s">
        <v>34</v>
      </c>
      <c r="N1918" s="4" t="s">
        <v>28</v>
      </c>
    </row>
    <row r="1919" spans="1:14" ht="14.4" thickBot="1" x14ac:dyDescent="0.35">
      <c r="A1919" s="4" t="s">
        <v>19</v>
      </c>
      <c r="B1919" s="4" t="s">
        <v>251</v>
      </c>
      <c r="C1919" s="4" t="s">
        <v>252</v>
      </c>
      <c r="D1919" s="4" t="s">
        <v>253</v>
      </c>
      <c r="E1919" s="4" t="s">
        <v>254</v>
      </c>
      <c r="F1919" s="4" t="s">
        <v>3515</v>
      </c>
      <c r="G1919" s="4" t="s">
        <v>3516</v>
      </c>
      <c r="H1919" s="4" t="s">
        <v>69</v>
      </c>
      <c r="I1919" s="4" t="s">
        <v>94</v>
      </c>
      <c r="J1919" s="4" t="s">
        <v>28</v>
      </c>
      <c r="K1919" s="4" t="s">
        <v>27</v>
      </c>
      <c r="L1919" s="4" t="s">
        <v>28</v>
      </c>
      <c r="M1919" s="4" t="s">
        <v>34</v>
      </c>
      <c r="N1919" s="4" t="s">
        <v>28</v>
      </c>
    </row>
    <row r="1920" spans="1:14" ht="14.4" thickBot="1" x14ac:dyDescent="0.35">
      <c r="A1920" s="4" t="s">
        <v>19</v>
      </c>
      <c r="B1920" s="4" t="s">
        <v>251</v>
      </c>
      <c r="C1920" s="4" t="s">
        <v>252</v>
      </c>
      <c r="D1920" s="4" t="s">
        <v>253</v>
      </c>
      <c r="E1920" s="4" t="s">
        <v>254</v>
      </c>
      <c r="F1920" s="4" t="s">
        <v>3517</v>
      </c>
      <c r="G1920" s="4" t="s">
        <v>3518</v>
      </c>
      <c r="H1920" s="4" t="s">
        <v>26</v>
      </c>
      <c r="I1920" s="4" t="s">
        <v>33</v>
      </c>
      <c r="J1920" s="4" t="s">
        <v>27</v>
      </c>
      <c r="K1920" s="4" t="s">
        <v>28</v>
      </c>
      <c r="L1920" s="4" t="s">
        <v>28</v>
      </c>
      <c r="M1920" s="4" t="s">
        <v>34</v>
      </c>
      <c r="N1920" s="4" t="s">
        <v>28</v>
      </c>
    </row>
    <row r="1921" spans="1:14" ht="14.4" thickBot="1" x14ac:dyDescent="0.35">
      <c r="A1921" s="4" t="s">
        <v>19</v>
      </c>
      <c r="B1921" s="4" t="s">
        <v>251</v>
      </c>
      <c r="C1921" s="4" t="s">
        <v>252</v>
      </c>
      <c r="D1921" s="4" t="s">
        <v>253</v>
      </c>
      <c r="E1921" s="4" t="s">
        <v>254</v>
      </c>
      <c r="F1921" s="4" t="s">
        <v>3519</v>
      </c>
      <c r="G1921" s="4" t="s">
        <v>3520</v>
      </c>
      <c r="H1921" s="4" t="s">
        <v>37</v>
      </c>
      <c r="I1921" s="4" t="s">
        <v>38</v>
      </c>
      <c r="J1921" s="4" t="s">
        <v>28</v>
      </c>
      <c r="K1921" s="4" t="s">
        <v>28</v>
      </c>
      <c r="L1921" s="4" t="s">
        <v>27</v>
      </c>
      <c r="M1921" s="4" t="s">
        <v>34</v>
      </c>
      <c r="N1921" s="4" t="s">
        <v>28</v>
      </c>
    </row>
    <row r="1922" spans="1:14" ht="14.4" thickBot="1" x14ac:dyDescent="0.35">
      <c r="A1922" s="4" t="s">
        <v>19</v>
      </c>
      <c r="B1922" s="4" t="s">
        <v>251</v>
      </c>
      <c r="C1922" s="4" t="s">
        <v>252</v>
      </c>
      <c r="D1922" s="4" t="s">
        <v>253</v>
      </c>
      <c r="E1922" s="4" t="s">
        <v>254</v>
      </c>
      <c r="F1922" s="4" t="s">
        <v>4266</v>
      </c>
      <c r="G1922" s="4" t="s">
        <v>4267</v>
      </c>
      <c r="H1922" s="4" t="s">
        <v>26</v>
      </c>
      <c r="I1922" s="4" t="s">
        <v>135</v>
      </c>
      <c r="J1922" s="4" t="s">
        <v>27</v>
      </c>
      <c r="K1922" s="4" t="s">
        <v>28</v>
      </c>
      <c r="L1922" s="4" t="s">
        <v>28</v>
      </c>
      <c r="M1922" s="4" t="s">
        <v>29</v>
      </c>
      <c r="N1922" s="4" t="s">
        <v>28</v>
      </c>
    </row>
    <row r="1923" spans="1:14" ht="14.4" thickBot="1" x14ac:dyDescent="0.35">
      <c r="A1923" s="4" t="s">
        <v>19</v>
      </c>
      <c r="B1923" s="4" t="s">
        <v>251</v>
      </c>
      <c r="C1923" s="4" t="s">
        <v>252</v>
      </c>
      <c r="D1923" s="4" t="s">
        <v>253</v>
      </c>
      <c r="E1923" s="4" t="s">
        <v>254</v>
      </c>
      <c r="F1923" s="4" t="s">
        <v>4268</v>
      </c>
      <c r="G1923" s="4" t="s">
        <v>4269</v>
      </c>
      <c r="H1923" s="4" t="s">
        <v>26</v>
      </c>
      <c r="I1923" s="4" t="s">
        <v>26</v>
      </c>
      <c r="J1923" s="4" t="s">
        <v>27</v>
      </c>
      <c r="K1923" s="4" t="s">
        <v>28</v>
      </c>
      <c r="L1923" s="4" t="s">
        <v>28</v>
      </c>
      <c r="M1923" s="4" t="s">
        <v>29</v>
      </c>
      <c r="N1923" s="4" t="s">
        <v>28</v>
      </c>
    </row>
    <row r="1924" spans="1:14" ht="14.4" thickBot="1" x14ac:dyDescent="0.35">
      <c r="A1924" s="4" t="s">
        <v>19</v>
      </c>
      <c r="B1924" s="4" t="s">
        <v>251</v>
      </c>
      <c r="C1924" s="4" t="s">
        <v>252</v>
      </c>
      <c r="D1924" s="4" t="s">
        <v>253</v>
      </c>
      <c r="E1924" s="4" t="s">
        <v>254</v>
      </c>
      <c r="F1924" s="4" t="s">
        <v>4270</v>
      </c>
      <c r="G1924" s="4" t="s">
        <v>4271</v>
      </c>
      <c r="H1924" s="4" t="s">
        <v>26</v>
      </c>
      <c r="I1924" s="4" t="s">
        <v>33</v>
      </c>
      <c r="J1924" s="4" t="s">
        <v>27</v>
      </c>
      <c r="K1924" s="4" t="s">
        <v>28</v>
      </c>
      <c r="L1924" s="4" t="s">
        <v>28</v>
      </c>
      <c r="M1924" s="4" t="s">
        <v>34</v>
      </c>
      <c r="N1924" s="4" t="s">
        <v>28</v>
      </c>
    </row>
    <row r="1925" spans="1:14" ht="14.4" thickBot="1" x14ac:dyDescent="0.35">
      <c r="A1925" s="4" t="s">
        <v>19</v>
      </c>
      <c r="B1925" s="4" t="s">
        <v>251</v>
      </c>
      <c r="C1925" s="4" t="s">
        <v>252</v>
      </c>
      <c r="D1925" s="4" t="s">
        <v>253</v>
      </c>
      <c r="E1925" s="4" t="s">
        <v>254</v>
      </c>
      <c r="F1925" s="4" t="s">
        <v>4272</v>
      </c>
      <c r="G1925" s="4" t="s">
        <v>4273</v>
      </c>
      <c r="H1925" s="4" t="s">
        <v>37</v>
      </c>
      <c r="I1925" s="4" t="s">
        <v>38</v>
      </c>
      <c r="J1925" s="4" t="s">
        <v>28</v>
      </c>
      <c r="K1925" s="4" t="s">
        <v>28</v>
      </c>
      <c r="L1925" s="4" t="s">
        <v>27</v>
      </c>
      <c r="M1925" s="4" t="s">
        <v>34</v>
      </c>
      <c r="N1925" s="4" t="s">
        <v>28</v>
      </c>
    </row>
    <row r="1926" spans="1:14" ht="14.4" thickBot="1" x14ac:dyDescent="0.35">
      <c r="A1926" s="4" t="s">
        <v>19</v>
      </c>
      <c r="B1926" s="4" t="s">
        <v>251</v>
      </c>
      <c r="C1926" s="4" t="s">
        <v>252</v>
      </c>
      <c r="D1926" s="4" t="s">
        <v>253</v>
      </c>
      <c r="E1926" s="4" t="s">
        <v>254</v>
      </c>
      <c r="F1926" s="4" t="s">
        <v>4274</v>
      </c>
      <c r="G1926" s="4" t="s">
        <v>4275</v>
      </c>
      <c r="H1926" s="4" t="s">
        <v>26</v>
      </c>
      <c r="I1926" s="4" t="s">
        <v>69</v>
      </c>
      <c r="J1926" s="4" t="s">
        <v>27</v>
      </c>
      <c r="K1926" s="4" t="s">
        <v>28</v>
      </c>
      <c r="L1926" s="4" t="s">
        <v>28</v>
      </c>
      <c r="M1926" s="4" t="s">
        <v>34</v>
      </c>
      <c r="N1926" s="4" t="s">
        <v>28</v>
      </c>
    </row>
    <row r="1927" spans="1:14" ht="14.4" thickBot="1" x14ac:dyDescent="0.35">
      <c r="A1927" s="4" t="s">
        <v>19</v>
      </c>
      <c r="B1927" s="4" t="s">
        <v>251</v>
      </c>
      <c r="C1927" s="4" t="s">
        <v>252</v>
      </c>
      <c r="D1927" s="4" t="s">
        <v>253</v>
      </c>
      <c r="E1927" s="4" t="s">
        <v>254</v>
      </c>
      <c r="F1927" s="4" t="s">
        <v>4276</v>
      </c>
      <c r="G1927" s="4" t="s">
        <v>4277</v>
      </c>
      <c r="H1927" s="4" t="s">
        <v>26</v>
      </c>
      <c r="I1927" s="4" t="s">
        <v>26</v>
      </c>
      <c r="J1927" s="4" t="s">
        <v>27</v>
      </c>
      <c r="K1927" s="4" t="s">
        <v>28</v>
      </c>
      <c r="L1927" s="4" t="s">
        <v>28</v>
      </c>
      <c r="M1927" s="4" t="s">
        <v>29</v>
      </c>
      <c r="N1927" s="4" t="s">
        <v>28</v>
      </c>
    </row>
    <row r="1928" spans="1:14" ht="14.4" thickBot="1" x14ac:dyDescent="0.35">
      <c r="A1928" s="4" t="s">
        <v>19</v>
      </c>
      <c r="B1928" s="4" t="s">
        <v>251</v>
      </c>
      <c r="C1928" s="4" t="s">
        <v>252</v>
      </c>
      <c r="D1928" s="4" t="s">
        <v>253</v>
      </c>
      <c r="E1928" s="4" t="s">
        <v>254</v>
      </c>
      <c r="F1928" s="4" t="s">
        <v>4278</v>
      </c>
      <c r="G1928" s="4" t="s">
        <v>4279</v>
      </c>
      <c r="H1928" s="4" t="s">
        <v>158</v>
      </c>
      <c r="I1928" s="4" t="s">
        <v>94</v>
      </c>
      <c r="J1928" s="4" t="s">
        <v>27</v>
      </c>
      <c r="K1928" s="4" t="s">
        <v>28</v>
      </c>
      <c r="L1928" s="4" t="s">
        <v>28</v>
      </c>
      <c r="M1928" s="4" t="s">
        <v>29</v>
      </c>
      <c r="N1928" s="4" t="s">
        <v>28</v>
      </c>
    </row>
    <row r="1929" spans="1:14" ht="14.4" thickBot="1" x14ac:dyDescent="0.35">
      <c r="A1929" s="4" t="s">
        <v>19</v>
      </c>
      <c r="B1929" s="4" t="s">
        <v>251</v>
      </c>
      <c r="C1929" s="4" t="s">
        <v>252</v>
      </c>
      <c r="D1929" s="4" t="s">
        <v>253</v>
      </c>
      <c r="E1929" s="4" t="s">
        <v>254</v>
      </c>
      <c r="F1929" s="4" t="s">
        <v>4280</v>
      </c>
      <c r="G1929" s="4" t="s">
        <v>4281</v>
      </c>
      <c r="H1929" s="4" t="s">
        <v>26</v>
      </c>
      <c r="I1929" s="4" t="s">
        <v>116</v>
      </c>
      <c r="J1929" s="4" t="s">
        <v>27</v>
      </c>
      <c r="K1929" s="4" t="s">
        <v>28</v>
      </c>
      <c r="L1929" s="4" t="s">
        <v>28</v>
      </c>
      <c r="M1929" s="4" t="s">
        <v>29</v>
      </c>
      <c r="N1929" s="4" t="s">
        <v>28</v>
      </c>
    </row>
    <row r="1930" spans="1:14" ht="14.4" thickBot="1" x14ac:dyDescent="0.35">
      <c r="A1930" s="4" t="s">
        <v>19</v>
      </c>
      <c r="B1930" s="4" t="s">
        <v>251</v>
      </c>
      <c r="C1930" s="4" t="s">
        <v>252</v>
      </c>
      <c r="D1930" s="4" t="s">
        <v>253</v>
      </c>
      <c r="E1930" s="4" t="s">
        <v>254</v>
      </c>
      <c r="F1930" s="4" t="s">
        <v>4282</v>
      </c>
      <c r="G1930" s="4" t="s">
        <v>4283</v>
      </c>
      <c r="H1930" s="4" t="s">
        <v>26</v>
      </c>
      <c r="I1930" s="4" t="s">
        <v>26</v>
      </c>
      <c r="J1930" s="4" t="s">
        <v>27</v>
      </c>
      <c r="K1930" s="4" t="s">
        <v>28</v>
      </c>
      <c r="L1930" s="4" t="s">
        <v>28</v>
      </c>
      <c r="M1930" s="4" t="s">
        <v>29</v>
      </c>
      <c r="N1930" s="4" t="s">
        <v>28</v>
      </c>
    </row>
    <row r="1931" spans="1:14" ht="14.4" thickBot="1" x14ac:dyDescent="0.35">
      <c r="A1931" s="4" t="s">
        <v>19</v>
      </c>
      <c r="B1931" s="4" t="s">
        <v>251</v>
      </c>
      <c r="C1931" s="4" t="s">
        <v>252</v>
      </c>
      <c r="D1931" s="4" t="s">
        <v>253</v>
      </c>
      <c r="E1931" s="4" t="s">
        <v>254</v>
      </c>
      <c r="F1931" s="4" t="s">
        <v>4284</v>
      </c>
      <c r="G1931" s="4" t="s">
        <v>4285</v>
      </c>
      <c r="H1931" s="4" t="s">
        <v>26</v>
      </c>
      <c r="I1931" s="4" t="s">
        <v>26</v>
      </c>
      <c r="J1931" s="4" t="s">
        <v>27</v>
      </c>
      <c r="K1931" s="4" t="s">
        <v>28</v>
      </c>
      <c r="L1931" s="4" t="s">
        <v>28</v>
      </c>
      <c r="M1931" s="4" t="s">
        <v>29</v>
      </c>
      <c r="N1931" s="4" t="s">
        <v>28</v>
      </c>
    </row>
    <row r="1932" spans="1:14" ht="14.4" thickBot="1" x14ac:dyDescent="0.35">
      <c r="A1932" s="4" t="s">
        <v>19</v>
      </c>
      <c r="B1932" s="4" t="s">
        <v>251</v>
      </c>
      <c r="C1932" s="4" t="s">
        <v>252</v>
      </c>
      <c r="D1932" s="4" t="s">
        <v>253</v>
      </c>
      <c r="E1932" s="4" t="s">
        <v>254</v>
      </c>
      <c r="F1932" s="4" t="s">
        <v>4286</v>
      </c>
      <c r="G1932" s="4" t="s">
        <v>4287</v>
      </c>
      <c r="H1932" s="4" t="s">
        <v>1005</v>
      </c>
      <c r="I1932" s="4" t="s">
        <v>38</v>
      </c>
      <c r="J1932" s="4" t="s">
        <v>28</v>
      </c>
      <c r="K1932" s="4" t="s">
        <v>28</v>
      </c>
      <c r="L1932" s="4" t="s">
        <v>27</v>
      </c>
      <c r="M1932" s="4" t="s">
        <v>34</v>
      </c>
      <c r="N1932" s="4" t="s">
        <v>28</v>
      </c>
    </row>
    <row r="1933" spans="1:14" ht="14.4" thickBot="1" x14ac:dyDescent="0.35">
      <c r="A1933" s="4" t="s">
        <v>19</v>
      </c>
      <c r="B1933" s="4" t="s">
        <v>251</v>
      </c>
      <c r="C1933" s="4" t="s">
        <v>252</v>
      </c>
      <c r="D1933" s="4" t="s">
        <v>253</v>
      </c>
      <c r="E1933" s="4" t="s">
        <v>254</v>
      </c>
      <c r="F1933" s="4" t="s">
        <v>4288</v>
      </c>
      <c r="G1933" s="4" t="s">
        <v>4289</v>
      </c>
      <c r="H1933" s="4" t="s">
        <v>26</v>
      </c>
      <c r="I1933" s="4" t="s">
        <v>38</v>
      </c>
      <c r="J1933" s="4" t="s">
        <v>28</v>
      </c>
      <c r="K1933" s="4" t="s">
        <v>28</v>
      </c>
      <c r="L1933" s="4" t="s">
        <v>27</v>
      </c>
      <c r="M1933" s="4" t="s">
        <v>34</v>
      </c>
      <c r="N1933" s="4" t="s">
        <v>27</v>
      </c>
    </row>
    <row r="1934" spans="1:14" ht="14.4" thickBot="1" x14ac:dyDescent="0.35">
      <c r="A1934" s="4" t="s">
        <v>19</v>
      </c>
      <c r="B1934" s="4" t="s">
        <v>251</v>
      </c>
      <c r="C1934" s="4" t="s">
        <v>252</v>
      </c>
      <c r="D1934" s="4" t="s">
        <v>253</v>
      </c>
      <c r="E1934" s="4" t="s">
        <v>254</v>
      </c>
      <c r="F1934" s="4" t="s">
        <v>4290</v>
      </c>
      <c r="G1934" s="4" t="s">
        <v>4291</v>
      </c>
      <c r="H1934" s="4" t="s">
        <v>26</v>
      </c>
      <c r="I1934" s="4" t="s">
        <v>135</v>
      </c>
      <c r="J1934" s="5"/>
      <c r="K1934" s="5"/>
      <c r="L1934" s="5"/>
      <c r="M1934" s="4" t="s">
        <v>29</v>
      </c>
      <c r="N1934" s="5"/>
    </row>
    <row r="1935" spans="1:14" ht="14.4" thickBot="1" x14ac:dyDescent="0.35">
      <c r="A1935" s="4" t="s">
        <v>19</v>
      </c>
      <c r="B1935" s="4" t="s">
        <v>251</v>
      </c>
      <c r="C1935" s="4" t="s">
        <v>252</v>
      </c>
      <c r="D1935" s="4" t="s">
        <v>253</v>
      </c>
      <c r="E1935" s="4" t="s">
        <v>254</v>
      </c>
      <c r="F1935" s="4" t="s">
        <v>4292</v>
      </c>
      <c r="G1935" s="4" t="s">
        <v>4293</v>
      </c>
      <c r="H1935" s="4" t="s">
        <v>135</v>
      </c>
      <c r="I1935" s="4" t="s">
        <v>33</v>
      </c>
      <c r="J1935" s="4" t="s">
        <v>27</v>
      </c>
      <c r="K1935" s="4" t="s">
        <v>28</v>
      </c>
      <c r="L1935" s="4" t="s">
        <v>28</v>
      </c>
      <c r="M1935" s="4" t="s">
        <v>34</v>
      </c>
      <c r="N1935" s="4" t="s">
        <v>28</v>
      </c>
    </row>
    <row r="1936" spans="1:14" ht="14.4" thickBot="1" x14ac:dyDescent="0.35">
      <c r="A1936" s="4" t="s">
        <v>19</v>
      </c>
      <c r="B1936" s="4" t="s">
        <v>251</v>
      </c>
      <c r="C1936" s="4" t="s">
        <v>252</v>
      </c>
      <c r="D1936" s="4" t="s">
        <v>253</v>
      </c>
      <c r="E1936" s="4" t="s">
        <v>254</v>
      </c>
      <c r="F1936" s="4" t="s">
        <v>4294</v>
      </c>
      <c r="G1936" s="4" t="s">
        <v>4295</v>
      </c>
      <c r="H1936" s="4" t="s">
        <v>69</v>
      </c>
      <c r="I1936" s="4" t="s">
        <v>94</v>
      </c>
      <c r="J1936" s="4" t="s">
        <v>28</v>
      </c>
      <c r="K1936" s="4" t="s">
        <v>27</v>
      </c>
      <c r="L1936" s="4" t="s">
        <v>28</v>
      </c>
      <c r="M1936" s="4" t="s">
        <v>34</v>
      </c>
      <c r="N1936" s="4" t="s">
        <v>28</v>
      </c>
    </row>
    <row r="1937" spans="1:14" ht="14.4" thickBot="1" x14ac:dyDescent="0.35">
      <c r="A1937" s="4" t="s">
        <v>19</v>
      </c>
      <c r="B1937" s="4" t="s">
        <v>251</v>
      </c>
      <c r="C1937" s="4" t="s">
        <v>252</v>
      </c>
      <c r="D1937" s="4" t="s">
        <v>253</v>
      </c>
      <c r="E1937" s="4" t="s">
        <v>254</v>
      </c>
      <c r="F1937" s="4" t="s">
        <v>4296</v>
      </c>
      <c r="G1937" s="4" t="s">
        <v>4297</v>
      </c>
      <c r="H1937" s="4" t="s">
        <v>26</v>
      </c>
      <c r="I1937" s="4" t="s">
        <v>26</v>
      </c>
      <c r="J1937" s="4" t="s">
        <v>27</v>
      </c>
      <c r="K1937" s="4" t="s">
        <v>28</v>
      </c>
      <c r="L1937" s="4" t="s">
        <v>28</v>
      </c>
      <c r="M1937" s="4" t="s">
        <v>29</v>
      </c>
      <c r="N1937" s="4" t="s">
        <v>28</v>
      </c>
    </row>
    <row r="1938" spans="1:14" ht="14.4" thickBot="1" x14ac:dyDescent="0.35">
      <c r="A1938" s="4" t="s">
        <v>19</v>
      </c>
      <c r="B1938" s="4" t="s">
        <v>251</v>
      </c>
      <c r="C1938" s="4" t="s">
        <v>252</v>
      </c>
      <c r="D1938" s="4" t="s">
        <v>253</v>
      </c>
      <c r="E1938" s="4" t="s">
        <v>254</v>
      </c>
      <c r="F1938" s="4" t="s">
        <v>4298</v>
      </c>
      <c r="G1938" s="4" t="s">
        <v>4299</v>
      </c>
      <c r="H1938" s="4" t="s">
        <v>26</v>
      </c>
      <c r="I1938" s="4" t="s">
        <v>94</v>
      </c>
      <c r="J1938" s="4" t="s">
        <v>27</v>
      </c>
      <c r="K1938" s="4" t="s">
        <v>28</v>
      </c>
      <c r="L1938" s="4" t="s">
        <v>28</v>
      </c>
      <c r="M1938" s="4" t="s">
        <v>34</v>
      </c>
      <c r="N1938" s="4" t="s">
        <v>27</v>
      </c>
    </row>
    <row r="1939" spans="1:14" ht="14.4" thickBot="1" x14ac:dyDescent="0.35">
      <c r="A1939" s="4" t="s">
        <v>19</v>
      </c>
      <c r="B1939" s="4" t="s">
        <v>251</v>
      </c>
      <c r="C1939" s="4" t="s">
        <v>252</v>
      </c>
      <c r="D1939" s="4" t="s">
        <v>253</v>
      </c>
      <c r="E1939" s="4" t="s">
        <v>254</v>
      </c>
      <c r="F1939" s="4" t="s">
        <v>4300</v>
      </c>
      <c r="G1939" s="4" t="s">
        <v>4301</v>
      </c>
      <c r="H1939" s="4" t="s">
        <v>26</v>
      </c>
      <c r="I1939" s="4" t="s">
        <v>33</v>
      </c>
      <c r="J1939" s="4" t="s">
        <v>27</v>
      </c>
      <c r="K1939" s="4" t="s">
        <v>28</v>
      </c>
      <c r="L1939" s="4" t="s">
        <v>28</v>
      </c>
      <c r="M1939" s="4" t="s">
        <v>34</v>
      </c>
      <c r="N1939" s="4" t="s">
        <v>28</v>
      </c>
    </row>
    <row r="1940" spans="1:14" ht="14.4" thickBot="1" x14ac:dyDescent="0.35">
      <c r="A1940" s="4" t="s">
        <v>19</v>
      </c>
      <c r="B1940" s="4" t="s">
        <v>251</v>
      </c>
      <c r="C1940" s="4" t="s">
        <v>252</v>
      </c>
      <c r="D1940" s="4" t="s">
        <v>253</v>
      </c>
      <c r="E1940" s="4" t="s">
        <v>254</v>
      </c>
      <c r="F1940" s="4" t="s">
        <v>4302</v>
      </c>
      <c r="G1940" s="4" t="s">
        <v>3038</v>
      </c>
      <c r="H1940" s="4" t="s">
        <v>26</v>
      </c>
      <c r="I1940" s="4" t="s">
        <v>33</v>
      </c>
      <c r="J1940" s="4" t="s">
        <v>27</v>
      </c>
      <c r="K1940" s="4" t="s">
        <v>28</v>
      </c>
      <c r="L1940" s="4" t="s">
        <v>28</v>
      </c>
      <c r="M1940" s="4" t="s">
        <v>29</v>
      </c>
      <c r="N1940" s="4" t="s">
        <v>28</v>
      </c>
    </row>
    <row r="1941" spans="1:14" ht="14.4" thickBot="1" x14ac:dyDescent="0.35">
      <c r="A1941" s="4" t="s">
        <v>19</v>
      </c>
      <c r="B1941" s="4" t="s">
        <v>251</v>
      </c>
      <c r="C1941" s="4" t="s">
        <v>252</v>
      </c>
      <c r="D1941" s="4" t="s">
        <v>253</v>
      </c>
      <c r="E1941" s="4" t="s">
        <v>254</v>
      </c>
      <c r="F1941" s="4" t="s">
        <v>4303</v>
      </c>
      <c r="G1941" s="4" t="s">
        <v>4304</v>
      </c>
      <c r="H1941" s="4" t="s">
        <v>26</v>
      </c>
      <c r="I1941" s="4" t="s">
        <v>135</v>
      </c>
      <c r="J1941" s="4" t="s">
        <v>27</v>
      </c>
      <c r="K1941" s="4" t="s">
        <v>28</v>
      </c>
      <c r="L1941" s="4" t="s">
        <v>28</v>
      </c>
      <c r="M1941" s="4" t="s">
        <v>29</v>
      </c>
      <c r="N1941" s="5"/>
    </row>
    <row r="1942" spans="1:14" ht="14.4" thickBot="1" x14ac:dyDescent="0.35">
      <c r="A1942" s="4" t="s">
        <v>19</v>
      </c>
      <c r="B1942" s="4" t="s">
        <v>251</v>
      </c>
      <c r="C1942" s="4" t="s">
        <v>252</v>
      </c>
      <c r="D1942" s="4" t="s">
        <v>253</v>
      </c>
      <c r="E1942" s="4" t="s">
        <v>254</v>
      </c>
      <c r="F1942" s="4" t="s">
        <v>4305</v>
      </c>
      <c r="G1942" s="4" t="s">
        <v>4306</v>
      </c>
      <c r="H1942" s="4" t="s">
        <v>26</v>
      </c>
      <c r="I1942" s="4" t="s">
        <v>38</v>
      </c>
      <c r="J1942" s="5"/>
      <c r="K1942" s="5"/>
      <c r="L1942" s="5"/>
      <c r="M1942" s="4" t="s">
        <v>29</v>
      </c>
      <c r="N1942" s="5"/>
    </row>
    <row r="1943" spans="1:14" ht="14.4" thickBot="1" x14ac:dyDescent="0.35">
      <c r="A1943" s="4" t="s">
        <v>19</v>
      </c>
      <c r="B1943" s="4" t="s">
        <v>251</v>
      </c>
      <c r="C1943" s="4" t="s">
        <v>252</v>
      </c>
      <c r="D1943" s="4" t="s">
        <v>253</v>
      </c>
      <c r="E1943" s="4" t="s">
        <v>254</v>
      </c>
      <c r="F1943" s="4" t="s">
        <v>4307</v>
      </c>
      <c r="G1943" s="4" t="s">
        <v>4308</v>
      </c>
      <c r="H1943" s="4" t="s">
        <v>26</v>
      </c>
      <c r="I1943" s="4" t="s">
        <v>94</v>
      </c>
      <c r="J1943" s="4" t="s">
        <v>27</v>
      </c>
      <c r="K1943" s="4" t="s">
        <v>28</v>
      </c>
      <c r="L1943" s="4" t="s">
        <v>28</v>
      </c>
      <c r="M1943" s="4" t="s">
        <v>29</v>
      </c>
      <c r="N1943" s="4" t="s">
        <v>28</v>
      </c>
    </row>
    <row r="1944" spans="1:14" ht="14.4" thickBot="1" x14ac:dyDescent="0.35">
      <c r="A1944" s="4" t="s">
        <v>19</v>
      </c>
      <c r="B1944" s="4" t="s">
        <v>251</v>
      </c>
      <c r="C1944" s="4" t="s">
        <v>252</v>
      </c>
      <c r="D1944" s="4" t="s">
        <v>253</v>
      </c>
      <c r="E1944" s="4" t="s">
        <v>254</v>
      </c>
      <c r="F1944" s="4" t="s">
        <v>4309</v>
      </c>
      <c r="G1944" s="4" t="s">
        <v>4310</v>
      </c>
      <c r="H1944" s="4" t="s">
        <v>26</v>
      </c>
      <c r="I1944" s="4" t="s">
        <v>33</v>
      </c>
      <c r="J1944" s="4" t="s">
        <v>27</v>
      </c>
      <c r="K1944" s="4" t="s">
        <v>28</v>
      </c>
      <c r="L1944" s="4" t="s">
        <v>28</v>
      </c>
      <c r="M1944" s="4" t="s">
        <v>34</v>
      </c>
      <c r="N1944" s="4" t="s">
        <v>28</v>
      </c>
    </row>
    <row r="1945" spans="1:14" ht="14.4" thickBot="1" x14ac:dyDescent="0.35">
      <c r="A1945" s="4" t="s">
        <v>19</v>
      </c>
      <c r="B1945" s="4" t="s">
        <v>251</v>
      </c>
      <c r="C1945" s="4" t="s">
        <v>252</v>
      </c>
      <c r="D1945" s="4" t="s">
        <v>253</v>
      </c>
      <c r="E1945" s="4" t="s">
        <v>254</v>
      </c>
      <c r="F1945" s="4" t="s">
        <v>4311</v>
      </c>
      <c r="G1945" s="4" t="s">
        <v>4312</v>
      </c>
      <c r="H1945" s="4" t="s">
        <v>26</v>
      </c>
      <c r="I1945" s="4" t="s">
        <v>33</v>
      </c>
      <c r="J1945" s="4" t="s">
        <v>27</v>
      </c>
      <c r="K1945" s="4" t="s">
        <v>28</v>
      </c>
      <c r="L1945" s="4" t="s">
        <v>28</v>
      </c>
      <c r="M1945" s="4" t="s">
        <v>34</v>
      </c>
      <c r="N1945" s="4" t="s">
        <v>28</v>
      </c>
    </row>
    <row r="1946" spans="1:14" ht="14.4" thickBot="1" x14ac:dyDescent="0.35">
      <c r="A1946" s="4" t="s">
        <v>19</v>
      </c>
      <c r="B1946" s="4" t="s">
        <v>251</v>
      </c>
      <c r="C1946" s="4" t="s">
        <v>252</v>
      </c>
      <c r="D1946" s="4" t="s">
        <v>253</v>
      </c>
      <c r="E1946" s="4" t="s">
        <v>254</v>
      </c>
      <c r="F1946" s="4" t="s">
        <v>4313</v>
      </c>
      <c r="G1946" s="4" t="s">
        <v>4314</v>
      </c>
      <c r="H1946" s="4" t="s">
        <v>135</v>
      </c>
      <c r="I1946" s="4" t="s">
        <v>33</v>
      </c>
      <c r="J1946" s="4" t="s">
        <v>27</v>
      </c>
      <c r="K1946" s="4" t="s">
        <v>28</v>
      </c>
      <c r="L1946" s="4" t="s">
        <v>28</v>
      </c>
      <c r="M1946" s="4" t="s">
        <v>34</v>
      </c>
      <c r="N1946" s="4" t="s">
        <v>28</v>
      </c>
    </row>
    <row r="1947" spans="1:14" ht="14.4" thickBot="1" x14ac:dyDescent="0.35">
      <c r="A1947" s="4" t="s">
        <v>19</v>
      </c>
      <c r="B1947" s="4" t="s">
        <v>251</v>
      </c>
      <c r="C1947" s="4" t="s">
        <v>252</v>
      </c>
      <c r="D1947" s="4" t="s">
        <v>253</v>
      </c>
      <c r="E1947" s="4" t="s">
        <v>254</v>
      </c>
      <c r="F1947" s="4" t="s">
        <v>4315</v>
      </c>
      <c r="G1947" s="4" t="s">
        <v>4316</v>
      </c>
      <c r="H1947" s="4" t="s">
        <v>69</v>
      </c>
      <c r="I1947" s="4" t="s">
        <v>94</v>
      </c>
      <c r="J1947" s="4" t="s">
        <v>28</v>
      </c>
      <c r="K1947" s="4" t="s">
        <v>27</v>
      </c>
      <c r="L1947" s="4" t="s">
        <v>28</v>
      </c>
      <c r="M1947" s="4" t="s">
        <v>34</v>
      </c>
      <c r="N1947" s="4" t="s">
        <v>28</v>
      </c>
    </row>
    <row r="1948" spans="1:14" ht="14.4" thickBot="1" x14ac:dyDescent="0.35">
      <c r="A1948" s="4" t="s">
        <v>19</v>
      </c>
      <c r="B1948" s="4" t="s">
        <v>251</v>
      </c>
      <c r="C1948" s="4" t="s">
        <v>252</v>
      </c>
      <c r="D1948" s="4" t="s">
        <v>253</v>
      </c>
      <c r="E1948" s="4" t="s">
        <v>254</v>
      </c>
      <c r="F1948" s="4" t="s">
        <v>4317</v>
      </c>
      <c r="G1948" s="4" t="s">
        <v>4318</v>
      </c>
      <c r="H1948" s="4" t="s">
        <v>69</v>
      </c>
      <c r="I1948" s="4" t="s">
        <v>94</v>
      </c>
      <c r="J1948" s="4" t="s">
        <v>28</v>
      </c>
      <c r="K1948" s="4" t="s">
        <v>27</v>
      </c>
      <c r="L1948" s="4" t="s">
        <v>28</v>
      </c>
      <c r="M1948" s="4" t="s">
        <v>34</v>
      </c>
      <c r="N1948" s="4" t="s">
        <v>28</v>
      </c>
    </row>
    <row r="1949" spans="1:14" ht="14.4" thickBot="1" x14ac:dyDescent="0.35">
      <c r="A1949" s="4" t="s">
        <v>19</v>
      </c>
      <c r="B1949" s="4" t="s">
        <v>251</v>
      </c>
      <c r="C1949" s="4" t="s">
        <v>252</v>
      </c>
      <c r="D1949" s="4" t="s">
        <v>253</v>
      </c>
      <c r="E1949" s="4" t="s">
        <v>254</v>
      </c>
      <c r="F1949" s="4" t="s">
        <v>4319</v>
      </c>
      <c r="G1949" s="4" t="s">
        <v>4320</v>
      </c>
      <c r="H1949" s="4" t="s">
        <v>135</v>
      </c>
      <c r="I1949" s="4" t="s">
        <v>33</v>
      </c>
      <c r="J1949" s="4" t="s">
        <v>27</v>
      </c>
      <c r="K1949" s="4" t="s">
        <v>28</v>
      </c>
      <c r="L1949" s="4" t="s">
        <v>28</v>
      </c>
      <c r="M1949" s="4" t="s">
        <v>34</v>
      </c>
      <c r="N1949" s="4" t="s">
        <v>28</v>
      </c>
    </row>
    <row r="1950" spans="1:14" ht="14.4" thickBot="1" x14ac:dyDescent="0.35">
      <c r="A1950" s="4" t="s">
        <v>19</v>
      </c>
      <c r="B1950" s="4" t="s">
        <v>251</v>
      </c>
      <c r="C1950" s="4" t="s">
        <v>252</v>
      </c>
      <c r="D1950" s="4" t="s">
        <v>253</v>
      </c>
      <c r="E1950" s="4" t="s">
        <v>254</v>
      </c>
      <c r="F1950" s="4" t="s">
        <v>4321</v>
      </c>
      <c r="G1950" s="4" t="s">
        <v>4322</v>
      </c>
      <c r="H1950" s="4" t="s">
        <v>135</v>
      </c>
      <c r="I1950" s="4" t="s">
        <v>33</v>
      </c>
      <c r="J1950" s="4" t="s">
        <v>27</v>
      </c>
      <c r="K1950" s="4" t="s">
        <v>28</v>
      </c>
      <c r="L1950" s="4" t="s">
        <v>28</v>
      </c>
      <c r="M1950" s="4" t="s">
        <v>34</v>
      </c>
      <c r="N1950" s="4" t="s">
        <v>28</v>
      </c>
    </row>
    <row r="1951" spans="1:14" ht="14.4" thickBot="1" x14ac:dyDescent="0.35">
      <c r="A1951" s="4" t="s">
        <v>19</v>
      </c>
      <c r="B1951" s="4" t="s">
        <v>251</v>
      </c>
      <c r="C1951" s="4" t="s">
        <v>252</v>
      </c>
      <c r="D1951" s="4" t="s">
        <v>253</v>
      </c>
      <c r="E1951" s="4" t="s">
        <v>254</v>
      </c>
      <c r="F1951" s="4" t="s">
        <v>4935</v>
      </c>
      <c r="G1951" s="4" t="s">
        <v>4936</v>
      </c>
      <c r="H1951" s="4" t="s">
        <v>26</v>
      </c>
      <c r="I1951" s="4" t="s">
        <v>135</v>
      </c>
      <c r="J1951" s="4" t="s">
        <v>27</v>
      </c>
      <c r="K1951" s="4" t="s">
        <v>28</v>
      </c>
      <c r="L1951" s="4" t="s">
        <v>28</v>
      </c>
      <c r="M1951" s="4" t="s">
        <v>29</v>
      </c>
      <c r="N1951" s="4" t="s">
        <v>28</v>
      </c>
    </row>
    <row r="1952" spans="1:14" ht="14.4" thickBot="1" x14ac:dyDescent="0.35">
      <c r="A1952" s="4" t="s">
        <v>19</v>
      </c>
      <c r="B1952" s="4" t="s">
        <v>251</v>
      </c>
      <c r="C1952" s="4" t="s">
        <v>252</v>
      </c>
      <c r="D1952" s="4" t="s">
        <v>253</v>
      </c>
      <c r="E1952" s="4" t="s">
        <v>254</v>
      </c>
      <c r="F1952" s="4" t="s">
        <v>4937</v>
      </c>
      <c r="G1952" s="4" t="s">
        <v>4056</v>
      </c>
      <c r="H1952" s="4" t="s">
        <v>26</v>
      </c>
      <c r="I1952" s="4" t="s">
        <v>26</v>
      </c>
      <c r="J1952" s="4" t="s">
        <v>27</v>
      </c>
      <c r="K1952" s="4" t="s">
        <v>28</v>
      </c>
      <c r="L1952" s="4" t="s">
        <v>28</v>
      </c>
      <c r="M1952" s="4" t="s">
        <v>29</v>
      </c>
      <c r="N1952" s="4" t="s">
        <v>28</v>
      </c>
    </row>
    <row r="1953" spans="1:14" ht="14.4" thickBot="1" x14ac:dyDescent="0.35">
      <c r="A1953" s="4" t="s">
        <v>19</v>
      </c>
      <c r="B1953" s="4" t="s">
        <v>251</v>
      </c>
      <c r="C1953" s="4" t="s">
        <v>252</v>
      </c>
      <c r="D1953" s="4" t="s">
        <v>253</v>
      </c>
      <c r="E1953" s="4" t="s">
        <v>254</v>
      </c>
      <c r="F1953" s="4" t="s">
        <v>4938</v>
      </c>
      <c r="G1953" s="4" t="s">
        <v>4939</v>
      </c>
      <c r="H1953" s="4" t="s">
        <v>26</v>
      </c>
      <c r="I1953" s="4" t="s">
        <v>26</v>
      </c>
      <c r="J1953" s="4" t="s">
        <v>27</v>
      </c>
      <c r="K1953" s="4" t="s">
        <v>28</v>
      </c>
      <c r="L1953" s="4" t="s">
        <v>28</v>
      </c>
      <c r="M1953" s="4" t="s">
        <v>29</v>
      </c>
      <c r="N1953" s="4" t="s">
        <v>28</v>
      </c>
    </row>
    <row r="1954" spans="1:14" ht="14.4" thickBot="1" x14ac:dyDescent="0.35">
      <c r="A1954" s="4" t="s">
        <v>19</v>
      </c>
      <c r="B1954" s="4" t="s">
        <v>251</v>
      </c>
      <c r="C1954" s="4" t="s">
        <v>252</v>
      </c>
      <c r="D1954" s="4" t="s">
        <v>253</v>
      </c>
      <c r="E1954" s="4" t="s">
        <v>254</v>
      </c>
      <c r="F1954" s="4" t="s">
        <v>4940</v>
      </c>
      <c r="G1954" s="4" t="s">
        <v>4941</v>
      </c>
      <c r="H1954" s="4" t="s">
        <v>26</v>
      </c>
      <c r="I1954" s="4" t="s">
        <v>94</v>
      </c>
      <c r="J1954" s="5"/>
      <c r="K1954" s="5"/>
      <c r="L1954" s="5"/>
      <c r="M1954" s="4" t="s">
        <v>29</v>
      </c>
      <c r="N1954" s="5"/>
    </row>
    <row r="1955" spans="1:14" ht="14.4" thickBot="1" x14ac:dyDescent="0.35">
      <c r="A1955" s="4" t="s">
        <v>19</v>
      </c>
      <c r="B1955" s="4" t="s">
        <v>251</v>
      </c>
      <c r="C1955" s="4" t="s">
        <v>252</v>
      </c>
      <c r="D1955" s="4" t="s">
        <v>253</v>
      </c>
      <c r="E1955" s="4" t="s">
        <v>254</v>
      </c>
      <c r="F1955" s="4" t="s">
        <v>4942</v>
      </c>
      <c r="G1955" s="4" t="s">
        <v>4943</v>
      </c>
      <c r="H1955" s="4" t="s">
        <v>26</v>
      </c>
      <c r="I1955" s="4" t="s">
        <v>116</v>
      </c>
      <c r="J1955" s="4" t="s">
        <v>27</v>
      </c>
      <c r="K1955" s="4" t="s">
        <v>28</v>
      </c>
      <c r="L1955" s="4" t="s">
        <v>28</v>
      </c>
      <c r="M1955" s="4" t="s">
        <v>29</v>
      </c>
      <c r="N1955" s="4" t="s">
        <v>28</v>
      </c>
    </row>
    <row r="1956" spans="1:14" ht="14.4" thickBot="1" x14ac:dyDescent="0.35">
      <c r="A1956" s="4" t="s">
        <v>19</v>
      </c>
      <c r="B1956" s="4" t="s">
        <v>251</v>
      </c>
      <c r="C1956" s="4" t="s">
        <v>252</v>
      </c>
      <c r="D1956" s="4" t="s">
        <v>253</v>
      </c>
      <c r="E1956" s="4" t="s">
        <v>254</v>
      </c>
      <c r="F1956" s="4" t="s">
        <v>4944</v>
      </c>
      <c r="G1956" s="4" t="s">
        <v>4945</v>
      </c>
      <c r="H1956" s="4" t="s">
        <v>26</v>
      </c>
      <c r="I1956" s="4" t="s">
        <v>116</v>
      </c>
      <c r="J1956" s="4" t="s">
        <v>27</v>
      </c>
      <c r="K1956" s="4" t="s">
        <v>28</v>
      </c>
      <c r="L1956" s="4" t="s">
        <v>28</v>
      </c>
      <c r="M1956" s="4" t="s">
        <v>29</v>
      </c>
      <c r="N1956" s="4" t="s">
        <v>28</v>
      </c>
    </row>
    <row r="1957" spans="1:14" ht="14.4" thickBot="1" x14ac:dyDescent="0.35">
      <c r="A1957" s="4" t="s">
        <v>19</v>
      </c>
      <c r="B1957" s="4" t="s">
        <v>251</v>
      </c>
      <c r="C1957" s="4" t="s">
        <v>252</v>
      </c>
      <c r="D1957" s="4" t="s">
        <v>253</v>
      </c>
      <c r="E1957" s="4" t="s">
        <v>254</v>
      </c>
      <c r="F1957" s="4" t="s">
        <v>4946</v>
      </c>
      <c r="G1957" s="4" t="s">
        <v>4947</v>
      </c>
      <c r="H1957" s="4" t="s">
        <v>135</v>
      </c>
      <c r="I1957" s="4" t="s">
        <v>38</v>
      </c>
      <c r="J1957" s="4" t="s">
        <v>28</v>
      </c>
      <c r="K1957" s="4" t="s">
        <v>28</v>
      </c>
      <c r="L1957" s="4" t="s">
        <v>27</v>
      </c>
      <c r="M1957" s="4" t="s">
        <v>34</v>
      </c>
      <c r="N1957" s="4" t="s">
        <v>28</v>
      </c>
    </row>
    <row r="1958" spans="1:14" ht="14.4" thickBot="1" x14ac:dyDescent="0.35">
      <c r="A1958" s="4" t="s">
        <v>19</v>
      </c>
      <c r="B1958" s="4" t="s">
        <v>251</v>
      </c>
      <c r="C1958" s="4" t="s">
        <v>252</v>
      </c>
      <c r="D1958" s="4" t="s">
        <v>253</v>
      </c>
      <c r="E1958" s="4" t="s">
        <v>254</v>
      </c>
      <c r="F1958" s="4" t="s">
        <v>4948</v>
      </c>
      <c r="G1958" s="4" t="s">
        <v>4949</v>
      </c>
      <c r="H1958" s="4" t="s">
        <v>69</v>
      </c>
      <c r="I1958" s="4" t="s">
        <v>94</v>
      </c>
      <c r="J1958" s="4" t="s">
        <v>28</v>
      </c>
      <c r="K1958" s="4" t="s">
        <v>27</v>
      </c>
      <c r="L1958" s="4" t="s">
        <v>28</v>
      </c>
      <c r="M1958" s="4" t="s">
        <v>34</v>
      </c>
      <c r="N1958" s="4" t="s">
        <v>28</v>
      </c>
    </row>
    <row r="1959" spans="1:14" ht="14.4" thickBot="1" x14ac:dyDescent="0.35">
      <c r="A1959" s="4" t="s">
        <v>19</v>
      </c>
      <c r="B1959" s="4" t="s">
        <v>251</v>
      </c>
      <c r="C1959" s="4" t="s">
        <v>252</v>
      </c>
      <c r="D1959" s="4" t="s">
        <v>253</v>
      </c>
      <c r="E1959" s="4" t="s">
        <v>254</v>
      </c>
      <c r="F1959" s="4" t="s">
        <v>4950</v>
      </c>
      <c r="G1959" s="4" t="s">
        <v>4951</v>
      </c>
      <c r="H1959" s="4" t="s">
        <v>26</v>
      </c>
      <c r="I1959" s="4" t="s">
        <v>26</v>
      </c>
      <c r="J1959" s="4" t="s">
        <v>27</v>
      </c>
      <c r="K1959" s="4" t="s">
        <v>28</v>
      </c>
      <c r="L1959" s="4" t="s">
        <v>28</v>
      </c>
      <c r="M1959" s="4" t="s">
        <v>130</v>
      </c>
      <c r="N1959" s="4" t="s">
        <v>28</v>
      </c>
    </row>
    <row r="1960" spans="1:14" ht="14.4" thickBot="1" x14ac:dyDescent="0.35">
      <c r="A1960" s="4" t="s">
        <v>19</v>
      </c>
      <c r="B1960" s="4" t="s">
        <v>251</v>
      </c>
      <c r="C1960" s="4" t="s">
        <v>252</v>
      </c>
      <c r="D1960" s="4" t="s">
        <v>253</v>
      </c>
      <c r="E1960" s="4" t="s">
        <v>254</v>
      </c>
      <c r="F1960" s="4" t="s">
        <v>4952</v>
      </c>
      <c r="G1960" s="4" t="s">
        <v>4953</v>
      </c>
      <c r="H1960" s="4" t="s">
        <v>26</v>
      </c>
      <c r="I1960" s="4" t="s">
        <v>26</v>
      </c>
      <c r="J1960" s="4" t="s">
        <v>27</v>
      </c>
      <c r="K1960" s="4" t="s">
        <v>28</v>
      </c>
      <c r="L1960" s="4" t="s">
        <v>28</v>
      </c>
      <c r="M1960" s="4" t="s">
        <v>130</v>
      </c>
      <c r="N1960" s="4" t="s">
        <v>28</v>
      </c>
    </row>
    <row r="1961" spans="1:14" ht="14.4" thickBot="1" x14ac:dyDescent="0.35">
      <c r="A1961" s="4" t="s">
        <v>19</v>
      </c>
      <c r="B1961" s="4" t="s">
        <v>251</v>
      </c>
      <c r="C1961" s="4" t="s">
        <v>252</v>
      </c>
      <c r="D1961" s="4" t="s">
        <v>253</v>
      </c>
      <c r="E1961" s="4" t="s">
        <v>254</v>
      </c>
      <c r="F1961" s="4" t="s">
        <v>4954</v>
      </c>
      <c r="G1961" s="4" t="s">
        <v>4955</v>
      </c>
      <c r="H1961" s="4" t="s">
        <v>26</v>
      </c>
      <c r="I1961" s="4" t="s">
        <v>33</v>
      </c>
      <c r="J1961" s="4" t="s">
        <v>27</v>
      </c>
      <c r="K1961" s="4" t="s">
        <v>28</v>
      </c>
      <c r="L1961" s="4" t="s">
        <v>28</v>
      </c>
      <c r="M1961" s="4" t="s">
        <v>34</v>
      </c>
      <c r="N1961" s="4" t="s">
        <v>28</v>
      </c>
    </row>
    <row r="1962" spans="1:14" ht="14.4" thickBot="1" x14ac:dyDescent="0.35">
      <c r="A1962" s="4" t="s">
        <v>19</v>
      </c>
      <c r="B1962" s="4" t="s">
        <v>251</v>
      </c>
      <c r="C1962" s="4" t="s">
        <v>252</v>
      </c>
      <c r="D1962" s="4" t="s">
        <v>253</v>
      </c>
      <c r="E1962" s="4" t="s">
        <v>254</v>
      </c>
      <c r="F1962" s="4" t="s">
        <v>4956</v>
      </c>
      <c r="G1962" s="4" t="s">
        <v>4957</v>
      </c>
      <c r="H1962" s="4" t="s">
        <v>26</v>
      </c>
      <c r="I1962" s="4" t="s">
        <v>33</v>
      </c>
      <c r="J1962" s="4" t="s">
        <v>27</v>
      </c>
      <c r="K1962" s="4" t="s">
        <v>28</v>
      </c>
      <c r="L1962" s="4" t="s">
        <v>28</v>
      </c>
      <c r="M1962" s="4" t="s">
        <v>34</v>
      </c>
      <c r="N1962" s="4" t="s">
        <v>28</v>
      </c>
    </row>
    <row r="1963" spans="1:14" ht="14.4" thickBot="1" x14ac:dyDescent="0.35">
      <c r="A1963" s="4" t="s">
        <v>19</v>
      </c>
      <c r="B1963" s="4" t="s">
        <v>251</v>
      </c>
      <c r="C1963" s="4" t="s">
        <v>252</v>
      </c>
      <c r="D1963" s="4" t="s">
        <v>253</v>
      </c>
      <c r="E1963" s="4" t="s">
        <v>254</v>
      </c>
      <c r="F1963" s="4" t="s">
        <v>4958</v>
      </c>
      <c r="G1963" s="4" t="s">
        <v>4959</v>
      </c>
      <c r="H1963" s="4" t="s">
        <v>37</v>
      </c>
      <c r="I1963" s="4" t="s">
        <v>38</v>
      </c>
      <c r="J1963" s="4" t="s">
        <v>28</v>
      </c>
      <c r="K1963" s="4" t="s">
        <v>28</v>
      </c>
      <c r="L1963" s="4" t="s">
        <v>27</v>
      </c>
      <c r="M1963" s="4" t="s">
        <v>34</v>
      </c>
      <c r="N1963" s="4" t="s">
        <v>28</v>
      </c>
    </row>
    <row r="1964" spans="1:14" ht="14.4" thickBot="1" x14ac:dyDescent="0.35">
      <c r="A1964" s="4" t="s">
        <v>19</v>
      </c>
      <c r="B1964" s="4" t="s">
        <v>251</v>
      </c>
      <c r="C1964" s="4" t="s">
        <v>252</v>
      </c>
      <c r="D1964" s="4" t="s">
        <v>253</v>
      </c>
      <c r="E1964" s="4" t="s">
        <v>254</v>
      </c>
      <c r="F1964" s="4" t="s">
        <v>4960</v>
      </c>
      <c r="G1964" s="4" t="s">
        <v>4961</v>
      </c>
      <c r="H1964" s="4" t="s">
        <v>135</v>
      </c>
      <c r="I1964" s="4" t="s">
        <v>33</v>
      </c>
      <c r="J1964" s="4" t="s">
        <v>27</v>
      </c>
      <c r="K1964" s="4" t="s">
        <v>28</v>
      </c>
      <c r="L1964" s="4" t="s">
        <v>28</v>
      </c>
      <c r="M1964" s="4" t="s">
        <v>34</v>
      </c>
      <c r="N1964" s="4" t="s">
        <v>28</v>
      </c>
    </row>
    <row r="1965" spans="1:14" ht="14.4" thickBot="1" x14ac:dyDescent="0.35">
      <c r="A1965" s="4" t="s">
        <v>19</v>
      </c>
      <c r="B1965" s="4" t="s">
        <v>251</v>
      </c>
      <c r="C1965" s="4" t="s">
        <v>252</v>
      </c>
      <c r="D1965" s="4" t="s">
        <v>253</v>
      </c>
      <c r="E1965" s="4" t="s">
        <v>254</v>
      </c>
      <c r="F1965" s="4" t="s">
        <v>4962</v>
      </c>
      <c r="G1965" s="4" t="s">
        <v>4963</v>
      </c>
      <c r="H1965" s="4" t="s">
        <v>37</v>
      </c>
      <c r="I1965" s="4" t="s">
        <v>38</v>
      </c>
      <c r="J1965" s="4" t="s">
        <v>28</v>
      </c>
      <c r="K1965" s="4" t="s">
        <v>28</v>
      </c>
      <c r="L1965" s="4" t="s">
        <v>27</v>
      </c>
      <c r="M1965" s="4" t="s">
        <v>34</v>
      </c>
      <c r="N1965" s="4" t="s">
        <v>28</v>
      </c>
    </row>
    <row r="1966" spans="1:14" ht="14.4" thickBot="1" x14ac:dyDescent="0.35">
      <c r="A1966" s="4" t="s">
        <v>19</v>
      </c>
      <c r="B1966" s="4" t="s">
        <v>251</v>
      </c>
      <c r="C1966" s="4" t="s">
        <v>252</v>
      </c>
      <c r="D1966" s="4" t="s">
        <v>253</v>
      </c>
      <c r="E1966" s="4" t="s">
        <v>254</v>
      </c>
      <c r="F1966" s="4" t="s">
        <v>4964</v>
      </c>
      <c r="G1966" s="4" t="s">
        <v>4965</v>
      </c>
      <c r="H1966" s="4" t="s">
        <v>135</v>
      </c>
      <c r="I1966" s="4" t="s">
        <v>33</v>
      </c>
      <c r="J1966" s="4" t="s">
        <v>27</v>
      </c>
      <c r="K1966" s="4" t="s">
        <v>28</v>
      </c>
      <c r="L1966" s="4" t="s">
        <v>28</v>
      </c>
      <c r="M1966" s="4" t="s">
        <v>34</v>
      </c>
      <c r="N1966" s="4" t="s">
        <v>28</v>
      </c>
    </row>
    <row r="1967" spans="1:14" ht="14.4" thickBot="1" x14ac:dyDescent="0.35">
      <c r="A1967" s="4" t="s">
        <v>19</v>
      </c>
      <c r="B1967" s="4" t="s">
        <v>251</v>
      </c>
      <c r="C1967" s="4" t="s">
        <v>252</v>
      </c>
      <c r="D1967" s="4" t="s">
        <v>253</v>
      </c>
      <c r="E1967" s="4" t="s">
        <v>254</v>
      </c>
      <c r="F1967" s="4" t="s">
        <v>4966</v>
      </c>
      <c r="G1967" s="4" t="s">
        <v>4967</v>
      </c>
      <c r="H1967" s="4" t="s">
        <v>26</v>
      </c>
      <c r="I1967" s="4" t="s">
        <v>33</v>
      </c>
      <c r="J1967" s="4" t="s">
        <v>27</v>
      </c>
      <c r="K1967" s="4" t="s">
        <v>28</v>
      </c>
      <c r="L1967" s="4" t="s">
        <v>28</v>
      </c>
      <c r="M1967" s="4" t="s">
        <v>34</v>
      </c>
      <c r="N1967" s="4" t="s">
        <v>28</v>
      </c>
    </row>
    <row r="1968" spans="1:14" ht="14.4" thickBot="1" x14ac:dyDescent="0.35">
      <c r="A1968" s="4" t="s">
        <v>19</v>
      </c>
      <c r="B1968" s="4" t="s">
        <v>251</v>
      </c>
      <c r="C1968" s="4" t="s">
        <v>252</v>
      </c>
      <c r="D1968" s="4" t="s">
        <v>253</v>
      </c>
      <c r="E1968" s="4" t="s">
        <v>254</v>
      </c>
      <c r="F1968" s="4" t="s">
        <v>4968</v>
      </c>
      <c r="G1968" s="4" t="s">
        <v>4969</v>
      </c>
      <c r="H1968" s="4" t="s">
        <v>26</v>
      </c>
      <c r="I1968" s="4" t="s">
        <v>94</v>
      </c>
      <c r="J1968" s="4" t="s">
        <v>27</v>
      </c>
      <c r="K1968" s="4" t="s">
        <v>28</v>
      </c>
      <c r="L1968" s="4" t="s">
        <v>28</v>
      </c>
      <c r="M1968" s="4" t="s">
        <v>34</v>
      </c>
      <c r="N1968" s="4" t="s">
        <v>27</v>
      </c>
    </row>
    <row r="1969" spans="1:14" ht="14.4" thickBot="1" x14ac:dyDescent="0.35">
      <c r="A1969" s="4" t="s">
        <v>19</v>
      </c>
      <c r="B1969" s="4" t="s">
        <v>251</v>
      </c>
      <c r="C1969" s="4" t="s">
        <v>252</v>
      </c>
      <c r="D1969" s="4" t="s">
        <v>253</v>
      </c>
      <c r="E1969" s="4" t="s">
        <v>254</v>
      </c>
      <c r="F1969" s="4" t="s">
        <v>4970</v>
      </c>
      <c r="G1969" s="4" t="s">
        <v>4971</v>
      </c>
      <c r="H1969" s="4" t="s">
        <v>26</v>
      </c>
      <c r="I1969" s="4" t="s">
        <v>33</v>
      </c>
      <c r="J1969" s="4" t="s">
        <v>27</v>
      </c>
      <c r="K1969" s="4" t="s">
        <v>28</v>
      </c>
      <c r="L1969" s="4" t="s">
        <v>28</v>
      </c>
      <c r="M1969" s="4" t="s">
        <v>34</v>
      </c>
      <c r="N1969" s="4" t="s">
        <v>28</v>
      </c>
    </row>
    <row r="1970" spans="1:14" ht="14.4" thickBot="1" x14ac:dyDescent="0.35">
      <c r="A1970" s="4" t="s">
        <v>19</v>
      </c>
      <c r="B1970" s="4" t="s">
        <v>251</v>
      </c>
      <c r="C1970" s="4" t="s">
        <v>252</v>
      </c>
      <c r="D1970" s="4" t="s">
        <v>253</v>
      </c>
      <c r="E1970" s="4" t="s">
        <v>254</v>
      </c>
      <c r="F1970" s="4" t="s">
        <v>4972</v>
      </c>
      <c r="G1970" s="4" t="s">
        <v>4973</v>
      </c>
      <c r="H1970" s="4" t="s">
        <v>26</v>
      </c>
      <c r="I1970" s="4" t="s">
        <v>33</v>
      </c>
      <c r="J1970" s="4" t="s">
        <v>27</v>
      </c>
      <c r="K1970" s="4" t="s">
        <v>28</v>
      </c>
      <c r="L1970" s="4" t="s">
        <v>28</v>
      </c>
      <c r="M1970" s="4" t="s">
        <v>34</v>
      </c>
      <c r="N1970" s="4" t="s">
        <v>28</v>
      </c>
    </row>
    <row r="1971" spans="1:14" ht="14.4" thickBot="1" x14ac:dyDescent="0.35">
      <c r="A1971" s="4" t="s">
        <v>19</v>
      </c>
      <c r="B1971" s="4" t="s">
        <v>251</v>
      </c>
      <c r="C1971" s="4" t="s">
        <v>252</v>
      </c>
      <c r="D1971" s="4" t="s">
        <v>253</v>
      </c>
      <c r="E1971" s="4" t="s">
        <v>254</v>
      </c>
      <c r="F1971" s="4" t="s">
        <v>4974</v>
      </c>
      <c r="G1971" s="4" t="s">
        <v>4975</v>
      </c>
      <c r="H1971" s="4" t="s">
        <v>69</v>
      </c>
      <c r="I1971" s="4" t="s">
        <v>94</v>
      </c>
      <c r="J1971" s="4" t="s">
        <v>28</v>
      </c>
      <c r="K1971" s="4" t="s">
        <v>27</v>
      </c>
      <c r="L1971" s="4" t="s">
        <v>28</v>
      </c>
      <c r="M1971" s="4" t="s">
        <v>34</v>
      </c>
      <c r="N1971" s="4" t="s">
        <v>28</v>
      </c>
    </row>
    <row r="1972" spans="1:14" ht="14.4" thickBot="1" x14ac:dyDescent="0.35">
      <c r="A1972" s="4" t="s">
        <v>19</v>
      </c>
      <c r="B1972" s="4" t="s">
        <v>251</v>
      </c>
      <c r="C1972" s="4" t="s">
        <v>252</v>
      </c>
      <c r="D1972" s="4" t="s">
        <v>253</v>
      </c>
      <c r="E1972" s="4" t="s">
        <v>254</v>
      </c>
      <c r="F1972" s="4" t="s">
        <v>4976</v>
      </c>
      <c r="G1972" s="4" t="s">
        <v>4369</v>
      </c>
      <c r="H1972" s="4" t="s">
        <v>26</v>
      </c>
      <c r="I1972" s="4" t="s">
        <v>135</v>
      </c>
      <c r="J1972" s="5"/>
      <c r="K1972" s="5"/>
      <c r="L1972" s="5"/>
      <c r="M1972" s="4" t="s">
        <v>29</v>
      </c>
      <c r="N1972" s="5"/>
    </row>
    <row r="1973" spans="1:14" ht="14.4" thickBot="1" x14ac:dyDescent="0.35">
      <c r="A1973" s="4" t="s">
        <v>19</v>
      </c>
      <c r="B1973" s="4" t="s">
        <v>251</v>
      </c>
      <c r="C1973" s="4" t="s">
        <v>252</v>
      </c>
      <c r="D1973" s="4" t="s">
        <v>253</v>
      </c>
      <c r="E1973" s="4" t="s">
        <v>254</v>
      </c>
      <c r="F1973" s="4" t="s">
        <v>4977</v>
      </c>
      <c r="G1973" s="4" t="s">
        <v>4978</v>
      </c>
      <c r="H1973" s="4" t="s">
        <v>26</v>
      </c>
      <c r="I1973" s="4" t="s">
        <v>94</v>
      </c>
      <c r="J1973" s="4" t="s">
        <v>27</v>
      </c>
      <c r="K1973" s="4" t="s">
        <v>28</v>
      </c>
      <c r="L1973" s="4" t="s">
        <v>28</v>
      </c>
      <c r="M1973" s="4" t="s">
        <v>34</v>
      </c>
      <c r="N1973" s="4" t="s">
        <v>27</v>
      </c>
    </row>
    <row r="1974" spans="1:14" ht="14.4" thickBot="1" x14ac:dyDescent="0.35">
      <c r="A1974" s="4" t="s">
        <v>19</v>
      </c>
      <c r="B1974" s="4" t="s">
        <v>251</v>
      </c>
      <c r="C1974" s="4" t="s">
        <v>252</v>
      </c>
      <c r="D1974" s="4" t="s">
        <v>253</v>
      </c>
      <c r="E1974" s="4" t="s">
        <v>254</v>
      </c>
      <c r="F1974" s="4" t="s">
        <v>4979</v>
      </c>
      <c r="G1974" s="4" t="s">
        <v>4911</v>
      </c>
      <c r="H1974" s="4" t="s">
        <v>26</v>
      </c>
      <c r="I1974" s="4" t="s">
        <v>32</v>
      </c>
      <c r="J1974" s="4" t="s">
        <v>27</v>
      </c>
      <c r="K1974" s="4" t="s">
        <v>28</v>
      </c>
      <c r="L1974" s="4" t="s">
        <v>28</v>
      </c>
      <c r="M1974" s="4" t="s">
        <v>29</v>
      </c>
      <c r="N1974" s="4" t="s">
        <v>28</v>
      </c>
    </row>
    <row r="1975" spans="1:14" ht="14.4" thickBot="1" x14ac:dyDescent="0.35">
      <c r="A1975" s="4" t="s">
        <v>19</v>
      </c>
      <c r="B1975" s="4" t="s">
        <v>251</v>
      </c>
      <c r="C1975" s="4" t="s">
        <v>252</v>
      </c>
      <c r="D1975" s="4" t="s">
        <v>253</v>
      </c>
      <c r="E1975" s="4" t="s">
        <v>254</v>
      </c>
      <c r="F1975" s="4" t="s">
        <v>4980</v>
      </c>
      <c r="G1975" s="4" t="s">
        <v>4981</v>
      </c>
      <c r="H1975" s="4" t="s">
        <v>26</v>
      </c>
      <c r="I1975" s="4" t="s">
        <v>38</v>
      </c>
      <c r="J1975" s="5"/>
      <c r="K1975" s="5"/>
      <c r="L1975" s="5"/>
      <c r="M1975" s="4" t="s">
        <v>29</v>
      </c>
      <c r="N1975" s="5"/>
    </row>
    <row r="1976" spans="1:14" ht="14.4" thickBot="1" x14ac:dyDescent="0.35">
      <c r="A1976" s="4" t="s">
        <v>19</v>
      </c>
      <c r="B1976" s="4" t="s">
        <v>251</v>
      </c>
      <c r="C1976" s="4" t="s">
        <v>252</v>
      </c>
      <c r="D1976" s="4" t="s">
        <v>253</v>
      </c>
      <c r="E1976" s="4" t="s">
        <v>254</v>
      </c>
      <c r="F1976" s="4" t="s">
        <v>4982</v>
      </c>
      <c r="G1976" s="4" t="s">
        <v>4983</v>
      </c>
      <c r="H1976" s="4" t="s">
        <v>37</v>
      </c>
      <c r="I1976" s="4" t="s">
        <v>38</v>
      </c>
      <c r="J1976" s="4" t="s">
        <v>28</v>
      </c>
      <c r="K1976" s="4" t="s">
        <v>28</v>
      </c>
      <c r="L1976" s="4" t="s">
        <v>27</v>
      </c>
      <c r="M1976" s="4" t="s">
        <v>34</v>
      </c>
      <c r="N1976" s="4" t="s">
        <v>28</v>
      </c>
    </row>
    <row r="1977" spans="1:14" ht="14.4" thickBot="1" x14ac:dyDescent="0.35">
      <c r="A1977" s="4" t="s">
        <v>19</v>
      </c>
      <c r="B1977" s="4" t="s">
        <v>251</v>
      </c>
      <c r="C1977" s="4" t="s">
        <v>252</v>
      </c>
      <c r="D1977" s="4" t="s">
        <v>253</v>
      </c>
      <c r="E1977" s="4" t="s">
        <v>254</v>
      </c>
      <c r="F1977" s="4" t="s">
        <v>4984</v>
      </c>
      <c r="G1977" s="4" t="s">
        <v>4985</v>
      </c>
      <c r="H1977" s="4" t="s">
        <v>135</v>
      </c>
      <c r="I1977" s="4" t="s">
        <v>33</v>
      </c>
      <c r="J1977" s="4" t="s">
        <v>27</v>
      </c>
      <c r="K1977" s="4" t="s">
        <v>28</v>
      </c>
      <c r="L1977" s="4" t="s">
        <v>28</v>
      </c>
      <c r="M1977" s="4" t="s">
        <v>34</v>
      </c>
      <c r="N1977" s="4" t="s">
        <v>28</v>
      </c>
    </row>
    <row r="1978" spans="1:14" ht="14.4" thickBot="1" x14ac:dyDescent="0.35">
      <c r="A1978" s="4" t="s">
        <v>19</v>
      </c>
      <c r="B1978" s="4" t="s">
        <v>251</v>
      </c>
      <c r="C1978" s="4" t="s">
        <v>252</v>
      </c>
      <c r="D1978" s="4" t="s">
        <v>253</v>
      </c>
      <c r="E1978" s="4" t="s">
        <v>254</v>
      </c>
      <c r="F1978" s="4" t="s">
        <v>4986</v>
      </c>
      <c r="G1978" s="4" t="s">
        <v>4987</v>
      </c>
      <c r="H1978" s="4" t="s">
        <v>26</v>
      </c>
      <c r="I1978" s="4" t="s">
        <v>33</v>
      </c>
      <c r="J1978" s="4" t="s">
        <v>27</v>
      </c>
      <c r="K1978" s="4" t="s">
        <v>28</v>
      </c>
      <c r="L1978" s="4" t="s">
        <v>28</v>
      </c>
      <c r="M1978" s="4" t="s">
        <v>34</v>
      </c>
      <c r="N1978" s="4" t="s">
        <v>28</v>
      </c>
    </row>
    <row r="1979" spans="1:14" ht="14.4" thickBot="1" x14ac:dyDescent="0.35">
      <c r="A1979" s="4" t="s">
        <v>19</v>
      </c>
      <c r="B1979" s="4" t="s">
        <v>251</v>
      </c>
      <c r="C1979" s="4" t="s">
        <v>252</v>
      </c>
      <c r="D1979" s="4" t="s">
        <v>253</v>
      </c>
      <c r="E1979" s="4" t="s">
        <v>254</v>
      </c>
      <c r="F1979" s="4" t="s">
        <v>4988</v>
      </c>
      <c r="G1979" s="4" t="s">
        <v>4989</v>
      </c>
      <c r="H1979" s="4" t="s">
        <v>26</v>
      </c>
      <c r="I1979" s="4" t="s">
        <v>33</v>
      </c>
      <c r="J1979" s="4" t="s">
        <v>27</v>
      </c>
      <c r="K1979" s="4" t="s">
        <v>28</v>
      </c>
      <c r="L1979" s="4" t="s">
        <v>28</v>
      </c>
      <c r="M1979" s="4" t="s">
        <v>34</v>
      </c>
      <c r="N1979" s="4" t="s">
        <v>28</v>
      </c>
    </row>
    <row r="1980" spans="1:14" ht="14.4" thickBot="1" x14ac:dyDescent="0.35">
      <c r="A1980" s="4" t="s">
        <v>19</v>
      </c>
      <c r="B1980" s="4" t="s">
        <v>251</v>
      </c>
      <c r="C1980" s="4" t="s">
        <v>252</v>
      </c>
      <c r="D1980" s="4" t="s">
        <v>253</v>
      </c>
      <c r="E1980" s="4" t="s">
        <v>254</v>
      </c>
      <c r="F1980" s="4" t="s">
        <v>4990</v>
      </c>
      <c r="G1980" s="4" t="s">
        <v>4991</v>
      </c>
      <c r="H1980" s="4" t="s">
        <v>26</v>
      </c>
      <c r="I1980" s="4" t="s">
        <v>69</v>
      </c>
      <c r="J1980" s="4" t="s">
        <v>27</v>
      </c>
      <c r="K1980" s="4" t="s">
        <v>28</v>
      </c>
      <c r="L1980" s="4" t="s">
        <v>28</v>
      </c>
      <c r="M1980" s="4" t="s">
        <v>34</v>
      </c>
      <c r="N1980" s="4" t="s">
        <v>28</v>
      </c>
    </row>
    <row r="1981" spans="1:14" ht="14.4" thickBot="1" x14ac:dyDescent="0.35">
      <c r="A1981" s="4" t="s">
        <v>19</v>
      </c>
      <c r="B1981" s="4" t="s">
        <v>251</v>
      </c>
      <c r="C1981" s="4" t="s">
        <v>252</v>
      </c>
      <c r="D1981" s="4" t="s">
        <v>253</v>
      </c>
      <c r="E1981" s="4" t="s">
        <v>254</v>
      </c>
      <c r="F1981" s="4" t="s">
        <v>4992</v>
      </c>
      <c r="G1981" s="4" t="s">
        <v>4993</v>
      </c>
      <c r="H1981" s="4" t="s">
        <v>69</v>
      </c>
      <c r="I1981" s="4" t="s">
        <v>94</v>
      </c>
      <c r="J1981" s="4" t="s">
        <v>28</v>
      </c>
      <c r="K1981" s="4" t="s">
        <v>27</v>
      </c>
      <c r="L1981" s="4" t="s">
        <v>28</v>
      </c>
      <c r="M1981" s="4" t="s">
        <v>34</v>
      </c>
      <c r="N1981" s="4" t="s">
        <v>28</v>
      </c>
    </row>
    <row r="1982" spans="1:14" ht="14.4" thickBot="1" x14ac:dyDescent="0.35">
      <c r="A1982" s="4" t="s">
        <v>19</v>
      </c>
      <c r="B1982" s="4" t="s">
        <v>251</v>
      </c>
      <c r="C1982" s="4" t="s">
        <v>252</v>
      </c>
      <c r="D1982" s="4" t="s">
        <v>253</v>
      </c>
      <c r="E1982" s="4" t="s">
        <v>254</v>
      </c>
      <c r="F1982" s="4" t="s">
        <v>4994</v>
      </c>
      <c r="G1982" s="4" t="s">
        <v>4995</v>
      </c>
      <c r="H1982" s="4" t="s">
        <v>26</v>
      </c>
      <c r="I1982" s="4" t="s">
        <v>33</v>
      </c>
      <c r="J1982" s="4" t="s">
        <v>27</v>
      </c>
      <c r="K1982" s="4" t="s">
        <v>28</v>
      </c>
      <c r="L1982" s="4" t="s">
        <v>28</v>
      </c>
      <c r="M1982" s="4" t="s">
        <v>34</v>
      </c>
      <c r="N1982" s="4" t="s">
        <v>28</v>
      </c>
    </row>
    <row r="1983" spans="1:14" ht="14.4" thickBot="1" x14ac:dyDescent="0.35">
      <c r="A1983" s="4" t="s">
        <v>19</v>
      </c>
      <c r="B1983" s="4" t="s">
        <v>251</v>
      </c>
      <c r="C1983" s="4" t="s">
        <v>252</v>
      </c>
      <c r="D1983" s="4" t="s">
        <v>253</v>
      </c>
      <c r="E1983" s="4" t="s">
        <v>254</v>
      </c>
      <c r="F1983" s="4" t="s">
        <v>4996</v>
      </c>
      <c r="G1983" s="4" t="s">
        <v>4997</v>
      </c>
      <c r="H1983" s="4" t="s">
        <v>26</v>
      </c>
      <c r="I1983" s="4" t="s">
        <v>33</v>
      </c>
      <c r="J1983" s="4" t="s">
        <v>27</v>
      </c>
      <c r="K1983" s="4" t="s">
        <v>28</v>
      </c>
      <c r="L1983" s="4" t="s">
        <v>28</v>
      </c>
      <c r="M1983" s="4" t="s">
        <v>34</v>
      </c>
      <c r="N1983" s="4" t="s">
        <v>28</v>
      </c>
    </row>
    <row r="1984" spans="1:14" ht="14.4" thickBot="1" x14ac:dyDescent="0.35">
      <c r="A1984" s="4" t="s">
        <v>19</v>
      </c>
      <c r="B1984" s="4" t="s">
        <v>251</v>
      </c>
      <c r="C1984" s="4" t="s">
        <v>252</v>
      </c>
      <c r="D1984" s="4" t="s">
        <v>253</v>
      </c>
      <c r="E1984" s="4" t="s">
        <v>254</v>
      </c>
      <c r="F1984" s="4" t="s">
        <v>4998</v>
      </c>
      <c r="G1984" s="4" t="s">
        <v>4999</v>
      </c>
      <c r="H1984" s="4" t="s">
        <v>135</v>
      </c>
      <c r="I1984" s="4" t="s">
        <v>94</v>
      </c>
      <c r="J1984" s="4" t="s">
        <v>27</v>
      </c>
      <c r="K1984" s="4" t="s">
        <v>28</v>
      </c>
      <c r="L1984" s="4" t="s">
        <v>28</v>
      </c>
      <c r="M1984" s="4" t="s">
        <v>34</v>
      </c>
      <c r="N1984" s="4" t="s">
        <v>28</v>
      </c>
    </row>
    <row r="1985" spans="1:14" ht="14.4" thickBot="1" x14ac:dyDescent="0.35">
      <c r="A1985" s="4" t="s">
        <v>19</v>
      </c>
      <c r="B1985" s="4" t="s">
        <v>251</v>
      </c>
      <c r="C1985" s="4" t="s">
        <v>252</v>
      </c>
      <c r="D1985" s="4" t="s">
        <v>253</v>
      </c>
      <c r="E1985" s="4" t="s">
        <v>254</v>
      </c>
      <c r="F1985" s="4" t="s">
        <v>5000</v>
      </c>
      <c r="G1985" s="4" t="s">
        <v>5001</v>
      </c>
      <c r="H1985" s="4" t="s">
        <v>37</v>
      </c>
      <c r="I1985" s="4" t="s">
        <v>38</v>
      </c>
      <c r="J1985" s="4" t="s">
        <v>28</v>
      </c>
      <c r="K1985" s="4" t="s">
        <v>28</v>
      </c>
      <c r="L1985" s="4" t="s">
        <v>27</v>
      </c>
      <c r="M1985" s="4" t="s">
        <v>34</v>
      </c>
      <c r="N1985" s="4" t="s">
        <v>28</v>
      </c>
    </row>
    <row r="1986" spans="1:14" ht="14.4" thickBot="1" x14ac:dyDescent="0.35">
      <c r="A1986" s="4" t="s">
        <v>19</v>
      </c>
      <c r="B1986" s="4" t="s">
        <v>251</v>
      </c>
      <c r="C1986" s="4" t="s">
        <v>252</v>
      </c>
      <c r="D1986" s="4" t="s">
        <v>253</v>
      </c>
      <c r="E1986" s="4" t="s">
        <v>254</v>
      </c>
      <c r="F1986" s="4" t="s">
        <v>5002</v>
      </c>
      <c r="G1986" s="4" t="s">
        <v>5003</v>
      </c>
      <c r="H1986" s="4" t="s">
        <v>37</v>
      </c>
      <c r="I1986" s="4" t="s">
        <v>38</v>
      </c>
      <c r="J1986" s="4" t="s">
        <v>28</v>
      </c>
      <c r="K1986" s="4" t="s">
        <v>28</v>
      </c>
      <c r="L1986" s="4" t="s">
        <v>27</v>
      </c>
      <c r="M1986" s="4" t="s">
        <v>34</v>
      </c>
      <c r="N1986" s="4" t="s">
        <v>28</v>
      </c>
    </row>
    <row r="1987" spans="1:14" ht="14.4" thickBot="1" x14ac:dyDescent="0.35">
      <c r="A1987" s="4" t="s">
        <v>19</v>
      </c>
      <c r="B1987" s="4" t="s">
        <v>251</v>
      </c>
      <c r="C1987" s="4" t="s">
        <v>252</v>
      </c>
      <c r="D1987" s="4" t="s">
        <v>253</v>
      </c>
      <c r="E1987" s="4" t="s">
        <v>254</v>
      </c>
      <c r="F1987" s="4" t="s">
        <v>1117</v>
      </c>
      <c r="G1987" s="4" t="s">
        <v>5004</v>
      </c>
      <c r="H1987" s="4" t="s">
        <v>26</v>
      </c>
      <c r="I1987" s="4" t="s">
        <v>33</v>
      </c>
      <c r="J1987" s="4" t="s">
        <v>27</v>
      </c>
      <c r="K1987" s="4" t="s">
        <v>28</v>
      </c>
      <c r="L1987" s="4" t="s">
        <v>28</v>
      </c>
      <c r="M1987" s="4" t="s">
        <v>34</v>
      </c>
      <c r="N1987" s="4" t="s">
        <v>28</v>
      </c>
    </row>
    <row r="1988" spans="1:14" ht="14.4" thickBot="1" x14ac:dyDescent="0.35">
      <c r="A1988" s="4" t="s">
        <v>19</v>
      </c>
      <c r="B1988" s="4" t="s">
        <v>251</v>
      </c>
      <c r="C1988" s="4" t="s">
        <v>252</v>
      </c>
      <c r="D1988" s="4" t="s">
        <v>253</v>
      </c>
      <c r="E1988" s="4" t="s">
        <v>254</v>
      </c>
      <c r="F1988" s="4" t="s">
        <v>5005</v>
      </c>
      <c r="G1988" s="4" t="s">
        <v>5006</v>
      </c>
      <c r="H1988" s="4" t="s">
        <v>37</v>
      </c>
      <c r="I1988" s="4" t="s">
        <v>38</v>
      </c>
      <c r="J1988" s="4" t="s">
        <v>28</v>
      </c>
      <c r="K1988" s="4" t="s">
        <v>28</v>
      </c>
      <c r="L1988" s="4" t="s">
        <v>27</v>
      </c>
      <c r="M1988" s="4" t="s">
        <v>34</v>
      </c>
      <c r="N1988" s="4" t="s">
        <v>28</v>
      </c>
    </row>
    <row r="1989" spans="1:14" ht="14.4" thickBot="1" x14ac:dyDescent="0.35">
      <c r="A1989" s="4" t="s">
        <v>19</v>
      </c>
      <c r="B1989" s="4" t="s">
        <v>251</v>
      </c>
      <c r="C1989" s="4" t="s">
        <v>252</v>
      </c>
      <c r="D1989" s="4" t="s">
        <v>253</v>
      </c>
      <c r="E1989" s="4" t="s">
        <v>254</v>
      </c>
      <c r="F1989" s="4" t="s">
        <v>5651</v>
      </c>
      <c r="G1989" s="4" t="s">
        <v>5652</v>
      </c>
      <c r="H1989" s="4" t="s">
        <v>26</v>
      </c>
      <c r="I1989" s="4" t="s">
        <v>26</v>
      </c>
      <c r="J1989" s="4" t="s">
        <v>27</v>
      </c>
      <c r="K1989" s="4" t="s">
        <v>28</v>
      </c>
      <c r="L1989" s="4" t="s">
        <v>28</v>
      </c>
      <c r="M1989" s="4" t="s">
        <v>29</v>
      </c>
      <c r="N1989" s="4" t="s">
        <v>28</v>
      </c>
    </row>
    <row r="1990" spans="1:14" ht="14.4" thickBot="1" x14ac:dyDescent="0.35">
      <c r="A1990" s="4" t="s">
        <v>19</v>
      </c>
      <c r="B1990" s="4" t="s">
        <v>251</v>
      </c>
      <c r="C1990" s="4" t="s">
        <v>252</v>
      </c>
      <c r="D1990" s="4" t="s">
        <v>253</v>
      </c>
      <c r="E1990" s="4" t="s">
        <v>254</v>
      </c>
      <c r="F1990" s="4" t="s">
        <v>5653</v>
      </c>
      <c r="G1990" s="4" t="s">
        <v>5654</v>
      </c>
      <c r="H1990" s="4" t="s">
        <v>135</v>
      </c>
      <c r="I1990" s="4" t="s">
        <v>1005</v>
      </c>
      <c r="J1990" s="4" t="s">
        <v>28</v>
      </c>
      <c r="K1990" s="4" t="s">
        <v>28</v>
      </c>
      <c r="L1990" s="4" t="s">
        <v>27</v>
      </c>
      <c r="M1990" s="4" t="s">
        <v>34</v>
      </c>
      <c r="N1990" s="4" t="s">
        <v>27</v>
      </c>
    </row>
    <row r="1991" spans="1:14" ht="14.4" thickBot="1" x14ac:dyDescent="0.35">
      <c r="A1991" s="4" t="s">
        <v>19</v>
      </c>
      <c r="B1991" s="4" t="s">
        <v>251</v>
      </c>
      <c r="C1991" s="4" t="s">
        <v>252</v>
      </c>
      <c r="D1991" s="4" t="s">
        <v>253</v>
      </c>
      <c r="E1991" s="4" t="s">
        <v>254</v>
      </c>
      <c r="F1991" s="4" t="s">
        <v>5655</v>
      </c>
      <c r="G1991" s="4" t="s">
        <v>5656</v>
      </c>
      <c r="H1991" s="4" t="s">
        <v>135</v>
      </c>
      <c r="I1991" s="4" t="s">
        <v>33</v>
      </c>
      <c r="J1991" s="4" t="s">
        <v>27</v>
      </c>
      <c r="K1991" s="4" t="s">
        <v>28</v>
      </c>
      <c r="L1991" s="4" t="s">
        <v>28</v>
      </c>
      <c r="M1991" s="4" t="s">
        <v>34</v>
      </c>
      <c r="N1991" s="4" t="s">
        <v>28</v>
      </c>
    </row>
    <row r="1992" spans="1:14" ht="14.4" thickBot="1" x14ac:dyDescent="0.35">
      <c r="A1992" s="4" t="s">
        <v>19</v>
      </c>
      <c r="B1992" s="4" t="s">
        <v>251</v>
      </c>
      <c r="C1992" s="4" t="s">
        <v>252</v>
      </c>
      <c r="D1992" s="4" t="s">
        <v>253</v>
      </c>
      <c r="E1992" s="4" t="s">
        <v>254</v>
      </c>
      <c r="F1992" s="4" t="s">
        <v>5657</v>
      </c>
      <c r="G1992" s="4" t="s">
        <v>5658</v>
      </c>
      <c r="H1992" s="4" t="s">
        <v>26</v>
      </c>
      <c r="I1992" s="4" t="s">
        <v>33</v>
      </c>
      <c r="J1992" s="4" t="s">
        <v>27</v>
      </c>
      <c r="K1992" s="4" t="s">
        <v>28</v>
      </c>
      <c r="L1992" s="4" t="s">
        <v>28</v>
      </c>
      <c r="M1992" s="4" t="s">
        <v>34</v>
      </c>
      <c r="N1992" s="4" t="s">
        <v>28</v>
      </c>
    </row>
    <row r="1993" spans="1:14" ht="14.4" thickBot="1" x14ac:dyDescent="0.35">
      <c r="A1993" s="4" t="s">
        <v>19</v>
      </c>
      <c r="B1993" s="4" t="s">
        <v>251</v>
      </c>
      <c r="C1993" s="4" t="s">
        <v>252</v>
      </c>
      <c r="D1993" s="4" t="s">
        <v>253</v>
      </c>
      <c r="E1993" s="4" t="s">
        <v>254</v>
      </c>
      <c r="F1993" s="4" t="s">
        <v>5659</v>
      </c>
      <c r="G1993" s="4" t="s">
        <v>5660</v>
      </c>
      <c r="H1993" s="4" t="s">
        <v>26</v>
      </c>
      <c r="I1993" s="4" t="s">
        <v>26</v>
      </c>
      <c r="J1993" s="4" t="s">
        <v>27</v>
      </c>
      <c r="K1993" s="4" t="s">
        <v>28</v>
      </c>
      <c r="L1993" s="4" t="s">
        <v>28</v>
      </c>
      <c r="M1993" s="4" t="s">
        <v>29</v>
      </c>
      <c r="N1993" s="4" t="s">
        <v>28</v>
      </c>
    </row>
    <row r="1994" spans="1:14" ht="14.4" thickBot="1" x14ac:dyDescent="0.35">
      <c r="A1994" s="4" t="s">
        <v>19</v>
      </c>
      <c r="B1994" s="4" t="s">
        <v>251</v>
      </c>
      <c r="C1994" s="4" t="s">
        <v>252</v>
      </c>
      <c r="D1994" s="4" t="s">
        <v>253</v>
      </c>
      <c r="E1994" s="4" t="s">
        <v>254</v>
      </c>
      <c r="F1994" s="4" t="s">
        <v>5661</v>
      </c>
      <c r="G1994" s="4" t="s">
        <v>5662</v>
      </c>
      <c r="H1994" s="4" t="s">
        <v>26</v>
      </c>
      <c r="I1994" s="4" t="s">
        <v>116</v>
      </c>
      <c r="J1994" s="4" t="s">
        <v>27</v>
      </c>
      <c r="K1994" s="4" t="s">
        <v>28</v>
      </c>
      <c r="L1994" s="4" t="s">
        <v>28</v>
      </c>
      <c r="M1994" s="4" t="s">
        <v>29</v>
      </c>
      <c r="N1994" s="4" t="s">
        <v>28</v>
      </c>
    </row>
    <row r="1995" spans="1:14" ht="14.4" thickBot="1" x14ac:dyDescent="0.35">
      <c r="A1995" s="4" t="s">
        <v>19</v>
      </c>
      <c r="B1995" s="4" t="s">
        <v>251</v>
      </c>
      <c r="C1995" s="4" t="s">
        <v>252</v>
      </c>
      <c r="D1995" s="4" t="s">
        <v>253</v>
      </c>
      <c r="E1995" s="4" t="s">
        <v>254</v>
      </c>
      <c r="F1995" s="4" t="s">
        <v>5663</v>
      </c>
      <c r="G1995" s="4" t="s">
        <v>5664</v>
      </c>
      <c r="H1995" s="4" t="s">
        <v>26</v>
      </c>
      <c r="I1995" s="4" t="s">
        <v>116</v>
      </c>
      <c r="J1995" s="4" t="s">
        <v>27</v>
      </c>
      <c r="K1995" s="4" t="s">
        <v>28</v>
      </c>
      <c r="L1995" s="4" t="s">
        <v>28</v>
      </c>
      <c r="M1995" s="4" t="s">
        <v>29</v>
      </c>
      <c r="N1995" s="4" t="s">
        <v>28</v>
      </c>
    </row>
    <row r="1996" spans="1:14" ht="14.4" thickBot="1" x14ac:dyDescent="0.35">
      <c r="A1996" s="4" t="s">
        <v>19</v>
      </c>
      <c r="B1996" s="4" t="s">
        <v>251</v>
      </c>
      <c r="C1996" s="4" t="s">
        <v>252</v>
      </c>
      <c r="D1996" s="4" t="s">
        <v>253</v>
      </c>
      <c r="E1996" s="4" t="s">
        <v>254</v>
      </c>
      <c r="F1996" s="4" t="s">
        <v>5665</v>
      </c>
      <c r="G1996" s="4" t="s">
        <v>5666</v>
      </c>
      <c r="H1996" s="4" t="s">
        <v>26</v>
      </c>
      <c r="I1996" s="4" t="s">
        <v>26</v>
      </c>
      <c r="J1996" s="4" t="s">
        <v>27</v>
      </c>
      <c r="K1996" s="4" t="s">
        <v>28</v>
      </c>
      <c r="L1996" s="4" t="s">
        <v>28</v>
      </c>
      <c r="M1996" s="4" t="s">
        <v>130</v>
      </c>
      <c r="N1996" s="4" t="s">
        <v>28</v>
      </c>
    </row>
    <row r="1997" spans="1:14" ht="14.4" thickBot="1" x14ac:dyDescent="0.35">
      <c r="A1997" s="4" t="s">
        <v>19</v>
      </c>
      <c r="B1997" s="4" t="s">
        <v>251</v>
      </c>
      <c r="C1997" s="4" t="s">
        <v>252</v>
      </c>
      <c r="D1997" s="4" t="s">
        <v>253</v>
      </c>
      <c r="E1997" s="4" t="s">
        <v>254</v>
      </c>
      <c r="F1997" s="4" t="s">
        <v>5667</v>
      </c>
      <c r="G1997" s="4" t="s">
        <v>5668</v>
      </c>
      <c r="H1997" s="4" t="s">
        <v>26</v>
      </c>
      <c r="I1997" s="4" t="s">
        <v>26</v>
      </c>
      <c r="J1997" s="4" t="s">
        <v>27</v>
      </c>
      <c r="K1997" s="4" t="s">
        <v>28</v>
      </c>
      <c r="L1997" s="4" t="s">
        <v>28</v>
      </c>
      <c r="M1997" s="4" t="s">
        <v>130</v>
      </c>
      <c r="N1997" s="4" t="s">
        <v>28</v>
      </c>
    </row>
    <row r="1998" spans="1:14" ht="14.4" thickBot="1" x14ac:dyDescent="0.35">
      <c r="A1998" s="4" t="s">
        <v>19</v>
      </c>
      <c r="B1998" s="4" t="s">
        <v>251</v>
      </c>
      <c r="C1998" s="4" t="s">
        <v>252</v>
      </c>
      <c r="D1998" s="4" t="s">
        <v>253</v>
      </c>
      <c r="E1998" s="4" t="s">
        <v>254</v>
      </c>
      <c r="F1998" s="4" t="s">
        <v>5669</v>
      </c>
      <c r="G1998" s="4" t="s">
        <v>5670</v>
      </c>
      <c r="H1998" s="4" t="s">
        <v>26</v>
      </c>
      <c r="I1998" s="4" t="s">
        <v>26</v>
      </c>
      <c r="J1998" s="4" t="s">
        <v>27</v>
      </c>
      <c r="K1998" s="4" t="s">
        <v>28</v>
      </c>
      <c r="L1998" s="4" t="s">
        <v>28</v>
      </c>
      <c r="M1998" s="4" t="s">
        <v>130</v>
      </c>
      <c r="N1998" s="4" t="s">
        <v>28</v>
      </c>
    </row>
    <row r="1999" spans="1:14" ht="14.4" thickBot="1" x14ac:dyDescent="0.35">
      <c r="A1999" s="4" t="s">
        <v>19</v>
      </c>
      <c r="B1999" s="4" t="s">
        <v>251</v>
      </c>
      <c r="C1999" s="4" t="s">
        <v>252</v>
      </c>
      <c r="D1999" s="4" t="s">
        <v>253</v>
      </c>
      <c r="E1999" s="4" t="s">
        <v>254</v>
      </c>
      <c r="F1999" s="4" t="s">
        <v>5671</v>
      </c>
      <c r="G1999" s="4" t="s">
        <v>5672</v>
      </c>
      <c r="H1999" s="4" t="s">
        <v>26</v>
      </c>
      <c r="I1999" s="4" t="s">
        <v>26</v>
      </c>
      <c r="J1999" s="4" t="s">
        <v>27</v>
      </c>
      <c r="K1999" s="4" t="s">
        <v>28</v>
      </c>
      <c r="L1999" s="4" t="s">
        <v>28</v>
      </c>
      <c r="M1999" s="4" t="s">
        <v>130</v>
      </c>
      <c r="N1999" s="4" t="s">
        <v>28</v>
      </c>
    </row>
    <row r="2000" spans="1:14" ht="14.4" thickBot="1" x14ac:dyDescent="0.35">
      <c r="A2000" s="4" t="s">
        <v>19</v>
      </c>
      <c r="B2000" s="4" t="s">
        <v>251</v>
      </c>
      <c r="C2000" s="4" t="s">
        <v>252</v>
      </c>
      <c r="D2000" s="4" t="s">
        <v>253</v>
      </c>
      <c r="E2000" s="4" t="s">
        <v>254</v>
      </c>
      <c r="F2000" s="4" t="s">
        <v>5673</v>
      </c>
      <c r="G2000" s="4" t="s">
        <v>5674</v>
      </c>
      <c r="H2000" s="4" t="s">
        <v>26</v>
      </c>
      <c r="I2000" s="4" t="s">
        <v>26</v>
      </c>
      <c r="J2000" s="4" t="s">
        <v>27</v>
      </c>
      <c r="K2000" s="4" t="s">
        <v>28</v>
      </c>
      <c r="L2000" s="4" t="s">
        <v>28</v>
      </c>
      <c r="M2000" s="4" t="s">
        <v>130</v>
      </c>
      <c r="N2000" s="4" t="s">
        <v>28</v>
      </c>
    </row>
    <row r="2001" spans="1:14" ht="14.4" thickBot="1" x14ac:dyDescent="0.35">
      <c r="A2001" s="4" t="s">
        <v>19</v>
      </c>
      <c r="B2001" s="4" t="s">
        <v>251</v>
      </c>
      <c r="C2001" s="4" t="s">
        <v>252</v>
      </c>
      <c r="D2001" s="4" t="s">
        <v>253</v>
      </c>
      <c r="E2001" s="4" t="s">
        <v>254</v>
      </c>
      <c r="F2001" s="4" t="s">
        <v>5675</v>
      </c>
      <c r="G2001" s="4" t="s">
        <v>5676</v>
      </c>
      <c r="H2001" s="4" t="s">
        <v>26</v>
      </c>
      <c r="I2001" s="4" t="s">
        <v>38</v>
      </c>
      <c r="J2001" s="4" t="s">
        <v>28</v>
      </c>
      <c r="K2001" s="4" t="s">
        <v>28</v>
      </c>
      <c r="L2001" s="4" t="s">
        <v>27</v>
      </c>
      <c r="M2001" s="4" t="s">
        <v>34</v>
      </c>
      <c r="N2001" s="4" t="s">
        <v>27</v>
      </c>
    </row>
    <row r="2002" spans="1:14" ht="14.4" thickBot="1" x14ac:dyDescent="0.35">
      <c r="A2002" s="4" t="s">
        <v>19</v>
      </c>
      <c r="B2002" s="4" t="s">
        <v>251</v>
      </c>
      <c r="C2002" s="4" t="s">
        <v>252</v>
      </c>
      <c r="D2002" s="4" t="s">
        <v>253</v>
      </c>
      <c r="E2002" s="4" t="s">
        <v>254</v>
      </c>
      <c r="F2002" s="4" t="s">
        <v>5677</v>
      </c>
      <c r="G2002" s="4" t="s">
        <v>5678</v>
      </c>
      <c r="H2002" s="4" t="s">
        <v>135</v>
      </c>
      <c r="I2002" s="4" t="s">
        <v>33</v>
      </c>
      <c r="J2002" s="4" t="s">
        <v>27</v>
      </c>
      <c r="K2002" s="4" t="s">
        <v>28</v>
      </c>
      <c r="L2002" s="4" t="s">
        <v>28</v>
      </c>
      <c r="M2002" s="4" t="s">
        <v>34</v>
      </c>
      <c r="N2002" s="4" t="s">
        <v>28</v>
      </c>
    </row>
    <row r="2003" spans="1:14" ht="14.4" thickBot="1" x14ac:dyDescent="0.35">
      <c r="A2003" s="4" t="s">
        <v>19</v>
      </c>
      <c r="B2003" s="4" t="s">
        <v>251</v>
      </c>
      <c r="C2003" s="4" t="s">
        <v>252</v>
      </c>
      <c r="D2003" s="4" t="s">
        <v>253</v>
      </c>
      <c r="E2003" s="4" t="s">
        <v>254</v>
      </c>
      <c r="F2003" s="4" t="s">
        <v>5679</v>
      </c>
      <c r="G2003" s="4" t="s">
        <v>5680</v>
      </c>
      <c r="H2003" s="4" t="s">
        <v>37</v>
      </c>
      <c r="I2003" s="4" t="s">
        <v>38</v>
      </c>
      <c r="J2003" s="4" t="s">
        <v>28</v>
      </c>
      <c r="K2003" s="4" t="s">
        <v>28</v>
      </c>
      <c r="L2003" s="4" t="s">
        <v>27</v>
      </c>
      <c r="M2003" s="4" t="s">
        <v>34</v>
      </c>
      <c r="N2003" s="4" t="s">
        <v>28</v>
      </c>
    </row>
    <row r="2004" spans="1:14" ht="14.4" thickBot="1" x14ac:dyDescent="0.35">
      <c r="A2004" s="4" t="s">
        <v>19</v>
      </c>
      <c r="B2004" s="4" t="s">
        <v>251</v>
      </c>
      <c r="C2004" s="4" t="s">
        <v>252</v>
      </c>
      <c r="D2004" s="4" t="s">
        <v>253</v>
      </c>
      <c r="E2004" s="4" t="s">
        <v>254</v>
      </c>
      <c r="F2004" s="4" t="s">
        <v>5681</v>
      </c>
      <c r="G2004" s="4" t="s">
        <v>5682</v>
      </c>
      <c r="H2004" s="4" t="s">
        <v>37</v>
      </c>
      <c r="I2004" s="4" t="s">
        <v>38</v>
      </c>
      <c r="J2004" s="4" t="s">
        <v>28</v>
      </c>
      <c r="K2004" s="4" t="s">
        <v>28</v>
      </c>
      <c r="L2004" s="4" t="s">
        <v>27</v>
      </c>
      <c r="M2004" s="4" t="s">
        <v>34</v>
      </c>
      <c r="N2004" s="4" t="s">
        <v>28</v>
      </c>
    </row>
    <row r="2005" spans="1:14" ht="14.4" thickBot="1" x14ac:dyDescent="0.35">
      <c r="A2005" s="4" t="s">
        <v>19</v>
      </c>
      <c r="B2005" s="4" t="s">
        <v>251</v>
      </c>
      <c r="C2005" s="4" t="s">
        <v>252</v>
      </c>
      <c r="D2005" s="4" t="s">
        <v>253</v>
      </c>
      <c r="E2005" s="4" t="s">
        <v>254</v>
      </c>
      <c r="F2005" s="4" t="s">
        <v>5683</v>
      </c>
      <c r="G2005" s="4" t="s">
        <v>5684</v>
      </c>
      <c r="H2005" s="4" t="s">
        <v>26</v>
      </c>
      <c r="I2005" s="4" t="s">
        <v>33</v>
      </c>
      <c r="J2005" s="4" t="s">
        <v>27</v>
      </c>
      <c r="K2005" s="4" t="s">
        <v>28</v>
      </c>
      <c r="L2005" s="4" t="s">
        <v>28</v>
      </c>
      <c r="M2005" s="4" t="s">
        <v>34</v>
      </c>
      <c r="N2005" s="4" t="s">
        <v>28</v>
      </c>
    </row>
    <row r="2006" spans="1:14" ht="14.4" thickBot="1" x14ac:dyDescent="0.35">
      <c r="A2006" s="4" t="s">
        <v>19</v>
      </c>
      <c r="B2006" s="4" t="s">
        <v>251</v>
      </c>
      <c r="C2006" s="4" t="s">
        <v>252</v>
      </c>
      <c r="D2006" s="4" t="s">
        <v>253</v>
      </c>
      <c r="E2006" s="4" t="s">
        <v>254</v>
      </c>
      <c r="F2006" s="4" t="s">
        <v>5685</v>
      </c>
      <c r="G2006" s="4" t="s">
        <v>5686</v>
      </c>
      <c r="H2006" s="4" t="s">
        <v>135</v>
      </c>
      <c r="I2006" s="4" t="s">
        <v>69</v>
      </c>
      <c r="J2006" s="4" t="s">
        <v>27</v>
      </c>
      <c r="K2006" s="4" t="s">
        <v>28</v>
      </c>
      <c r="L2006" s="4" t="s">
        <v>28</v>
      </c>
      <c r="M2006" s="4" t="s">
        <v>34</v>
      </c>
      <c r="N2006" s="4" t="s">
        <v>28</v>
      </c>
    </row>
    <row r="2007" spans="1:14" ht="14.4" thickBot="1" x14ac:dyDescent="0.35">
      <c r="A2007" s="4" t="s">
        <v>19</v>
      </c>
      <c r="B2007" s="4" t="s">
        <v>251</v>
      </c>
      <c r="C2007" s="4" t="s">
        <v>252</v>
      </c>
      <c r="D2007" s="4" t="s">
        <v>253</v>
      </c>
      <c r="E2007" s="4" t="s">
        <v>254</v>
      </c>
      <c r="F2007" s="4" t="s">
        <v>5687</v>
      </c>
      <c r="G2007" s="4" t="s">
        <v>5688</v>
      </c>
      <c r="H2007" s="4" t="s">
        <v>135</v>
      </c>
      <c r="I2007" s="4" t="s">
        <v>33</v>
      </c>
      <c r="J2007" s="4" t="s">
        <v>27</v>
      </c>
      <c r="K2007" s="4" t="s">
        <v>28</v>
      </c>
      <c r="L2007" s="4" t="s">
        <v>28</v>
      </c>
      <c r="M2007" s="4" t="s">
        <v>34</v>
      </c>
      <c r="N2007" s="4" t="s">
        <v>28</v>
      </c>
    </row>
    <row r="2008" spans="1:14" ht="14.4" thickBot="1" x14ac:dyDescent="0.35">
      <c r="A2008" s="4" t="s">
        <v>19</v>
      </c>
      <c r="B2008" s="4" t="s">
        <v>251</v>
      </c>
      <c r="C2008" s="4" t="s">
        <v>252</v>
      </c>
      <c r="D2008" s="4" t="s">
        <v>253</v>
      </c>
      <c r="E2008" s="4" t="s">
        <v>254</v>
      </c>
      <c r="F2008" s="4" t="s">
        <v>5689</v>
      </c>
      <c r="G2008" s="4" t="s">
        <v>5690</v>
      </c>
      <c r="H2008" s="4" t="s">
        <v>26</v>
      </c>
      <c r="I2008" s="4" t="s">
        <v>33</v>
      </c>
      <c r="J2008" s="4" t="s">
        <v>27</v>
      </c>
      <c r="K2008" s="4" t="s">
        <v>28</v>
      </c>
      <c r="L2008" s="4" t="s">
        <v>28</v>
      </c>
      <c r="M2008" s="4" t="s">
        <v>34</v>
      </c>
      <c r="N2008" s="4" t="s">
        <v>28</v>
      </c>
    </row>
    <row r="2009" spans="1:14" ht="14.4" thickBot="1" x14ac:dyDescent="0.35">
      <c r="A2009" s="4" t="s">
        <v>19</v>
      </c>
      <c r="B2009" s="4" t="s">
        <v>251</v>
      </c>
      <c r="C2009" s="4" t="s">
        <v>252</v>
      </c>
      <c r="D2009" s="4" t="s">
        <v>253</v>
      </c>
      <c r="E2009" s="4" t="s">
        <v>254</v>
      </c>
      <c r="F2009" s="4" t="s">
        <v>5691</v>
      </c>
      <c r="G2009" s="4" t="s">
        <v>5692</v>
      </c>
      <c r="H2009" s="4" t="s">
        <v>135</v>
      </c>
      <c r="I2009" s="4" t="s">
        <v>38</v>
      </c>
      <c r="J2009" s="4" t="s">
        <v>28</v>
      </c>
      <c r="K2009" s="4" t="s">
        <v>28</v>
      </c>
      <c r="L2009" s="4" t="s">
        <v>27</v>
      </c>
      <c r="M2009" s="4" t="s">
        <v>34</v>
      </c>
      <c r="N2009" s="4" t="s">
        <v>27</v>
      </c>
    </row>
    <row r="2010" spans="1:14" ht="14.4" thickBot="1" x14ac:dyDescent="0.35">
      <c r="A2010" s="4" t="s">
        <v>19</v>
      </c>
      <c r="B2010" s="4" t="s">
        <v>251</v>
      </c>
      <c r="C2010" s="4" t="s">
        <v>252</v>
      </c>
      <c r="D2010" s="4" t="s">
        <v>253</v>
      </c>
      <c r="E2010" s="4" t="s">
        <v>254</v>
      </c>
      <c r="F2010" s="4" t="s">
        <v>5693</v>
      </c>
      <c r="G2010" s="4" t="s">
        <v>5694</v>
      </c>
      <c r="H2010" s="4" t="s">
        <v>26</v>
      </c>
      <c r="I2010" s="4" t="s">
        <v>26</v>
      </c>
      <c r="J2010" s="4" t="s">
        <v>27</v>
      </c>
      <c r="K2010" s="4" t="s">
        <v>28</v>
      </c>
      <c r="L2010" s="4" t="s">
        <v>28</v>
      </c>
      <c r="M2010" s="4" t="s">
        <v>34</v>
      </c>
      <c r="N2010" s="4" t="s">
        <v>28</v>
      </c>
    </row>
    <row r="2011" spans="1:14" ht="14.4" thickBot="1" x14ac:dyDescent="0.35">
      <c r="A2011" s="4" t="s">
        <v>19</v>
      </c>
      <c r="B2011" s="4" t="s">
        <v>251</v>
      </c>
      <c r="C2011" s="4" t="s">
        <v>252</v>
      </c>
      <c r="D2011" s="4" t="s">
        <v>253</v>
      </c>
      <c r="E2011" s="4" t="s">
        <v>254</v>
      </c>
      <c r="F2011" s="4" t="s">
        <v>5695</v>
      </c>
      <c r="G2011" s="4" t="s">
        <v>5696</v>
      </c>
      <c r="H2011" s="4" t="s">
        <v>69</v>
      </c>
      <c r="I2011" s="4" t="s">
        <v>38</v>
      </c>
      <c r="J2011" s="4" t="s">
        <v>28</v>
      </c>
      <c r="K2011" s="4" t="s">
        <v>28</v>
      </c>
      <c r="L2011" s="4" t="s">
        <v>27</v>
      </c>
      <c r="M2011" s="4" t="s">
        <v>34</v>
      </c>
      <c r="N2011" s="4" t="s">
        <v>28</v>
      </c>
    </row>
    <row r="2012" spans="1:14" ht="14.4" thickBot="1" x14ac:dyDescent="0.35">
      <c r="A2012" s="4" t="s">
        <v>19</v>
      </c>
      <c r="B2012" s="4" t="s">
        <v>251</v>
      </c>
      <c r="C2012" s="4" t="s">
        <v>252</v>
      </c>
      <c r="D2012" s="4" t="s">
        <v>253</v>
      </c>
      <c r="E2012" s="4" t="s">
        <v>254</v>
      </c>
      <c r="F2012" s="4" t="s">
        <v>5697</v>
      </c>
      <c r="G2012" s="4" t="s">
        <v>5698</v>
      </c>
      <c r="H2012" s="4" t="s">
        <v>37</v>
      </c>
      <c r="I2012" s="4" t="s">
        <v>38</v>
      </c>
      <c r="J2012" s="4" t="s">
        <v>28</v>
      </c>
      <c r="K2012" s="4" t="s">
        <v>28</v>
      </c>
      <c r="L2012" s="4" t="s">
        <v>27</v>
      </c>
      <c r="M2012" s="4" t="s">
        <v>34</v>
      </c>
      <c r="N2012" s="4" t="s">
        <v>28</v>
      </c>
    </row>
    <row r="2013" spans="1:14" ht="14.4" thickBot="1" x14ac:dyDescent="0.35">
      <c r="A2013" s="4" t="s">
        <v>19</v>
      </c>
      <c r="B2013" s="4" t="s">
        <v>251</v>
      </c>
      <c r="C2013" s="4" t="s">
        <v>252</v>
      </c>
      <c r="D2013" s="4" t="s">
        <v>253</v>
      </c>
      <c r="E2013" s="4" t="s">
        <v>254</v>
      </c>
      <c r="F2013" s="4" t="s">
        <v>5699</v>
      </c>
      <c r="G2013" s="4" t="s">
        <v>5700</v>
      </c>
      <c r="H2013" s="4" t="s">
        <v>33</v>
      </c>
      <c r="I2013" s="4" t="s">
        <v>94</v>
      </c>
      <c r="J2013" s="4" t="s">
        <v>28</v>
      </c>
      <c r="K2013" s="4" t="s">
        <v>27</v>
      </c>
      <c r="L2013" s="4" t="s">
        <v>28</v>
      </c>
      <c r="M2013" s="4" t="s">
        <v>34</v>
      </c>
      <c r="N2013" s="4" t="s">
        <v>28</v>
      </c>
    </row>
    <row r="2014" spans="1:14" ht="14.4" thickBot="1" x14ac:dyDescent="0.35">
      <c r="A2014" s="4" t="s">
        <v>19</v>
      </c>
      <c r="B2014" s="4" t="s">
        <v>251</v>
      </c>
      <c r="C2014" s="4" t="s">
        <v>252</v>
      </c>
      <c r="D2014" s="4" t="s">
        <v>253</v>
      </c>
      <c r="E2014" s="4" t="s">
        <v>254</v>
      </c>
      <c r="F2014" s="4" t="s">
        <v>5701</v>
      </c>
      <c r="G2014" s="4" t="s">
        <v>5702</v>
      </c>
      <c r="H2014" s="4" t="s">
        <v>122</v>
      </c>
      <c r="I2014" s="4" t="s">
        <v>38</v>
      </c>
      <c r="J2014" s="4" t="s">
        <v>28</v>
      </c>
      <c r="K2014" s="4" t="s">
        <v>28</v>
      </c>
      <c r="L2014" s="4" t="s">
        <v>27</v>
      </c>
      <c r="M2014" s="4" t="s">
        <v>34</v>
      </c>
      <c r="N2014" s="4" t="s">
        <v>28</v>
      </c>
    </row>
    <row r="2015" spans="1:14" ht="14.4" thickBot="1" x14ac:dyDescent="0.35">
      <c r="A2015" s="4" t="s">
        <v>19</v>
      </c>
      <c r="B2015" s="4" t="s">
        <v>322</v>
      </c>
      <c r="C2015" s="4" t="s">
        <v>323</v>
      </c>
      <c r="D2015" s="4" t="s">
        <v>324</v>
      </c>
      <c r="E2015" s="4" t="s">
        <v>48</v>
      </c>
      <c r="F2015" s="4" t="s">
        <v>325</v>
      </c>
      <c r="G2015" s="4" t="s">
        <v>326</v>
      </c>
      <c r="H2015" s="4" t="s">
        <v>37</v>
      </c>
      <c r="I2015" s="4" t="s">
        <v>38</v>
      </c>
      <c r="J2015" s="4" t="s">
        <v>28</v>
      </c>
      <c r="K2015" s="4" t="s">
        <v>28</v>
      </c>
      <c r="L2015" s="4" t="s">
        <v>27</v>
      </c>
      <c r="M2015" s="4" t="s">
        <v>34</v>
      </c>
      <c r="N2015" s="4" t="s">
        <v>28</v>
      </c>
    </row>
    <row r="2016" spans="1:14" ht="14.4" thickBot="1" x14ac:dyDescent="0.35">
      <c r="A2016" s="4" t="s">
        <v>19</v>
      </c>
      <c r="B2016" s="4" t="s">
        <v>322</v>
      </c>
      <c r="C2016" s="4" t="s">
        <v>323</v>
      </c>
      <c r="D2016" s="4" t="s">
        <v>324</v>
      </c>
      <c r="E2016" s="4" t="s">
        <v>48</v>
      </c>
      <c r="F2016" s="4" t="s">
        <v>2067</v>
      </c>
      <c r="G2016" s="4" t="s">
        <v>2068</v>
      </c>
      <c r="H2016" s="4" t="s">
        <v>26</v>
      </c>
      <c r="I2016" s="4" t="s">
        <v>33</v>
      </c>
      <c r="J2016" s="4" t="s">
        <v>27</v>
      </c>
      <c r="K2016" s="4" t="s">
        <v>28</v>
      </c>
      <c r="L2016" s="4" t="s">
        <v>28</v>
      </c>
      <c r="M2016" s="4" t="s">
        <v>34</v>
      </c>
      <c r="N2016" s="4" t="s">
        <v>28</v>
      </c>
    </row>
    <row r="2017" spans="1:14" ht="14.4" thickBot="1" x14ac:dyDescent="0.35">
      <c r="A2017" s="4" t="s">
        <v>19</v>
      </c>
      <c r="B2017" s="4" t="s">
        <v>322</v>
      </c>
      <c r="C2017" s="4" t="s">
        <v>323</v>
      </c>
      <c r="D2017" s="4" t="s">
        <v>324</v>
      </c>
      <c r="E2017" s="4" t="s">
        <v>48</v>
      </c>
      <c r="F2017" s="4" t="s">
        <v>2763</v>
      </c>
      <c r="G2017" s="4" t="s">
        <v>2764</v>
      </c>
      <c r="H2017" s="4" t="s">
        <v>69</v>
      </c>
      <c r="I2017" s="4" t="s">
        <v>94</v>
      </c>
      <c r="J2017" s="4" t="s">
        <v>28</v>
      </c>
      <c r="K2017" s="4" t="s">
        <v>27</v>
      </c>
      <c r="L2017" s="4" t="s">
        <v>28</v>
      </c>
      <c r="M2017" s="4" t="s">
        <v>34</v>
      </c>
      <c r="N2017" s="4" t="s">
        <v>28</v>
      </c>
    </row>
    <row r="2018" spans="1:14" ht="14.4" thickBot="1" x14ac:dyDescent="0.35">
      <c r="A2018" s="4" t="s">
        <v>19</v>
      </c>
      <c r="B2018" s="4" t="s">
        <v>322</v>
      </c>
      <c r="C2018" s="4" t="s">
        <v>3521</v>
      </c>
      <c r="D2018" s="4" t="s">
        <v>3522</v>
      </c>
      <c r="E2018" s="4" t="s">
        <v>48</v>
      </c>
      <c r="F2018" s="4" t="s">
        <v>3523</v>
      </c>
      <c r="G2018" s="4" t="s">
        <v>3524</v>
      </c>
      <c r="H2018" s="4" t="s">
        <v>26</v>
      </c>
      <c r="I2018" s="4" t="s">
        <v>33</v>
      </c>
      <c r="J2018" s="4" t="s">
        <v>27</v>
      </c>
      <c r="K2018" s="4" t="s">
        <v>28</v>
      </c>
      <c r="L2018" s="4" t="s">
        <v>28</v>
      </c>
      <c r="M2018" s="4" t="s">
        <v>34</v>
      </c>
      <c r="N2018" s="4" t="s">
        <v>28</v>
      </c>
    </row>
    <row r="2019" spans="1:14" ht="14.4" thickBot="1" x14ac:dyDescent="0.35">
      <c r="A2019" s="4" t="s">
        <v>19</v>
      </c>
      <c r="B2019" s="4" t="s">
        <v>322</v>
      </c>
      <c r="C2019" s="4" t="s">
        <v>3521</v>
      </c>
      <c r="D2019" s="4" t="s">
        <v>3522</v>
      </c>
      <c r="E2019" s="4" t="s">
        <v>48</v>
      </c>
      <c r="F2019" s="4" t="s">
        <v>4323</v>
      </c>
      <c r="G2019" s="4" t="s">
        <v>4324</v>
      </c>
      <c r="H2019" s="4" t="s">
        <v>69</v>
      </c>
      <c r="I2019" s="4" t="s">
        <v>38</v>
      </c>
      <c r="J2019" s="4" t="s">
        <v>28</v>
      </c>
      <c r="K2019" s="4" t="s">
        <v>28</v>
      </c>
      <c r="L2019" s="4" t="s">
        <v>27</v>
      </c>
      <c r="M2019" s="4" t="s">
        <v>34</v>
      </c>
      <c r="N2019" s="4" t="s">
        <v>28</v>
      </c>
    </row>
    <row r="2020" spans="1:14" ht="14.4" thickBot="1" x14ac:dyDescent="0.35">
      <c r="A2020" s="4" t="s">
        <v>19</v>
      </c>
      <c r="B2020" s="4" t="s">
        <v>327</v>
      </c>
      <c r="C2020" s="4" t="s">
        <v>4217</v>
      </c>
      <c r="D2020" s="4" t="s">
        <v>5703</v>
      </c>
      <c r="E2020" s="4" t="s">
        <v>48</v>
      </c>
      <c r="F2020" s="4" t="s">
        <v>5704</v>
      </c>
      <c r="G2020" s="4" t="s">
        <v>5705</v>
      </c>
      <c r="H2020" s="4" t="s">
        <v>26</v>
      </c>
      <c r="I2020" s="4" t="s">
        <v>38</v>
      </c>
      <c r="J2020" s="4" t="s">
        <v>28</v>
      </c>
      <c r="K2020" s="4" t="s">
        <v>28</v>
      </c>
      <c r="L2020" s="4" t="s">
        <v>27</v>
      </c>
      <c r="M2020" s="4" t="s">
        <v>34</v>
      </c>
      <c r="N2020" s="4" t="s">
        <v>28</v>
      </c>
    </row>
    <row r="2021" spans="1:14" ht="14.4" thickBot="1" x14ac:dyDescent="0.35">
      <c r="A2021" s="4" t="s">
        <v>19</v>
      </c>
      <c r="B2021" s="4" t="s">
        <v>327</v>
      </c>
      <c r="C2021" s="4" t="s">
        <v>2765</v>
      </c>
      <c r="D2021" s="4" t="s">
        <v>2766</v>
      </c>
      <c r="E2021" s="4" t="s">
        <v>48</v>
      </c>
      <c r="F2021" s="4" t="s">
        <v>2767</v>
      </c>
      <c r="G2021" s="4" t="s">
        <v>2768</v>
      </c>
      <c r="H2021" s="4" t="s">
        <v>26</v>
      </c>
      <c r="I2021" s="4" t="s">
        <v>38</v>
      </c>
      <c r="J2021" s="4" t="s">
        <v>28</v>
      </c>
      <c r="K2021" s="4" t="s">
        <v>28</v>
      </c>
      <c r="L2021" s="4" t="s">
        <v>27</v>
      </c>
      <c r="M2021" s="4" t="s">
        <v>34</v>
      </c>
      <c r="N2021" s="4" t="s">
        <v>28</v>
      </c>
    </row>
    <row r="2022" spans="1:14" ht="14.4" thickBot="1" x14ac:dyDescent="0.35">
      <c r="A2022" s="4" t="s">
        <v>19</v>
      </c>
      <c r="B2022" s="4" t="s">
        <v>327</v>
      </c>
      <c r="C2022" s="4" t="s">
        <v>827</v>
      </c>
      <c r="D2022" s="4" t="s">
        <v>828</v>
      </c>
      <c r="E2022" s="4" t="s">
        <v>48</v>
      </c>
      <c r="F2022" s="4" t="s">
        <v>829</v>
      </c>
      <c r="G2022" s="4" t="s">
        <v>830</v>
      </c>
      <c r="H2022" s="4" t="s">
        <v>37</v>
      </c>
      <c r="I2022" s="4" t="s">
        <v>38</v>
      </c>
      <c r="J2022" s="4" t="s">
        <v>28</v>
      </c>
      <c r="K2022" s="4" t="s">
        <v>28</v>
      </c>
      <c r="L2022" s="4" t="s">
        <v>27</v>
      </c>
      <c r="M2022" s="4" t="s">
        <v>34</v>
      </c>
      <c r="N2022" s="4" t="s">
        <v>28</v>
      </c>
    </row>
    <row r="2023" spans="1:14" ht="14.4" thickBot="1" x14ac:dyDescent="0.35">
      <c r="A2023" s="4" t="s">
        <v>19</v>
      </c>
      <c r="B2023" s="4" t="s">
        <v>327</v>
      </c>
      <c r="C2023" s="4" t="s">
        <v>827</v>
      </c>
      <c r="D2023" s="4" t="s">
        <v>828</v>
      </c>
      <c r="E2023" s="4" t="s">
        <v>48</v>
      </c>
      <c r="F2023" s="4" t="s">
        <v>3982</v>
      </c>
      <c r="G2023" s="4" t="s">
        <v>1577</v>
      </c>
      <c r="H2023" s="4" t="s">
        <v>26</v>
      </c>
      <c r="I2023" s="4" t="s">
        <v>33</v>
      </c>
      <c r="J2023" s="4" t="s">
        <v>27</v>
      </c>
      <c r="K2023" s="4" t="s">
        <v>28</v>
      </c>
      <c r="L2023" s="4" t="s">
        <v>28</v>
      </c>
      <c r="M2023" s="4" t="s">
        <v>34</v>
      </c>
      <c r="N2023" s="4" t="s">
        <v>28</v>
      </c>
    </row>
    <row r="2024" spans="1:14" ht="14.4" thickBot="1" x14ac:dyDescent="0.35">
      <c r="A2024" s="4" t="s">
        <v>19</v>
      </c>
      <c r="B2024" s="4" t="s">
        <v>327</v>
      </c>
      <c r="C2024" s="4" t="s">
        <v>827</v>
      </c>
      <c r="D2024" s="4" t="s">
        <v>828</v>
      </c>
      <c r="E2024" s="4" t="s">
        <v>48</v>
      </c>
      <c r="F2024" s="4" t="s">
        <v>4673</v>
      </c>
      <c r="G2024" s="4" t="s">
        <v>4674</v>
      </c>
      <c r="H2024" s="4" t="s">
        <v>69</v>
      </c>
      <c r="I2024" s="4" t="s">
        <v>94</v>
      </c>
      <c r="J2024" s="4" t="s">
        <v>28</v>
      </c>
      <c r="K2024" s="4" t="s">
        <v>27</v>
      </c>
      <c r="L2024" s="4" t="s">
        <v>28</v>
      </c>
      <c r="M2024" s="4" t="s">
        <v>34</v>
      </c>
      <c r="N2024" s="4" t="s">
        <v>28</v>
      </c>
    </row>
    <row r="2025" spans="1:14" ht="14.4" thickBot="1" x14ac:dyDescent="0.35">
      <c r="A2025" s="4" t="s">
        <v>19</v>
      </c>
      <c r="B2025" s="4" t="s">
        <v>327</v>
      </c>
      <c r="C2025" s="4" t="s">
        <v>2069</v>
      </c>
      <c r="D2025" s="4" t="s">
        <v>2070</v>
      </c>
      <c r="E2025" s="4" t="s">
        <v>48</v>
      </c>
      <c r="F2025" s="4" t="s">
        <v>2071</v>
      </c>
      <c r="G2025" s="4" t="s">
        <v>2072</v>
      </c>
      <c r="H2025" s="4" t="s">
        <v>26</v>
      </c>
      <c r="I2025" s="4" t="s">
        <v>38</v>
      </c>
      <c r="J2025" s="4" t="s">
        <v>28</v>
      </c>
      <c r="K2025" s="4" t="s">
        <v>28</v>
      </c>
      <c r="L2025" s="4" t="s">
        <v>27</v>
      </c>
      <c r="M2025" s="4" t="s">
        <v>34</v>
      </c>
      <c r="N2025" s="4" t="s">
        <v>28</v>
      </c>
    </row>
    <row r="2026" spans="1:14" ht="14.4" thickBot="1" x14ac:dyDescent="0.35">
      <c r="A2026" s="4" t="s">
        <v>19</v>
      </c>
      <c r="B2026" s="4" t="s">
        <v>327</v>
      </c>
      <c r="C2026" s="4" t="s">
        <v>328</v>
      </c>
      <c r="D2026" s="4" t="s">
        <v>329</v>
      </c>
      <c r="E2026" s="4" t="s">
        <v>23</v>
      </c>
      <c r="F2026" s="4" t="s">
        <v>330</v>
      </c>
      <c r="G2026" s="4" t="s">
        <v>331</v>
      </c>
      <c r="H2026" s="4" t="s">
        <v>135</v>
      </c>
      <c r="I2026" s="4" t="s">
        <v>38</v>
      </c>
      <c r="J2026" s="4" t="s">
        <v>28</v>
      </c>
      <c r="K2026" s="4" t="s">
        <v>28</v>
      </c>
      <c r="L2026" s="4" t="s">
        <v>27</v>
      </c>
      <c r="M2026" s="4" t="s">
        <v>29</v>
      </c>
      <c r="N2026" s="4" t="s">
        <v>28</v>
      </c>
    </row>
    <row r="2027" spans="1:14" ht="14.4" thickBot="1" x14ac:dyDescent="0.35">
      <c r="A2027" s="4" t="s">
        <v>19</v>
      </c>
      <c r="B2027" s="4" t="s">
        <v>327</v>
      </c>
      <c r="C2027" s="4" t="s">
        <v>328</v>
      </c>
      <c r="D2027" s="4" t="s">
        <v>329</v>
      </c>
      <c r="E2027" s="4" t="s">
        <v>23</v>
      </c>
      <c r="F2027" s="4" t="s">
        <v>332</v>
      </c>
      <c r="G2027" s="4" t="s">
        <v>333</v>
      </c>
      <c r="H2027" s="4" t="s">
        <v>37</v>
      </c>
      <c r="I2027" s="4" t="s">
        <v>38</v>
      </c>
      <c r="J2027" s="4" t="s">
        <v>28</v>
      </c>
      <c r="K2027" s="4" t="s">
        <v>28</v>
      </c>
      <c r="L2027" s="4" t="s">
        <v>27</v>
      </c>
      <c r="M2027" s="4" t="s">
        <v>34</v>
      </c>
      <c r="N2027" s="4" t="s">
        <v>28</v>
      </c>
    </row>
    <row r="2028" spans="1:14" ht="14.4" thickBot="1" x14ac:dyDescent="0.35">
      <c r="A2028" s="4" t="s">
        <v>19</v>
      </c>
      <c r="B2028" s="4" t="s">
        <v>327</v>
      </c>
      <c r="C2028" s="4" t="s">
        <v>328</v>
      </c>
      <c r="D2028" s="4" t="s">
        <v>329</v>
      </c>
      <c r="E2028" s="4" t="s">
        <v>23</v>
      </c>
      <c r="F2028" s="4" t="s">
        <v>1273</v>
      </c>
      <c r="G2028" s="4" t="s">
        <v>1274</v>
      </c>
      <c r="H2028" s="4" t="s">
        <v>135</v>
      </c>
      <c r="I2028" s="4" t="s">
        <v>38</v>
      </c>
      <c r="J2028" s="4" t="s">
        <v>28</v>
      </c>
      <c r="K2028" s="4" t="s">
        <v>28</v>
      </c>
      <c r="L2028" s="4" t="s">
        <v>27</v>
      </c>
      <c r="M2028" s="4" t="s">
        <v>29</v>
      </c>
      <c r="N2028" s="4" t="s">
        <v>28</v>
      </c>
    </row>
    <row r="2029" spans="1:14" ht="14.4" thickBot="1" x14ac:dyDescent="0.35">
      <c r="A2029" s="4" t="s">
        <v>19</v>
      </c>
      <c r="B2029" s="4" t="s">
        <v>327</v>
      </c>
      <c r="C2029" s="4" t="s">
        <v>328</v>
      </c>
      <c r="D2029" s="4" t="s">
        <v>329</v>
      </c>
      <c r="E2029" s="4" t="s">
        <v>23</v>
      </c>
      <c r="F2029" s="4" t="s">
        <v>1484</v>
      </c>
      <c r="G2029" s="4" t="s">
        <v>2073</v>
      </c>
      <c r="H2029" s="4" t="s">
        <v>33</v>
      </c>
      <c r="I2029" s="4" t="s">
        <v>94</v>
      </c>
      <c r="J2029" s="4" t="s">
        <v>28</v>
      </c>
      <c r="K2029" s="4" t="s">
        <v>27</v>
      </c>
      <c r="L2029" s="4" t="s">
        <v>28</v>
      </c>
      <c r="M2029" s="4" t="s">
        <v>34</v>
      </c>
      <c r="N2029" s="4" t="s">
        <v>28</v>
      </c>
    </row>
    <row r="2030" spans="1:14" ht="14.4" thickBot="1" x14ac:dyDescent="0.35">
      <c r="A2030" s="4" t="s">
        <v>19</v>
      </c>
      <c r="B2030" s="4" t="s">
        <v>327</v>
      </c>
      <c r="C2030" s="4" t="s">
        <v>328</v>
      </c>
      <c r="D2030" s="4" t="s">
        <v>329</v>
      </c>
      <c r="E2030" s="4" t="s">
        <v>23</v>
      </c>
      <c r="F2030" s="4" t="s">
        <v>4325</v>
      </c>
      <c r="G2030" s="4" t="s">
        <v>4326</v>
      </c>
      <c r="H2030" s="4" t="s">
        <v>26</v>
      </c>
      <c r="I2030" s="4" t="s">
        <v>454</v>
      </c>
      <c r="J2030" s="4" t="s">
        <v>27</v>
      </c>
      <c r="K2030" s="4" t="s">
        <v>28</v>
      </c>
      <c r="L2030" s="4" t="s">
        <v>28</v>
      </c>
      <c r="M2030" s="4" t="s">
        <v>34</v>
      </c>
      <c r="N2030" s="4" t="s">
        <v>28</v>
      </c>
    </row>
    <row r="2031" spans="1:14" ht="14.4" thickBot="1" x14ac:dyDescent="0.35">
      <c r="A2031" s="4" t="s">
        <v>19</v>
      </c>
      <c r="B2031" s="4" t="s">
        <v>334</v>
      </c>
      <c r="C2031" s="4" t="s">
        <v>335</v>
      </c>
      <c r="D2031" s="4" t="s">
        <v>336</v>
      </c>
      <c r="E2031" s="4" t="s">
        <v>23</v>
      </c>
      <c r="F2031" s="4" t="s">
        <v>337</v>
      </c>
      <c r="G2031" s="4" t="s">
        <v>338</v>
      </c>
      <c r="H2031" s="4" t="s">
        <v>116</v>
      </c>
      <c r="I2031" s="4" t="s">
        <v>61</v>
      </c>
      <c r="J2031" s="4" t="s">
        <v>27</v>
      </c>
      <c r="K2031" s="4" t="s">
        <v>28</v>
      </c>
      <c r="L2031" s="4" t="s">
        <v>28</v>
      </c>
      <c r="M2031" s="4" t="s">
        <v>34</v>
      </c>
      <c r="N2031" s="4" t="s">
        <v>28</v>
      </c>
    </row>
    <row r="2032" spans="1:14" ht="14.4" thickBot="1" x14ac:dyDescent="0.35">
      <c r="A2032" s="4" t="s">
        <v>19</v>
      </c>
      <c r="B2032" s="4" t="s">
        <v>334</v>
      </c>
      <c r="C2032" s="4" t="s">
        <v>335</v>
      </c>
      <c r="D2032" s="4" t="s">
        <v>336</v>
      </c>
      <c r="E2032" s="4" t="s">
        <v>23</v>
      </c>
      <c r="F2032" s="4" t="s">
        <v>1275</v>
      </c>
      <c r="G2032" s="4" t="s">
        <v>1276</v>
      </c>
      <c r="H2032" s="4" t="s">
        <v>1005</v>
      </c>
      <c r="I2032" s="4" t="s">
        <v>38</v>
      </c>
      <c r="J2032" s="4" t="s">
        <v>28</v>
      </c>
      <c r="K2032" s="4" t="s">
        <v>28</v>
      </c>
      <c r="L2032" s="4" t="s">
        <v>27</v>
      </c>
      <c r="M2032" s="4" t="s">
        <v>34</v>
      </c>
      <c r="N2032" s="4" t="s">
        <v>28</v>
      </c>
    </row>
    <row r="2033" spans="1:14" ht="14.4" thickBot="1" x14ac:dyDescent="0.35">
      <c r="A2033" s="4" t="s">
        <v>19</v>
      </c>
      <c r="B2033" s="4" t="s">
        <v>334</v>
      </c>
      <c r="C2033" s="4" t="s">
        <v>335</v>
      </c>
      <c r="D2033" s="4" t="s">
        <v>336</v>
      </c>
      <c r="E2033" s="4" t="s">
        <v>23</v>
      </c>
      <c r="F2033" s="4" t="s">
        <v>2769</v>
      </c>
      <c r="G2033" s="4" t="s">
        <v>2770</v>
      </c>
      <c r="H2033" s="4" t="s">
        <v>32</v>
      </c>
      <c r="I2033" s="4" t="s">
        <v>69</v>
      </c>
      <c r="J2033" s="4" t="s">
        <v>27</v>
      </c>
      <c r="K2033" s="4" t="s">
        <v>28</v>
      </c>
      <c r="L2033" s="4" t="s">
        <v>28</v>
      </c>
      <c r="M2033" s="4" t="s">
        <v>34</v>
      </c>
      <c r="N2033" s="4" t="s">
        <v>28</v>
      </c>
    </row>
    <row r="2034" spans="1:14" ht="14.4" thickBot="1" x14ac:dyDescent="0.35">
      <c r="A2034" s="4" t="s">
        <v>19</v>
      </c>
      <c r="B2034" s="4" t="s">
        <v>334</v>
      </c>
      <c r="C2034" s="4" t="s">
        <v>335</v>
      </c>
      <c r="D2034" s="4" t="s">
        <v>336</v>
      </c>
      <c r="E2034" s="4" t="s">
        <v>23</v>
      </c>
      <c r="F2034" s="4" t="s">
        <v>5007</v>
      </c>
      <c r="G2034" s="4" t="s">
        <v>5008</v>
      </c>
      <c r="H2034" s="4" t="s">
        <v>26</v>
      </c>
      <c r="I2034" s="4" t="s">
        <v>26</v>
      </c>
      <c r="J2034" s="4" t="s">
        <v>27</v>
      </c>
      <c r="K2034" s="4" t="s">
        <v>28</v>
      </c>
      <c r="L2034" s="4" t="s">
        <v>28</v>
      </c>
      <c r="M2034" s="4" t="s">
        <v>130</v>
      </c>
      <c r="N2034" s="4" t="s">
        <v>28</v>
      </c>
    </row>
    <row r="2035" spans="1:14" ht="14.4" thickBot="1" x14ac:dyDescent="0.35">
      <c r="A2035" s="4" t="s">
        <v>19</v>
      </c>
      <c r="B2035" s="4" t="s">
        <v>334</v>
      </c>
      <c r="C2035" s="4" t="s">
        <v>335</v>
      </c>
      <c r="D2035" s="4" t="s">
        <v>336</v>
      </c>
      <c r="E2035" s="4" t="s">
        <v>23</v>
      </c>
      <c r="F2035" s="4" t="s">
        <v>5009</v>
      </c>
      <c r="G2035" s="4" t="s">
        <v>5010</v>
      </c>
      <c r="H2035" s="4" t="s">
        <v>26</v>
      </c>
      <c r="I2035" s="4" t="s">
        <v>26</v>
      </c>
      <c r="J2035" s="4" t="s">
        <v>27</v>
      </c>
      <c r="K2035" s="4" t="s">
        <v>28</v>
      </c>
      <c r="L2035" s="4" t="s">
        <v>28</v>
      </c>
      <c r="M2035" s="4" t="s">
        <v>34</v>
      </c>
      <c r="N2035" s="4" t="s">
        <v>28</v>
      </c>
    </row>
    <row r="2036" spans="1:14" ht="14.4" thickBot="1" x14ac:dyDescent="0.35">
      <c r="A2036" s="4" t="s">
        <v>19</v>
      </c>
      <c r="B2036" s="4" t="s">
        <v>334</v>
      </c>
      <c r="C2036" s="4" t="s">
        <v>335</v>
      </c>
      <c r="D2036" s="4" t="s">
        <v>336</v>
      </c>
      <c r="E2036" s="4" t="s">
        <v>23</v>
      </c>
      <c r="F2036" s="4" t="s">
        <v>5706</v>
      </c>
      <c r="G2036" s="4" t="s">
        <v>5707</v>
      </c>
      <c r="H2036" s="4" t="s">
        <v>486</v>
      </c>
      <c r="I2036" s="4" t="s">
        <v>38</v>
      </c>
      <c r="J2036" s="4" t="s">
        <v>28</v>
      </c>
      <c r="K2036" s="4" t="s">
        <v>28</v>
      </c>
      <c r="L2036" s="4" t="s">
        <v>27</v>
      </c>
      <c r="M2036" s="4" t="s">
        <v>29</v>
      </c>
      <c r="N2036" s="4" t="s">
        <v>28</v>
      </c>
    </row>
    <row r="2037" spans="1:14" ht="14.4" thickBot="1" x14ac:dyDescent="0.35">
      <c r="A2037" s="4" t="s">
        <v>19</v>
      </c>
      <c r="B2037" s="4" t="s">
        <v>334</v>
      </c>
      <c r="C2037" s="4" t="s">
        <v>335</v>
      </c>
      <c r="D2037" s="4" t="s">
        <v>336</v>
      </c>
      <c r="E2037" s="4" t="s">
        <v>23</v>
      </c>
      <c r="F2037" s="4" t="s">
        <v>5708</v>
      </c>
      <c r="G2037" s="4" t="s">
        <v>5709</v>
      </c>
      <c r="H2037" s="4" t="s">
        <v>122</v>
      </c>
      <c r="I2037" s="4" t="s">
        <v>38</v>
      </c>
      <c r="J2037" s="4" t="s">
        <v>28</v>
      </c>
      <c r="K2037" s="4" t="s">
        <v>28</v>
      </c>
      <c r="L2037" s="4" t="s">
        <v>27</v>
      </c>
      <c r="M2037" s="4" t="s">
        <v>34</v>
      </c>
      <c r="N2037" s="4" t="s">
        <v>28</v>
      </c>
    </row>
    <row r="2038" spans="1:14" ht="14.4" thickBot="1" x14ac:dyDescent="0.35">
      <c r="A2038" s="4" t="s">
        <v>19</v>
      </c>
      <c r="B2038" s="4" t="s">
        <v>208</v>
      </c>
      <c r="C2038" s="4" t="s">
        <v>339</v>
      </c>
      <c r="D2038" s="4" t="s">
        <v>340</v>
      </c>
      <c r="E2038" s="4" t="s">
        <v>42</v>
      </c>
      <c r="F2038" s="4" t="s">
        <v>341</v>
      </c>
      <c r="G2038" s="4" t="s">
        <v>342</v>
      </c>
      <c r="H2038" s="4" t="s">
        <v>158</v>
      </c>
      <c r="I2038" s="4" t="s">
        <v>94</v>
      </c>
      <c r="J2038" s="4" t="s">
        <v>27</v>
      </c>
      <c r="K2038" s="4" t="s">
        <v>28</v>
      </c>
      <c r="L2038" s="4" t="s">
        <v>28</v>
      </c>
      <c r="M2038" s="4" t="s">
        <v>29</v>
      </c>
      <c r="N2038" s="4" t="s">
        <v>28</v>
      </c>
    </row>
    <row r="2039" spans="1:14" ht="14.4" thickBot="1" x14ac:dyDescent="0.35">
      <c r="A2039" s="4" t="s">
        <v>19</v>
      </c>
      <c r="B2039" s="4" t="s">
        <v>208</v>
      </c>
      <c r="C2039" s="4" t="s">
        <v>339</v>
      </c>
      <c r="D2039" s="4" t="s">
        <v>340</v>
      </c>
      <c r="E2039" s="4" t="s">
        <v>42</v>
      </c>
      <c r="F2039" s="4" t="s">
        <v>343</v>
      </c>
      <c r="G2039" s="4" t="s">
        <v>344</v>
      </c>
      <c r="H2039" s="4" t="s">
        <v>26</v>
      </c>
      <c r="I2039" s="4" t="s">
        <v>26</v>
      </c>
      <c r="J2039" s="4" t="s">
        <v>27</v>
      </c>
      <c r="K2039" s="4" t="s">
        <v>28</v>
      </c>
      <c r="L2039" s="4" t="s">
        <v>28</v>
      </c>
      <c r="M2039" s="4" t="s">
        <v>130</v>
      </c>
      <c r="N2039" s="4" t="s">
        <v>28</v>
      </c>
    </row>
    <row r="2040" spans="1:14" ht="14.4" thickBot="1" x14ac:dyDescent="0.35">
      <c r="A2040" s="4" t="s">
        <v>19</v>
      </c>
      <c r="B2040" s="4" t="s">
        <v>208</v>
      </c>
      <c r="C2040" s="4" t="s">
        <v>339</v>
      </c>
      <c r="D2040" s="4" t="s">
        <v>340</v>
      </c>
      <c r="E2040" s="4" t="s">
        <v>42</v>
      </c>
      <c r="F2040" s="4" t="s">
        <v>345</v>
      </c>
      <c r="G2040" s="4" t="s">
        <v>346</v>
      </c>
      <c r="H2040" s="4" t="s">
        <v>26</v>
      </c>
      <c r="I2040" s="4" t="s">
        <v>26</v>
      </c>
      <c r="J2040" s="5"/>
      <c r="K2040" s="5"/>
      <c r="L2040" s="5"/>
      <c r="M2040" s="4" t="s">
        <v>130</v>
      </c>
      <c r="N2040" s="5"/>
    </row>
    <row r="2041" spans="1:14" ht="14.4" thickBot="1" x14ac:dyDescent="0.35">
      <c r="A2041" s="4" t="s">
        <v>19</v>
      </c>
      <c r="B2041" s="4" t="s">
        <v>208</v>
      </c>
      <c r="C2041" s="4" t="s">
        <v>339</v>
      </c>
      <c r="D2041" s="4" t="s">
        <v>340</v>
      </c>
      <c r="E2041" s="4" t="s">
        <v>42</v>
      </c>
      <c r="F2041" s="4" t="s">
        <v>347</v>
      </c>
      <c r="G2041" s="4" t="s">
        <v>348</v>
      </c>
      <c r="H2041" s="4" t="s">
        <v>26</v>
      </c>
      <c r="I2041" s="4" t="s">
        <v>26</v>
      </c>
      <c r="J2041" s="5"/>
      <c r="K2041" s="5"/>
      <c r="L2041" s="5"/>
      <c r="M2041" s="4" t="s">
        <v>29</v>
      </c>
      <c r="N2041" s="5"/>
    </row>
    <row r="2042" spans="1:14" ht="14.4" thickBot="1" x14ac:dyDescent="0.35">
      <c r="A2042" s="4" t="s">
        <v>19</v>
      </c>
      <c r="B2042" s="4" t="s">
        <v>208</v>
      </c>
      <c r="C2042" s="4" t="s">
        <v>339</v>
      </c>
      <c r="D2042" s="4" t="s">
        <v>340</v>
      </c>
      <c r="E2042" s="4" t="s">
        <v>42</v>
      </c>
      <c r="F2042" s="4" t="s">
        <v>349</v>
      </c>
      <c r="G2042" s="4" t="s">
        <v>350</v>
      </c>
      <c r="H2042" s="4" t="s">
        <v>26</v>
      </c>
      <c r="I2042" s="4" t="s">
        <v>135</v>
      </c>
      <c r="J2042" s="4" t="s">
        <v>27</v>
      </c>
      <c r="K2042" s="4" t="s">
        <v>28</v>
      </c>
      <c r="L2042" s="4" t="s">
        <v>28</v>
      </c>
      <c r="M2042" s="4" t="s">
        <v>29</v>
      </c>
      <c r="N2042" s="5"/>
    </row>
    <row r="2043" spans="1:14" ht="14.4" thickBot="1" x14ac:dyDescent="0.35">
      <c r="A2043" s="4" t="s">
        <v>19</v>
      </c>
      <c r="B2043" s="4" t="s">
        <v>208</v>
      </c>
      <c r="C2043" s="4" t="s">
        <v>339</v>
      </c>
      <c r="D2043" s="4" t="s">
        <v>340</v>
      </c>
      <c r="E2043" s="4" t="s">
        <v>42</v>
      </c>
      <c r="F2043" s="4" t="s">
        <v>351</v>
      </c>
      <c r="G2043" s="4" t="s">
        <v>352</v>
      </c>
      <c r="H2043" s="4" t="s">
        <v>26</v>
      </c>
      <c r="I2043" s="4" t="s">
        <v>26</v>
      </c>
      <c r="J2043" s="5"/>
      <c r="K2043" s="5"/>
      <c r="L2043" s="5"/>
      <c r="M2043" s="4" t="s">
        <v>29</v>
      </c>
      <c r="N2043" s="5"/>
    </row>
    <row r="2044" spans="1:14" ht="14.4" thickBot="1" x14ac:dyDescent="0.35">
      <c r="A2044" s="4" t="s">
        <v>19</v>
      </c>
      <c r="B2044" s="4" t="s">
        <v>208</v>
      </c>
      <c r="C2044" s="4" t="s">
        <v>339</v>
      </c>
      <c r="D2044" s="4" t="s">
        <v>340</v>
      </c>
      <c r="E2044" s="4" t="s">
        <v>42</v>
      </c>
      <c r="F2044" s="4" t="s">
        <v>1277</v>
      </c>
      <c r="G2044" s="4" t="s">
        <v>1278</v>
      </c>
      <c r="H2044" s="4" t="s">
        <v>26</v>
      </c>
      <c r="I2044" s="4" t="s">
        <v>26</v>
      </c>
      <c r="J2044" s="4" t="s">
        <v>27</v>
      </c>
      <c r="K2044" s="4" t="s">
        <v>28</v>
      </c>
      <c r="L2044" s="4" t="s">
        <v>28</v>
      </c>
      <c r="M2044" s="4" t="s">
        <v>130</v>
      </c>
      <c r="N2044" s="4" t="s">
        <v>28</v>
      </c>
    </row>
    <row r="2045" spans="1:14" ht="14.4" thickBot="1" x14ac:dyDescent="0.35">
      <c r="A2045" s="4" t="s">
        <v>19</v>
      </c>
      <c r="B2045" s="4" t="s">
        <v>208</v>
      </c>
      <c r="C2045" s="4" t="s">
        <v>339</v>
      </c>
      <c r="D2045" s="4" t="s">
        <v>340</v>
      </c>
      <c r="E2045" s="4" t="s">
        <v>42</v>
      </c>
      <c r="F2045" s="4" t="s">
        <v>1279</v>
      </c>
      <c r="G2045" s="4" t="s">
        <v>1280</v>
      </c>
      <c r="H2045" s="4" t="s">
        <v>69</v>
      </c>
      <c r="I2045" s="4" t="s">
        <v>94</v>
      </c>
      <c r="J2045" s="4" t="s">
        <v>28</v>
      </c>
      <c r="K2045" s="4" t="s">
        <v>27</v>
      </c>
      <c r="L2045" s="4" t="s">
        <v>28</v>
      </c>
      <c r="M2045" s="4" t="s">
        <v>34</v>
      </c>
      <c r="N2045" s="4" t="s">
        <v>28</v>
      </c>
    </row>
    <row r="2046" spans="1:14" ht="14.4" thickBot="1" x14ac:dyDescent="0.35">
      <c r="A2046" s="4" t="s">
        <v>19</v>
      </c>
      <c r="B2046" s="4" t="s">
        <v>208</v>
      </c>
      <c r="C2046" s="4" t="s">
        <v>339</v>
      </c>
      <c r="D2046" s="4" t="s">
        <v>340</v>
      </c>
      <c r="E2046" s="4" t="s">
        <v>42</v>
      </c>
      <c r="F2046" s="4" t="s">
        <v>1281</v>
      </c>
      <c r="G2046" s="4" t="s">
        <v>1282</v>
      </c>
      <c r="H2046" s="4" t="s">
        <v>33</v>
      </c>
      <c r="I2046" s="4" t="s">
        <v>38</v>
      </c>
      <c r="J2046" s="4" t="s">
        <v>28</v>
      </c>
      <c r="K2046" s="4" t="s">
        <v>28</v>
      </c>
      <c r="L2046" s="4" t="s">
        <v>27</v>
      </c>
      <c r="M2046" s="4" t="s">
        <v>181</v>
      </c>
      <c r="N2046" s="4" t="s">
        <v>28</v>
      </c>
    </row>
    <row r="2047" spans="1:14" ht="14.4" thickBot="1" x14ac:dyDescent="0.35">
      <c r="A2047" s="4" t="s">
        <v>19</v>
      </c>
      <c r="B2047" s="4" t="s">
        <v>208</v>
      </c>
      <c r="C2047" s="4" t="s">
        <v>339</v>
      </c>
      <c r="D2047" s="4" t="s">
        <v>340</v>
      </c>
      <c r="E2047" s="4" t="s">
        <v>42</v>
      </c>
      <c r="F2047" s="4" t="s">
        <v>2074</v>
      </c>
      <c r="G2047" s="4" t="s">
        <v>2075</v>
      </c>
      <c r="H2047" s="4" t="s">
        <v>26</v>
      </c>
      <c r="I2047" s="4" t="s">
        <v>33</v>
      </c>
      <c r="J2047" s="4" t="s">
        <v>27</v>
      </c>
      <c r="K2047" s="4" t="s">
        <v>28</v>
      </c>
      <c r="L2047" s="4" t="s">
        <v>28</v>
      </c>
      <c r="M2047" s="4" t="s">
        <v>34</v>
      </c>
      <c r="N2047" s="4" t="s">
        <v>28</v>
      </c>
    </row>
    <row r="2048" spans="1:14" ht="14.4" thickBot="1" x14ac:dyDescent="0.35">
      <c r="A2048" s="4" t="s">
        <v>19</v>
      </c>
      <c r="B2048" s="4" t="s">
        <v>208</v>
      </c>
      <c r="C2048" s="4" t="s">
        <v>339</v>
      </c>
      <c r="D2048" s="4" t="s">
        <v>340</v>
      </c>
      <c r="E2048" s="4" t="s">
        <v>42</v>
      </c>
      <c r="F2048" s="4" t="s">
        <v>2076</v>
      </c>
      <c r="G2048" s="4" t="s">
        <v>2077</v>
      </c>
      <c r="H2048" s="4" t="s">
        <v>26</v>
      </c>
      <c r="I2048" s="4" t="s">
        <v>26</v>
      </c>
      <c r="J2048" s="4" t="s">
        <v>27</v>
      </c>
      <c r="K2048" s="4" t="s">
        <v>28</v>
      </c>
      <c r="L2048" s="4" t="s">
        <v>28</v>
      </c>
      <c r="M2048" s="4" t="s">
        <v>130</v>
      </c>
      <c r="N2048" s="4" t="s">
        <v>28</v>
      </c>
    </row>
    <row r="2049" spans="1:14" ht="14.4" thickBot="1" x14ac:dyDescent="0.35">
      <c r="A2049" s="4" t="s">
        <v>19</v>
      </c>
      <c r="B2049" s="4" t="s">
        <v>208</v>
      </c>
      <c r="C2049" s="4" t="s">
        <v>339</v>
      </c>
      <c r="D2049" s="4" t="s">
        <v>340</v>
      </c>
      <c r="E2049" s="4" t="s">
        <v>42</v>
      </c>
      <c r="F2049" s="4" t="s">
        <v>2078</v>
      </c>
      <c r="G2049" s="4" t="s">
        <v>2079</v>
      </c>
      <c r="H2049" s="4" t="s">
        <v>190</v>
      </c>
      <c r="I2049" s="4" t="s">
        <v>26</v>
      </c>
      <c r="J2049" s="4" t="s">
        <v>27</v>
      </c>
      <c r="K2049" s="4" t="s">
        <v>28</v>
      </c>
      <c r="L2049" s="4" t="s">
        <v>28</v>
      </c>
      <c r="M2049" s="4" t="s">
        <v>29</v>
      </c>
      <c r="N2049" s="4" t="s">
        <v>28</v>
      </c>
    </row>
    <row r="2050" spans="1:14" ht="14.4" thickBot="1" x14ac:dyDescent="0.35">
      <c r="A2050" s="4" t="s">
        <v>19</v>
      </c>
      <c r="B2050" s="4" t="s">
        <v>208</v>
      </c>
      <c r="C2050" s="4" t="s">
        <v>339</v>
      </c>
      <c r="D2050" s="4" t="s">
        <v>340</v>
      </c>
      <c r="E2050" s="4" t="s">
        <v>42</v>
      </c>
      <c r="F2050" s="4" t="s">
        <v>2080</v>
      </c>
      <c r="G2050" s="4" t="s">
        <v>2081</v>
      </c>
      <c r="H2050" s="4" t="s">
        <v>26</v>
      </c>
      <c r="I2050" s="4" t="s">
        <v>26</v>
      </c>
      <c r="J2050" s="4" t="s">
        <v>27</v>
      </c>
      <c r="K2050" s="4" t="s">
        <v>28</v>
      </c>
      <c r="L2050" s="4" t="s">
        <v>28</v>
      </c>
      <c r="M2050" s="4" t="s">
        <v>130</v>
      </c>
      <c r="N2050" s="4" t="s">
        <v>28</v>
      </c>
    </row>
    <row r="2051" spans="1:14" ht="14.4" thickBot="1" x14ac:dyDescent="0.35">
      <c r="A2051" s="4" t="s">
        <v>19</v>
      </c>
      <c r="B2051" s="4" t="s">
        <v>208</v>
      </c>
      <c r="C2051" s="4" t="s">
        <v>339</v>
      </c>
      <c r="D2051" s="4" t="s">
        <v>340</v>
      </c>
      <c r="E2051" s="4" t="s">
        <v>42</v>
      </c>
      <c r="F2051" s="4" t="s">
        <v>1028</v>
      </c>
      <c r="G2051" s="4" t="s">
        <v>2082</v>
      </c>
      <c r="H2051" s="4" t="s">
        <v>26</v>
      </c>
      <c r="I2051" s="4" t="s">
        <v>33</v>
      </c>
      <c r="J2051" s="4" t="s">
        <v>27</v>
      </c>
      <c r="K2051" s="4" t="s">
        <v>28</v>
      </c>
      <c r="L2051" s="4" t="s">
        <v>28</v>
      </c>
      <c r="M2051" s="4" t="s">
        <v>34</v>
      </c>
      <c r="N2051" s="4" t="s">
        <v>28</v>
      </c>
    </row>
    <row r="2052" spans="1:14" ht="14.4" thickBot="1" x14ac:dyDescent="0.35">
      <c r="A2052" s="4" t="s">
        <v>19</v>
      </c>
      <c r="B2052" s="4" t="s">
        <v>208</v>
      </c>
      <c r="C2052" s="4" t="s">
        <v>339</v>
      </c>
      <c r="D2052" s="4" t="s">
        <v>340</v>
      </c>
      <c r="E2052" s="4" t="s">
        <v>42</v>
      </c>
      <c r="F2052" s="4" t="s">
        <v>2083</v>
      </c>
      <c r="G2052" s="4" t="s">
        <v>2084</v>
      </c>
      <c r="H2052" s="4" t="s">
        <v>26</v>
      </c>
      <c r="I2052" s="4" t="s">
        <v>26</v>
      </c>
      <c r="J2052" s="5"/>
      <c r="K2052" s="5"/>
      <c r="L2052" s="5"/>
      <c r="M2052" s="4" t="s">
        <v>29</v>
      </c>
      <c r="N2052" s="5"/>
    </row>
    <row r="2053" spans="1:14" ht="14.4" thickBot="1" x14ac:dyDescent="0.35">
      <c r="A2053" s="4" t="s">
        <v>19</v>
      </c>
      <c r="B2053" s="4" t="s">
        <v>208</v>
      </c>
      <c r="C2053" s="4" t="s">
        <v>339</v>
      </c>
      <c r="D2053" s="4" t="s">
        <v>340</v>
      </c>
      <c r="E2053" s="4" t="s">
        <v>42</v>
      </c>
      <c r="F2053" s="4" t="s">
        <v>2085</v>
      </c>
      <c r="G2053" s="4" t="s">
        <v>2086</v>
      </c>
      <c r="H2053" s="4" t="s">
        <v>26</v>
      </c>
      <c r="I2053" s="4" t="s">
        <v>33</v>
      </c>
      <c r="J2053" s="4" t="s">
        <v>27</v>
      </c>
      <c r="K2053" s="4" t="s">
        <v>28</v>
      </c>
      <c r="L2053" s="4" t="s">
        <v>28</v>
      </c>
      <c r="M2053" s="4" t="s">
        <v>34</v>
      </c>
      <c r="N2053" s="4" t="s">
        <v>28</v>
      </c>
    </row>
    <row r="2054" spans="1:14" ht="14.4" thickBot="1" x14ac:dyDescent="0.35">
      <c r="A2054" s="4" t="s">
        <v>19</v>
      </c>
      <c r="B2054" s="4" t="s">
        <v>208</v>
      </c>
      <c r="C2054" s="4" t="s">
        <v>339</v>
      </c>
      <c r="D2054" s="4" t="s">
        <v>340</v>
      </c>
      <c r="E2054" s="4" t="s">
        <v>42</v>
      </c>
      <c r="F2054" s="4" t="s">
        <v>2087</v>
      </c>
      <c r="G2054" s="4" t="s">
        <v>2088</v>
      </c>
      <c r="H2054" s="4" t="s">
        <v>26</v>
      </c>
      <c r="I2054" s="4" t="s">
        <v>33</v>
      </c>
      <c r="J2054" s="4" t="s">
        <v>27</v>
      </c>
      <c r="K2054" s="4" t="s">
        <v>28</v>
      </c>
      <c r="L2054" s="4" t="s">
        <v>28</v>
      </c>
      <c r="M2054" s="4" t="s">
        <v>34</v>
      </c>
      <c r="N2054" s="4" t="s">
        <v>28</v>
      </c>
    </row>
    <row r="2055" spans="1:14" ht="14.4" thickBot="1" x14ac:dyDescent="0.35">
      <c r="A2055" s="4" t="s">
        <v>19</v>
      </c>
      <c r="B2055" s="4" t="s">
        <v>208</v>
      </c>
      <c r="C2055" s="4" t="s">
        <v>339</v>
      </c>
      <c r="D2055" s="4" t="s">
        <v>340</v>
      </c>
      <c r="E2055" s="4" t="s">
        <v>42</v>
      </c>
      <c r="F2055" s="4" t="s">
        <v>2771</v>
      </c>
      <c r="G2055" s="4" t="s">
        <v>2772</v>
      </c>
      <c r="H2055" s="4" t="s">
        <v>135</v>
      </c>
      <c r="I2055" s="4" t="s">
        <v>33</v>
      </c>
      <c r="J2055" s="4" t="s">
        <v>27</v>
      </c>
      <c r="K2055" s="4" t="s">
        <v>28</v>
      </c>
      <c r="L2055" s="4" t="s">
        <v>28</v>
      </c>
      <c r="M2055" s="4" t="s">
        <v>34</v>
      </c>
      <c r="N2055" s="4" t="s">
        <v>27</v>
      </c>
    </row>
    <row r="2056" spans="1:14" ht="14.4" thickBot="1" x14ac:dyDescent="0.35">
      <c r="A2056" s="4" t="s">
        <v>19</v>
      </c>
      <c r="B2056" s="4" t="s">
        <v>208</v>
      </c>
      <c r="C2056" s="4" t="s">
        <v>339</v>
      </c>
      <c r="D2056" s="4" t="s">
        <v>340</v>
      </c>
      <c r="E2056" s="4" t="s">
        <v>42</v>
      </c>
      <c r="F2056" s="4" t="s">
        <v>2773</v>
      </c>
      <c r="G2056" s="4" t="s">
        <v>2774</v>
      </c>
      <c r="H2056" s="4" t="s">
        <v>135</v>
      </c>
      <c r="I2056" s="4" t="s">
        <v>38</v>
      </c>
      <c r="J2056" s="4" t="s">
        <v>28</v>
      </c>
      <c r="K2056" s="4" t="s">
        <v>28</v>
      </c>
      <c r="L2056" s="4" t="s">
        <v>27</v>
      </c>
      <c r="M2056" s="4" t="s">
        <v>34</v>
      </c>
      <c r="N2056" s="4" t="s">
        <v>28</v>
      </c>
    </row>
    <row r="2057" spans="1:14" ht="14.4" thickBot="1" x14ac:dyDescent="0.35">
      <c r="A2057" s="4" t="s">
        <v>19</v>
      </c>
      <c r="B2057" s="4" t="s">
        <v>208</v>
      </c>
      <c r="C2057" s="4" t="s">
        <v>339</v>
      </c>
      <c r="D2057" s="4" t="s">
        <v>340</v>
      </c>
      <c r="E2057" s="4" t="s">
        <v>42</v>
      </c>
      <c r="F2057" s="4" t="s">
        <v>2775</v>
      </c>
      <c r="G2057" s="4" t="s">
        <v>2776</v>
      </c>
      <c r="H2057" s="4" t="s">
        <v>158</v>
      </c>
      <c r="I2057" s="4" t="s">
        <v>33</v>
      </c>
      <c r="J2057" s="4" t="s">
        <v>27</v>
      </c>
      <c r="K2057" s="4" t="s">
        <v>28</v>
      </c>
      <c r="L2057" s="4" t="s">
        <v>28</v>
      </c>
      <c r="M2057" s="4" t="s">
        <v>29</v>
      </c>
      <c r="N2057" s="4" t="s">
        <v>28</v>
      </c>
    </row>
    <row r="2058" spans="1:14" ht="14.4" thickBot="1" x14ac:dyDescent="0.35">
      <c r="A2058" s="4" t="s">
        <v>19</v>
      </c>
      <c r="B2058" s="4" t="s">
        <v>208</v>
      </c>
      <c r="C2058" s="4" t="s">
        <v>339</v>
      </c>
      <c r="D2058" s="4" t="s">
        <v>340</v>
      </c>
      <c r="E2058" s="4" t="s">
        <v>42</v>
      </c>
      <c r="F2058" s="4" t="s">
        <v>2777</v>
      </c>
      <c r="G2058" s="4" t="s">
        <v>2778</v>
      </c>
      <c r="H2058" s="4" t="s">
        <v>69</v>
      </c>
      <c r="I2058" s="4" t="s">
        <v>94</v>
      </c>
      <c r="J2058" s="4" t="s">
        <v>28</v>
      </c>
      <c r="K2058" s="4" t="s">
        <v>27</v>
      </c>
      <c r="L2058" s="4" t="s">
        <v>28</v>
      </c>
      <c r="M2058" s="4" t="s">
        <v>34</v>
      </c>
      <c r="N2058" s="4" t="s">
        <v>28</v>
      </c>
    </row>
    <row r="2059" spans="1:14" ht="14.4" thickBot="1" x14ac:dyDescent="0.35">
      <c r="A2059" s="4" t="s">
        <v>19</v>
      </c>
      <c r="B2059" s="4" t="s">
        <v>208</v>
      </c>
      <c r="C2059" s="4" t="s">
        <v>339</v>
      </c>
      <c r="D2059" s="4" t="s">
        <v>340</v>
      </c>
      <c r="E2059" s="4" t="s">
        <v>42</v>
      </c>
      <c r="F2059" s="4" t="s">
        <v>2779</v>
      </c>
      <c r="G2059" s="4" t="s">
        <v>2780</v>
      </c>
      <c r="H2059" s="4" t="s">
        <v>69</v>
      </c>
      <c r="I2059" s="4" t="s">
        <v>94</v>
      </c>
      <c r="J2059" s="5"/>
      <c r="K2059" s="5"/>
      <c r="L2059" s="5"/>
      <c r="M2059" s="4" t="s">
        <v>29</v>
      </c>
      <c r="N2059" s="5"/>
    </row>
    <row r="2060" spans="1:14" ht="14.4" thickBot="1" x14ac:dyDescent="0.35">
      <c r="A2060" s="4" t="s">
        <v>19</v>
      </c>
      <c r="B2060" s="4" t="s">
        <v>208</v>
      </c>
      <c r="C2060" s="4" t="s">
        <v>339</v>
      </c>
      <c r="D2060" s="4" t="s">
        <v>340</v>
      </c>
      <c r="E2060" s="4" t="s">
        <v>42</v>
      </c>
      <c r="F2060" s="4" t="s">
        <v>2781</v>
      </c>
      <c r="G2060" s="4" t="s">
        <v>2782</v>
      </c>
      <c r="H2060" s="4" t="s">
        <v>26</v>
      </c>
      <c r="I2060" s="4" t="s">
        <v>26</v>
      </c>
      <c r="J2060" s="5"/>
      <c r="K2060" s="5"/>
      <c r="L2060" s="5"/>
      <c r="M2060" s="4" t="s">
        <v>130</v>
      </c>
      <c r="N2060" s="5"/>
    </row>
    <row r="2061" spans="1:14" ht="14.4" thickBot="1" x14ac:dyDescent="0.35">
      <c r="A2061" s="4" t="s">
        <v>19</v>
      </c>
      <c r="B2061" s="4" t="s">
        <v>208</v>
      </c>
      <c r="C2061" s="4" t="s">
        <v>339</v>
      </c>
      <c r="D2061" s="4" t="s">
        <v>340</v>
      </c>
      <c r="E2061" s="4" t="s">
        <v>42</v>
      </c>
      <c r="F2061" s="4" t="s">
        <v>2783</v>
      </c>
      <c r="G2061" s="4" t="s">
        <v>2784</v>
      </c>
      <c r="H2061" s="4" t="s">
        <v>26</v>
      </c>
      <c r="I2061" s="4" t="s">
        <v>26</v>
      </c>
      <c r="J2061" s="4" t="s">
        <v>27</v>
      </c>
      <c r="K2061" s="4" t="s">
        <v>28</v>
      </c>
      <c r="L2061" s="4" t="s">
        <v>28</v>
      </c>
      <c r="M2061" s="4" t="s">
        <v>29</v>
      </c>
      <c r="N2061" s="4" t="s">
        <v>28</v>
      </c>
    </row>
    <row r="2062" spans="1:14" ht="14.4" thickBot="1" x14ac:dyDescent="0.35">
      <c r="A2062" s="4" t="s">
        <v>19</v>
      </c>
      <c r="B2062" s="4" t="s">
        <v>208</v>
      </c>
      <c r="C2062" s="4" t="s">
        <v>339</v>
      </c>
      <c r="D2062" s="4" t="s">
        <v>340</v>
      </c>
      <c r="E2062" s="4" t="s">
        <v>42</v>
      </c>
      <c r="F2062" s="4" t="s">
        <v>3525</v>
      </c>
      <c r="G2062" s="4" t="s">
        <v>3526</v>
      </c>
      <c r="H2062" s="4" t="s">
        <v>26</v>
      </c>
      <c r="I2062" s="4" t="s">
        <v>26</v>
      </c>
      <c r="J2062" s="4" t="s">
        <v>27</v>
      </c>
      <c r="K2062" s="4" t="s">
        <v>28</v>
      </c>
      <c r="L2062" s="4" t="s">
        <v>28</v>
      </c>
      <c r="M2062" s="4" t="s">
        <v>29</v>
      </c>
      <c r="N2062" s="4" t="s">
        <v>28</v>
      </c>
    </row>
    <row r="2063" spans="1:14" ht="14.4" thickBot="1" x14ac:dyDescent="0.35">
      <c r="A2063" s="4" t="s">
        <v>19</v>
      </c>
      <c r="B2063" s="4" t="s">
        <v>208</v>
      </c>
      <c r="C2063" s="4" t="s">
        <v>339</v>
      </c>
      <c r="D2063" s="4" t="s">
        <v>340</v>
      </c>
      <c r="E2063" s="4" t="s">
        <v>42</v>
      </c>
      <c r="F2063" s="4" t="s">
        <v>3527</v>
      </c>
      <c r="G2063" s="4" t="s">
        <v>3528</v>
      </c>
      <c r="H2063" s="4" t="s">
        <v>37</v>
      </c>
      <c r="I2063" s="4" t="s">
        <v>38</v>
      </c>
      <c r="J2063" s="4" t="s">
        <v>28</v>
      </c>
      <c r="K2063" s="4" t="s">
        <v>28</v>
      </c>
      <c r="L2063" s="4" t="s">
        <v>27</v>
      </c>
      <c r="M2063" s="4" t="s">
        <v>34</v>
      </c>
      <c r="N2063" s="4" t="s">
        <v>28</v>
      </c>
    </row>
    <row r="2064" spans="1:14" ht="14.4" thickBot="1" x14ac:dyDescent="0.35">
      <c r="A2064" s="4" t="s">
        <v>19</v>
      </c>
      <c r="B2064" s="4" t="s">
        <v>208</v>
      </c>
      <c r="C2064" s="4" t="s">
        <v>339</v>
      </c>
      <c r="D2064" s="4" t="s">
        <v>340</v>
      </c>
      <c r="E2064" s="4" t="s">
        <v>42</v>
      </c>
      <c r="F2064" s="4" t="s">
        <v>3529</v>
      </c>
      <c r="G2064" s="4" t="s">
        <v>3530</v>
      </c>
      <c r="H2064" s="4" t="s">
        <v>26</v>
      </c>
      <c r="I2064" s="4" t="s">
        <v>26</v>
      </c>
      <c r="J2064" s="4" t="s">
        <v>27</v>
      </c>
      <c r="K2064" s="4" t="s">
        <v>28</v>
      </c>
      <c r="L2064" s="4" t="s">
        <v>28</v>
      </c>
      <c r="M2064" s="4" t="s">
        <v>29</v>
      </c>
      <c r="N2064" s="4" t="s">
        <v>28</v>
      </c>
    </row>
    <row r="2065" spans="1:14" ht="14.4" thickBot="1" x14ac:dyDescent="0.35">
      <c r="A2065" s="4" t="s">
        <v>19</v>
      </c>
      <c r="B2065" s="4" t="s">
        <v>208</v>
      </c>
      <c r="C2065" s="4" t="s">
        <v>339</v>
      </c>
      <c r="D2065" s="4" t="s">
        <v>340</v>
      </c>
      <c r="E2065" s="4" t="s">
        <v>42</v>
      </c>
      <c r="F2065" s="4" t="s">
        <v>3531</v>
      </c>
      <c r="G2065" s="4" t="s">
        <v>3532</v>
      </c>
      <c r="H2065" s="4" t="s">
        <v>26</v>
      </c>
      <c r="I2065" s="4" t="s">
        <v>26</v>
      </c>
      <c r="J2065" s="4" t="s">
        <v>27</v>
      </c>
      <c r="K2065" s="4" t="s">
        <v>28</v>
      </c>
      <c r="L2065" s="4" t="s">
        <v>28</v>
      </c>
      <c r="M2065" s="4" t="s">
        <v>29</v>
      </c>
      <c r="N2065" s="5"/>
    </row>
    <row r="2066" spans="1:14" ht="14.4" thickBot="1" x14ac:dyDescent="0.35">
      <c r="A2066" s="4" t="s">
        <v>19</v>
      </c>
      <c r="B2066" s="4" t="s">
        <v>208</v>
      </c>
      <c r="C2066" s="4" t="s">
        <v>339</v>
      </c>
      <c r="D2066" s="4" t="s">
        <v>340</v>
      </c>
      <c r="E2066" s="4" t="s">
        <v>42</v>
      </c>
      <c r="F2066" s="4" t="s">
        <v>3533</v>
      </c>
      <c r="G2066" s="4" t="s">
        <v>3534</v>
      </c>
      <c r="H2066" s="4" t="s">
        <v>26</v>
      </c>
      <c r="I2066" s="4" t="s">
        <v>26</v>
      </c>
      <c r="J2066" s="4" t="s">
        <v>27</v>
      </c>
      <c r="K2066" s="4" t="s">
        <v>28</v>
      </c>
      <c r="L2066" s="4" t="s">
        <v>28</v>
      </c>
      <c r="M2066" s="4" t="s">
        <v>29</v>
      </c>
      <c r="N2066" s="4" t="s">
        <v>28</v>
      </c>
    </row>
    <row r="2067" spans="1:14" ht="14.4" thickBot="1" x14ac:dyDescent="0.35">
      <c r="A2067" s="4" t="s">
        <v>19</v>
      </c>
      <c r="B2067" s="4" t="s">
        <v>208</v>
      </c>
      <c r="C2067" s="4" t="s">
        <v>339</v>
      </c>
      <c r="D2067" s="4" t="s">
        <v>340</v>
      </c>
      <c r="E2067" s="4" t="s">
        <v>42</v>
      </c>
      <c r="F2067" s="4" t="s">
        <v>3535</v>
      </c>
      <c r="G2067" s="4" t="s">
        <v>3536</v>
      </c>
      <c r="H2067" s="4" t="s">
        <v>26</v>
      </c>
      <c r="I2067" s="4" t="s">
        <v>33</v>
      </c>
      <c r="J2067" s="4" t="s">
        <v>27</v>
      </c>
      <c r="K2067" s="4" t="s">
        <v>28</v>
      </c>
      <c r="L2067" s="4" t="s">
        <v>28</v>
      </c>
      <c r="M2067" s="4" t="s">
        <v>34</v>
      </c>
      <c r="N2067" s="4" t="s">
        <v>28</v>
      </c>
    </row>
    <row r="2068" spans="1:14" ht="14.4" thickBot="1" x14ac:dyDescent="0.35">
      <c r="A2068" s="4" t="s">
        <v>19</v>
      </c>
      <c r="B2068" s="4" t="s">
        <v>208</v>
      </c>
      <c r="C2068" s="4" t="s">
        <v>339</v>
      </c>
      <c r="D2068" s="4" t="s">
        <v>340</v>
      </c>
      <c r="E2068" s="4" t="s">
        <v>42</v>
      </c>
      <c r="F2068" s="4" t="s">
        <v>3537</v>
      </c>
      <c r="G2068" s="4" t="s">
        <v>3538</v>
      </c>
      <c r="H2068" s="4" t="s">
        <v>37</v>
      </c>
      <c r="I2068" s="4" t="s">
        <v>38</v>
      </c>
      <c r="J2068" s="4" t="s">
        <v>28</v>
      </c>
      <c r="K2068" s="4" t="s">
        <v>28</v>
      </c>
      <c r="L2068" s="4" t="s">
        <v>27</v>
      </c>
      <c r="M2068" s="4" t="s">
        <v>34</v>
      </c>
      <c r="N2068" s="4" t="s">
        <v>28</v>
      </c>
    </row>
    <row r="2069" spans="1:14" ht="14.4" thickBot="1" x14ac:dyDescent="0.35">
      <c r="A2069" s="4" t="s">
        <v>19</v>
      </c>
      <c r="B2069" s="4" t="s">
        <v>208</v>
      </c>
      <c r="C2069" s="4" t="s">
        <v>339</v>
      </c>
      <c r="D2069" s="4" t="s">
        <v>340</v>
      </c>
      <c r="E2069" s="4" t="s">
        <v>42</v>
      </c>
      <c r="F2069" s="4" t="s">
        <v>4327</v>
      </c>
      <c r="G2069" s="4" t="s">
        <v>4328</v>
      </c>
      <c r="H2069" s="4" t="s">
        <v>135</v>
      </c>
      <c r="I2069" s="4" t="s">
        <v>38</v>
      </c>
      <c r="J2069" s="4" t="s">
        <v>28</v>
      </c>
      <c r="K2069" s="4" t="s">
        <v>28</v>
      </c>
      <c r="L2069" s="4" t="s">
        <v>27</v>
      </c>
      <c r="M2069" s="4" t="s">
        <v>34</v>
      </c>
      <c r="N2069" s="4" t="s">
        <v>28</v>
      </c>
    </row>
    <row r="2070" spans="1:14" ht="14.4" thickBot="1" x14ac:dyDescent="0.35">
      <c r="A2070" s="4" t="s">
        <v>19</v>
      </c>
      <c r="B2070" s="4" t="s">
        <v>208</v>
      </c>
      <c r="C2070" s="4" t="s">
        <v>339</v>
      </c>
      <c r="D2070" s="4" t="s">
        <v>340</v>
      </c>
      <c r="E2070" s="4" t="s">
        <v>42</v>
      </c>
      <c r="F2070" s="4" t="s">
        <v>4329</v>
      </c>
      <c r="G2070" s="4" t="s">
        <v>4330</v>
      </c>
      <c r="H2070" s="4" t="s">
        <v>26</v>
      </c>
      <c r="I2070" s="4" t="s">
        <v>26</v>
      </c>
      <c r="J2070" s="4" t="s">
        <v>27</v>
      </c>
      <c r="K2070" s="4" t="s">
        <v>28</v>
      </c>
      <c r="L2070" s="4" t="s">
        <v>28</v>
      </c>
      <c r="M2070" s="4" t="s">
        <v>29</v>
      </c>
      <c r="N2070" s="4" t="s">
        <v>28</v>
      </c>
    </row>
    <row r="2071" spans="1:14" ht="14.4" thickBot="1" x14ac:dyDescent="0.35">
      <c r="A2071" s="4" t="s">
        <v>19</v>
      </c>
      <c r="B2071" s="4" t="s">
        <v>208</v>
      </c>
      <c r="C2071" s="4" t="s">
        <v>339</v>
      </c>
      <c r="D2071" s="4" t="s">
        <v>340</v>
      </c>
      <c r="E2071" s="4" t="s">
        <v>42</v>
      </c>
      <c r="F2071" s="4" t="s">
        <v>4331</v>
      </c>
      <c r="G2071" s="4" t="s">
        <v>4332</v>
      </c>
      <c r="H2071" s="4" t="s">
        <v>26</v>
      </c>
      <c r="I2071" s="4" t="s">
        <v>26</v>
      </c>
      <c r="J2071" s="4" t="s">
        <v>27</v>
      </c>
      <c r="K2071" s="4" t="s">
        <v>28</v>
      </c>
      <c r="L2071" s="4" t="s">
        <v>28</v>
      </c>
      <c r="M2071" s="4" t="s">
        <v>29</v>
      </c>
      <c r="N2071" s="4" t="s">
        <v>28</v>
      </c>
    </row>
    <row r="2072" spans="1:14" ht="14.4" thickBot="1" x14ac:dyDescent="0.35">
      <c r="A2072" s="4" t="s">
        <v>19</v>
      </c>
      <c r="B2072" s="4" t="s">
        <v>208</v>
      </c>
      <c r="C2072" s="4" t="s">
        <v>339</v>
      </c>
      <c r="D2072" s="4" t="s">
        <v>340</v>
      </c>
      <c r="E2072" s="4" t="s">
        <v>42</v>
      </c>
      <c r="F2072" s="4" t="s">
        <v>4333</v>
      </c>
      <c r="G2072" s="4" t="s">
        <v>4334</v>
      </c>
      <c r="H2072" s="4" t="s">
        <v>26</v>
      </c>
      <c r="I2072" s="4" t="s">
        <v>26</v>
      </c>
      <c r="J2072" s="4" t="s">
        <v>27</v>
      </c>
      <c r="K2072" s="4" t="s">
        <v>28</v>
      </c>
      <c r="L2072" s="4" t="s">
        <v>28</v>
      </c>
      <c r="M2072" s="4" t="s">
        <v>29</v>
      </c>
      <c r="N2072" s="4" t="s">
        <v>28</v>
      </c>
    </row>
    <row r="2073" spans="1:14" ht="14.4" thickBot="1" x14ac:dyDescent="0.35">
      <c r="A2073" s="4" t="s">
        <v>19</v>
      </c>
      <c r="B2073" s="4" t="s">
        <v>208</v>
      </c>
      <c r="C2073" s="4" t="s">
        <v>339</v>
      </c>
      <c r="D2073" s="4" t="s">
        <v>340</v>
      </c>
      <c r="E2073" s="4" t="s">
        <v>42</v>
      </c>
      <c r="F2073" s="4" t="s">
        <v>4335</v>
      </c>
      <c r="G2073" s="4" t="s">
        <v>4336</v>
      </c>
      <c r="H2073" s="4" t="s">
        <v>26</v>
      </c>
      <c r="I2073" s="4" t="s">
        <v>26</v>
      </c>
      <c r="J2073" s="4" t="s">
        <v>27</v>
      </c>
      <c r="K2073" s="4" t="s">
        <v>28</v>
      </c>
      <c r="L2073" s="4" t="s">
        <v>28</v>
      </c>
      <c r="M2073" s="4" t="s">
        <v>29</v>
      </c>
      <c r="N2073" s="4" t="s">
        <v>28</v>
      </c>
    </row>
    <row r="2074" spans="1:14" ht="14.4" thickBot="1" x14ac:dyDescent="0.35">
      <c r="A2074" s="4" t="s">
        <v>19</v>
      </c>
      <c r="B2074" s="4" t="s">
        <v>208</v>
      </c>
      <c r="C2074" s="4" t="s">
        <v>339</v>
      </c>
      <c r="D2074" s="4" t="s">
        <v>340</v>
      </c>
      <c r="E2074" s="4" t="s">
        <v>42</v>
      </c>
      <c r="F2074" s="4" t="s">
        <v>4337</v>
      </c>
      <c r="G2074" s="4" t="s">
        <v>4338</v>
      </c>
      <c r="H2074" s="4" t="s">
        <v>26</v>
      </c>
      <c r="I2074" s="4" t="s">
        <v>26</v>
      </c>
      <c r="J2074" s="4" t="s">
        <v>27</v>
      </c>
      <c r="K2074" s="4" t="s">
        <v>28</v>
      </c>
      <c r="L2074" s="4" t="s">
        <v>28</v>
      </c>
      <c r="M2074" s="4" t="s">
        <v>130</v>
      </c>
      <c r="N2074" s="4" t="s">
        <v>28</v>
      </c>
    </row>
    <row r="2075" spans="1:14" ht="14.4" thickBot="1" x14ac:dyDescent="0.35">
      <c r="A2075" s="4" t="s">
        <v>19</v>
      </c>
      <c r="B2075" s="4" t="s">
        <v>208</v>
      </c>
      <c r="C2075" s="4" t="s">
        <v>339</v>
      </c>
      <c r="D2075" s="4" t="s">
        <v>340</v>
      </c>
      <c r="E2075" s="4" t="s">
        <v>42</v>
      </c>
      <c r="F2075" s="4" t="s">
        <v>4339</v>
      </c>
      <c r="G2075" s="4" t="s">
        <v>4340</v>
      </c>
      <c r="H2075" s="4" t="s">
        <v>26</v>
      </c>
      <c r="I2075" s="4" t="s">
        <v>26</v>
      </c>
      <c r="J2075" s="4" t="s">
        <v>27</v>
      </c>
      <c r="K2075" s="4" t="s">
        <v>28</v>
      </c>
      <c r="L2075" s="4" t="s">
        <v>28</v>
      </c>
      <c r="M2075" s="4" t="s">
        <v>130</v>
      </c>
      <c r="N2075" s="4" t="s">
        <v>28</v>
      </c>
    </row>
    <row r="2076" spans="1:14" ht="14.4" thickBot="1" x14ac:dyDescent="0.35">
      <c r="A2076" s="4" t="s">
        <v>19</v>
      </c>
      <c r="B2076" s="4" t="s">
        <v>208</v>
      </c>
      <c r="C2076" s="4" t="s">
        <v>339</v>
      </c>
      <c r="D2076" s="4" t="s">
        <v>340</v>
      </c>
      <c r="E2076" s="4" t="s">
        <v>42</v>
      </c>
      <c r="F2076" s="4" t="s">
        <v>4341</v>
      </c>
      <c r="G2076" s="4" t="s">
        <v>4342</v>
      </c>
      <c r="H2076" s="4" t="s">
        <v>33</v>
      </c>
      <c r="I2076" s="4" t="s">
        <v>1005</v>
      </c>
      <c r="J2076" s="5"/>
      <c r="K2076" s="5"/>
      <c r="L2076" s="5"/>
      <c r="M2076" s="4" t="s">
        <v>29</v>
      </c>
      <c r="N2076" s="5"/>
    </row>
    <row r="2077" spans="1:14" ht="14.4" thickBot="1" x14ac:dyDescent="0.35">
      <c r="A2077" s="4" t="s">
        <v>19</v>
      </c>
      <c r="B2077" s="4" t="s">
        <v>208</v>
      </c>
      <c r="C2077" s="4" t="s">
        <v>339</v>
      </c>
      <c r="D2077" s="4" t="s">
        <v>340</v>
      </c>
      <c r="E2077" s="4" t="s">
        <v>42</v>
      </c>
      <c r="F2077" s="4" t="s">
        <v>4343</v>
      </c>
      <c r="G2077" s="4" t="s">
        <v>4344</v>
      </c>
      <c r="H2077" s="4" t="s">
        <v>26</v>
      </c>
      <c r="I2077" s="4" t="s">
        <v>94</v>
      </c>
      <c r="J2077" s="4" t="s">
        <v>27</v>
      </c>
      <c r="K2077" s="4" t="s">
        <v>28</v>
      </c>
      <c r="L2077" s="4" t="s">
        <v>28</v>
      </c>
      <c r="M2077" s="4" t="s">
        <v>29</v>
      </c>
      <c r="N2077" s="4" t="s">
        <v>28</v>
      </c>
    </row>
    <row r="2078" spans="1:14" ht="14.4" thickBot="1" x14ac:dyDescent="0.35">
      <c r="A2078" s="4" t="s">
        <v>19</v>
      </c>
      <c r="B2078" s="4" t="s">
        <v>208</v>
      </c>
      <c r="C2078" s="4" t="s">
        <v>339</v>
      </c>
      <c r="D2078" s="4" t="s">
        <v>340</v>
      </c>
      <c r="E2078" s="4" t="s">
        <v>42</v>
      </c>
      <c r="F2078" s="4" t="s">
        <v>5011</v>
      </c>
      <c r="G2078" s="4" t="s">
        <v>5012</v>
      </c>
      <c r="H2078" s="4" t="s">
        <v>26</v>
      </c>
      <c r="I2078" s="4" t="s">
        <v>26</v>
      </c>
      <c r="J2078" s="4" t="s">
        <v>27</v>
      </c>
      <c r="K2078" s="4" t="s">
        <v>28</v>
      </c>
      <c r="L2078" s="4" t="s">
        <v>28</v>
      </c>
      <c r="M2078" s="4" t="s">
        <v>130</v>
      </c>
      <c r="N2078" s="4" t="s">
        <v>28</v>
      </c>
    </row>
    <row r="2079" spans="1:14" ht="14.4" thickBot="1" x14ac:dyDescent="0.35">
      <c r="A2079" s="4" t="s">
        <v>19</v>
      </c>
      <c r="B2079" s="4" t="s">
        <v>208</v>
      </c>
      <c r="C2079" s="4" t="s">
        <v>339</v>
      </c>
      <c r="D2079" s="4" t="s">
        <v>340</v>
      </c>
      <c r="E2079" s="4" t="s">
        <v>42</v>
      </c>
      <c r="F2079" s="4" t="s">
        <v>5013</v>
      </c>
      <c r="G2079" s="4" t="s">
        <v>5014</v>
      </c>
      <c r="H2079" s="4" t="s">
        <v>26</v>
      </c>
      <c r="I2079" s="4" t="s">
        <v>94</v>
      </c>
      <c r="J2079" s="5"/>
      <c r="K2079" s="5"/>
      <c r="L2079" s="5"/>
      <c r="M2079" s="4" t="s">
        <v>29</v>
      </c>
      <c r="N2079" s="5"/>
    </row>
    <row r="2080" spans="1:14" ht="14.4" thickBot="1" x14ac:dyDescent="0.35">
      <c r="A2080" s="4" t="s">
        <v>19</v>
      </c>
      <c r="B2080" s="4" t="s">
        <v>208</v>
      </c>
      <c r="C2080" s="4" t="s">
        <v>339</v>
      </c>
      <c r="D2080" s="4" t="s">
        <v>340</v>
      </c>
      <c r="E2080" s="4" t="s">
        <v>42</v>
      </c>
      <c r="F2080" s="4" t="s">
        <v>5015</v>
      </c>
      <c r="G2080" s="4" t="s">
        <v>5016</v>
      </c>
      <c r="H2080" s="4" t="s">
        <v>26</v>
      </c>
      <c r="I2080" s="4" t="s">
        <v>33</v>
      </c>
      <c r="J2080" s="4" t="s">
        <v>27</v>
      </c>
      <c r="K2080" s="4" t="s">
        <v>28</v>
      </c>
      <c r="L2080" s="4" t="s">
        <v>28</v>
      </c>
      <c r="M2080" s="4" t="s">
        <v>34</v>
      </c>
      <c r="N2080" s="4" t="s">
        <v>28</v>
      </c>
    </row>
    <row r="2081" spans="1:14" ht="14.4" thickBot="1" x14ac:dyDescent="0.35">
      <c r="A2081" s="4" t="s">
        <v>19</v>
      </c>
      <c r="B2081" s="4" t="s">
        <v>208</v>
      </c>
      <c r="C2081" s="4" t="s">
        <v>339</v>
      </c>
      <c r="D2081" s="4" t="s">
        <v>340</v>
      </c>
      <c r="E2081" s="4" t="s">
        <v>42</v>
      </c>
      <c r="F2081" s="4" t="s">
        <v>5710</v>
      </c>
      <c r="G2081" s="4" t="s">
        <v>5711</v>
      </c>
      <c r="H2081" s="4" t="s">
        <v>26</v>
      </c>
      <c r="I2081" s="4" t="s">
        <v>33</v>
      </c>
      <c r="J2081" s="4" t="s">
        <v>27</v>
      </c>
      <c r="K2081" s="4" t="s">
        <v>28</v>
      </c>
      <c r="L2081" s="4" t="s">
        <v>28</v>
      </c>
      <c r="M2081" s="4" t="s">
        <v>34</v>
      </c>
      <c r="N2081" s="4" t="s">
        <v>28</v>
      </c>
    </row>
    <row r="2082" spans="1:14" ht="14.4" thickBot="1" x14ac:dyDescent="0.35">
      <c r="A2082" s="4" t="s">
        <v>19</v>
      </c>
      <c r="B2082" s="4" t="s">
        <v>208</v>
      </c>
      <c r="C2082" s="4" t="s">
        <v>339</v>
      </c>
      <c r="D2082" s="4" t="s">
        <v>340</v>
      </c>
      <c r="E2082" s="4" t="s">
        <v>42</v>
      </c>
      <c r="F2082" s="4" t="s">
        <v>5712</v>
      </c>
      <c r="G2082" s="4" t="s">
        <v>5713</v>
      </c>
      <c r="H2082" s="4" t="s">
        <v>37</v>
      </c>
      <c r="I2082" s="4" t="s">
        <v>38</v>
      </c>
      <c r="J2082" s="5"/>
      <c r="K2082" s="5"/>
      <c r="L2082" s="5"/>
      <c r="M2082" s="4" t="s">
        <v>29</v>
      </c>
      <c r="N2082" s="5"/>
    </row>
    <row r="2083" spans="1:14" ht="14.4" thickBot="1" x14ac:dyDescent="0.35">
      <c r="A2083" s="4" t="s">
        <v>19</v>
      </c>
      <c r="B2083" s="4" t="s">
        <v>208</v>
      </c>
      <c r="C2083" s="4" t="s">
        <v>339</v>
      </c>
      <c r="D2083" s="4" t="s">
        <v>340</v>
      </c>
      <c r="E2083" s="4" t="s">
        <v>42</v>
      </c>
      <c r="F2083" s="4" t="s">
        <v>5714</v>
      </c>
      <c r="G2083" s="4" t="s">
        <v>5715</v>
      </c>
      <c r="H2083" s="4" t="s">
        <v>26</v>
      </c>
      <c r="I2083" s="4" t="s">
        <v>26</v>
      </c>
      <c r="J2083" s="5"/>
      <c r="K2083" s="5"/>
      <c r="L2083" s="5"/>
      <c r="M2083" s="4" t="s">
        <v>29</v>
      </c>
      <c r="N2083" s="5"/>
    </row>
    <row r="2084" spans="1:14" ht="14.4" thickBot="1" x14ac:dyDescent="0.35">
      <c r="A2084" s="4" t="s">
        <v>19</v>
      </c>
      <c r="B2084" s="4" t="s">
        <v>208</v>
      </c>
      <c r="C2084" s="4" t="s">
        <v>968</v>
      </c>
      <c r="D2084" s="4" t="s">
        <v>969</v>
      </c>
      <c r="E2084" s="4" t="s">
        <v>23</v>
      </c>
      <c r="F2084" s="4" t="s">
        <v>970</v>
      </c>
      <c r="G2084" s="4" t="s">
        <v>971</v>
      </c>
      <c r="H2084" s="4" t="s">
        <v>135</v>
      </c>
      <c r="I2084" s="4" t="s">
        <v>33</v>
      </c>
      <c r="J2084" s="4" t="s">
        <v>27</v>
      </c>
      <c r="K2084" s="4" t="s">
        <v>28</v>
      </c>
      <c r="L2084" s="4" t="s">
        <v>28</v>
      </c>
      <c r="M2084" s="4" t="s">
        <v>29</v>
      </c>
      <c r="N2084" s="4" t="s">
        <v>28</v>
      </c>
    </row>
    <row r="2085" spans="1:14" ht="14.4" thickBot="1" x14ac:dyDescent="0.35">
      <c r="A2085" s="4" t="s">
        <v>19</v>
      </c>
      <c r="B2085" s="4" t="s">
        <v>208</v>
      </c>
      <c r="C2085" s="4" t="s">
        <v>968</v>
      </c>
      <c r="D2085" s="4" t="s">
        <v>969</v>
      </c>
      <c r="E2085" s="4" t="s">
        <v>23</v>
      </c>
      <c r="F2085" s="4" t="s">
        <v>1708</v>
      </c>
      <c r="G2085" s="4" t="s">
        <v>1709</v>
      </c>
      <c r="H2085" s="4" t="s">
        <v>26</v>
      </c>
      <c r="I2085" s="4" t="s">
        <v>61</v>
      </c>
      <c r="J2085" s="4" t="s">
        <v>27</v>
      </c>
      <c r="K2085" s="4" t="s">
        <v>28</v>
      </c>
      <c r="L2085" s="4" t="s">
        <v>28</v>
      </c>
      <c r="M2085" s="4" t="s">
        <v>34</v>
      </c>
      <c r="N2085" s="4" t="s">
        <v>28</v>
      </c>
    </row>
    <row r="2086" spans="1:14" ht="14.4" thickBot="1" x14ac:dyDescent="0.35">
      <c r="A2086" s="4" t="s">
        <v>19</v>
      </c>
      <c r="B2086" s="4" t="s">
        <v>208</v>
      </c>
      <c r="C2086" s="4" t="s">
        <v>968</v>
      </c>
      <c r="D2086" s="4" t="s">
        <v>969</v>
      </c>
      <c r="E2086" s="4" t="s">
        <v>23</v>
      </c>
      <c r="F2086" s="4" t="s">
        <v>1847</v>
      </c>
      <c r="G2086" s="4" t="s">
        <v>1848</v>
      </c>
      <c r="H2086" s="4" t="s">
        <v>190</v>
      </c>
      <c r="I2086" s="4" t="s">
        <v>26</v>
      </c>
      <c r="J2086" s="4" t="s">
        <v>27</v>
      </c>
      <c r="K2086" s="4" t="s">
        <v>28</v>
      </c>
      <c r="L2086" s="4" t="s">
        <v>28</v>
      </c>
      <c r="M2086" s="4" t="s">
        <v>29</v>
      </c>
      <c r="N2086" s="4" t="s">
        <v>28</v>
      </c>
    </row>
    <row r="2087" spans="1:14" ht="14.4" thickBot="1" x14ac:dyDescent="0.35">
      <c r="A2087" s="4" t="s">
        <v>19</v>
      </c>
      <c r="B2087" s="4" t="s">
        <v>208</v>
      </c>
      <c r="C2087" s="4" t="s">
        <v>968</v>
      </c>
      <c r="D2087" s="4" t="s">
        <v>969</v>
      </c>
      <c r="E2087" s="4" t="s">
        <v>23</v>
      </c>
      <c r="F2087" s="4" t="s">
        <v>2494</v>
      </c>
      <c r="G2087" s="4" t="s">
        <v>2495</v>
      </c>
      <c r="H2087" s="4" t="s">
        <v>26</v>
      </c>
      <c r="I2087" s="4" t="s">
        <v>26</v>
      </c>
      <c r="J2087" s="4" t="s">
        <v>27</v>
      </c>
      <c r="K2087" s="4" t="s">
        <v>28</v>
      </c>
      <c r="L2087" s="4" t="s">
        <v>28</v>
      </c>
      <c r="M2087" s="4" t="s">
        <v>29</v>
      </c>
      <c r="N2087" s="5"/>
    </row>
    <row r="2088" spans="1:14" ht="14.4" thickBot="1" x14ac:dyDescent="0.35">
      <c r="A2088" s="4" t="s">
        <v>19</v>
      </c>
      <c r="B2088" s="4" t="s">
        <v>208</v>
      </c>
      <c r="C2088" s="4" t="s">
        <v>968</v>
      </c>
      <c r="D2088" s="4" t="s">
        <v>969</v>
      </c>
      <c r="E2088" s="4" t="s">
        <v>23</v>
      </c>
      <c r="F2088" s="4" t="s">
        <v>3159</v>
      </c>
      <c r="G2088" s="4" t="s">
        <v>3160</v>
      </c>
      <c r="H2088" s="4" t="s">
        <v>32</v>
      </c>
      <c r="I2088" s="4" t="s">
        <v>33</v>
      </c>
      <c r="J2088" s="4" t="s">
        <v>27</v>
      </c>
      <c r="K2088" s="4" t="s">
        <v>28</v>
      </c>
      <c r="L2088" s="4" t="s">
        <v>28</v>
      </c>
      <c r="M2088" s="4" t="s">
        <v>34</v>
      </c>
      <c r="N2088" s="4" t="s">
        <v>28</v>
      </c>
    </row>
    <row r="2089" spans="1:14" ht="14.4" thickBot="1" x14ac:dyDescent="0.35">
      <c r="A2089" s="4" t="s">
        <v>19</v>
      </c>
      <c r="B2089" s="4" t="s">
        <v>208</v>
      </c>
      <c r="C2089" s="4" t="s">
        <v>968</v>
      </c>
      <c r="D2089" s="4" t="s">
        <v>969</v>
      </c>
      <c r="E2089" s="4" t="s">
        <v>23</v>
      </c>
      <c r="F2089" s="4" t="s">
        <v>4675</v>
      </c>
      <c r="G2089" s="4" t="s">
        <v>4676</v>
      </c>
      <c r="H2089" s="4" t="s">
        <v>69</v>
      </c>
      <c r="I2089" s="4" t="s">
        <v>94</v>
      </c>
      <c r="J2089" s="4" t="s">
        <v>28</v>
      </c>
      <c r="K2089" s="4" t="s">
        <v>27</v>
      </c>
      <c r="L2089" s="4" t="s">
        <v>28</v>
      </c>
      <c r="M2089" s="4" t="s">
        <v>34</v>
      </c>
      <c r="N2089" s="4" t="s">
        <v>28</v>
      </c>
    </row>
    <row r="2090" spans="1:14" ht="14.4" thickBot="1" x14ac:dyDescent="0.35">
      <c r="A2090" s="4" t="s">
        <v>19</v>
      </c>
      <c r="B2090" s="4" t="s">
        <v>208</v>
      </c>
      <c r="C2090" s="4" t="s">
        <v>968</v>
      </c>
      <c r="D2090" s="4" t="s">
        <v>969</v>
      </c>
      <c r="E2090" s="4" t="s">
        <v>23</v>
      </c>
      <c r="F2090" s="4" t="s">
        <v>1859</v>
      </c>
      <c r="G2090" s="4" t="s">
        <v>5375</v>
      </c>
      <c r="H2090" s="4" t="s">
        <v>37</v>
      </c>
      <c r="I2090" s="4" t="s">
        <v>38</v>
      </c>
      <c r="J2090" s="4" t="s">
        <v>28</v>
      </c>
      <c r="K2090" s="4" t="s">
        <v>28</v>
      </c>
      <c r="L2090" s="4" t="s">
        <v>27</v>
      </c>
      <c r="M2090" s="4" t="s">
        <v>34</v>
      </c>
      <c r="N2090" s="4" t="s">
        <v>28</v>
      </c>
    </row>
    <row r="2091" spans="1:14" ht="14.4" thickBot="1" x14ac:dyDescent="0.35">
      <c r="A2091" s="4" t="s">
        <v>19</v>
      </c>
      <c r="B2091" s="4" t="s">
        <v>208</v>
      </c>
      <c r="C2091" s="4" t="s">
        <v>968</v>
      </c>
      <c r="D2091" s="4" t="s">
        <v>969</v>
      </c>
      <c r="E2091" s="4" t="s">
        <v>23</v>
      </c>
      <c r="F2091" s="4" t="s">
        <v>6177</v>
      </c>
      <c r="G2091" s="4" t="s">
        <v>6178</v>
      </c>
      <c r="H2091" s="4" t="s">
        <v>26</v>
      </c>
      <c r="I2091" s="4" t="s">
        <v>26</v>
      </c>
      <c r="J2091" s="4" t="s">
        <v>27</v>
      </c>
      <c r="K2091" s="4" t="s">
        <v>28</v>
      </c>
      <c r="L2091" s="4" t="s">
        <v>28</v>
      </c>
      <c r="M2091" s="4" t="s">
        <v>29</v>
      </c>
      <c r="N2091" s="4" t="s">
        <v>28</v>
      </c>
    </row>
    <row r="2092" spans="1:14" ht="14.4" thickBot="1" x14ac:dyDescent="0.35">
      <c r="A2092" s="4" t="s">
        <v>19</v>
      </c>
      <c r="B2092" s="4" t="s">
        <v>208</v>
      </c>
      <c r="C2092" s="4" t="s">
        <v>209</v>
      </c>
      <c r="D2092" s="4" t="s">
        <v>210</v>
      </c>
      <c r="E2092" s="4" t="s">
        <v>48</v>
      </c>
      <c r="F2092" s="4" t="s">
        <v>211</v>
      </c>
      <c r="G2092" s="4" t="s">
        <v>212</v>
      </c>
      <c r="H2092" s="4" t="s">
        <v>135</v>
      </c>
      <c r="I2092" s="4" t="s">
        <v>38</v>
      </c>
      <c r="J2092" s="4" t="s">
        <v>28</v>
      </c>
      <c r="K2092" s="4" t="s">
        <v>28</v>
      </c>
      <c r="L2092" s="4" t="s">
        <v>27</v>
      </c>
      <c r="M2092" s="4" t="s">
        <v>29</v>
      </c>
      <c r="N2092" s="4" t="s">
        <v>28</v>
      </c>
    </row>
    <row r="2093" spans="1:14" ht="14.4" thickBot="1" x14ac:dyDescent="0.35">
      <c r="A2093" s="4" t="s">
        <v>19</v>
      </c>
      <c r="B2093" s="4" t="s">
        <v>208</v>
      </c>
      <c r="C2093" s="4" t="s">
        <v>209</v>
      </c>
      <c r="D2093" s="4" t="s">
        <v>210</v>
      </c>
      <c r="E2093" s="4" t="s">
        <v>48</v>
      </c>
      <c r="F2093" s="4" t="s">
        <v>1166</v>
      </c>
      <c r="G2093" s="4" t="s">
        <v>971</v>
      </c>
      <c r="H2093" s="4" t="s">
        <v>135</v>
      </c>
      <c r="I2093" s="4" t="s">
        <v>122</v>
      </c>
      <c r="J2093" s="4" t="s">
        <v>27</v>
      </c>
      <c r="K2093" s="4" t="s">
        <v>28</v>
      </c>
      <c r="L2093" s="4" t="s">
        <v>28</v>
      </c>
      <c r="M2093" s="4" t="s">
        <v>29</v>
      </c>
      <c r="N2093" s="4" t="s">
        <v>28</v>
      </c>
    </row>
    <row r="2094" spans="1:14" ht="14.4" thickBot="1" x14ac:dyDescent="0.35">
      <c r="A2094" s="4" t="s">
        <v>19</v>
      </c>
      <c r="B2094" s="4" t="s">
        <v>208</v>
      </c>
      <c r="C2094" s="4" t="s">
        <v>209</v>
      </c>
      <c r="D2094" s="4" t="s">
        <v>210</v>
      </c>
      <c r="E2094" s="4" t="s">
        <v>48</v>
      </c>
      <c r="F2094" s="4" t="s">
        <v>1987</v>
      </c>
      <c r="G2094" s="4" t="s">
        <v>1988</v>
      </c>
      <c r="H2094" s="4" t="s">
        <v>69</v>
      </c>
      <c r="I2094" s="4" t="s">
        <v>94</v>
      </c>
      <c r="J2094" s="4" t="s">
        <v>28</v>
      </c>
      <c r="K2094" s="4" t="s">
        <v>27</v>
      </c>
      <c r="L2094" s="4" t="s">
        <v>28</v>
      </c>
      <c r="M2094" s="4" t="s">
        <v>34</v>
      </c>
      <c r="N2094" s="4" t="s">
        <v>28</v>
      </c>
    </row>
    <row r="2095" spans="1:14" ht="14.4" thickBot="1" x14ac:dyDescent="0.35">
      <c r="A2095" s="4" t="s">
        <v>19</v>
      </c>
      <c r="B2095" s="4" t="s">
        <v>208</v>
      </c>
      <c r="C2095" s="4" t="s">
        <v>209</v>
      </c>
      <c r="D2095" s="4" t="s">
        <v>210</v>
      </c>
      <c r="E2095" s="4" t="s">
        <v>48</v>
      </c>
      <c r="F2095" s="4" t="s">
        <v>1989</v>
      </c>
      <c r="G2095" s="4" t="s">
        <v>1990</v>
      </c>
      <c r="H2095" s="4" t="s">
        <v>26</v>
      </c>
      <c r="I2095" s="4" t="s">
        <v>26</v>
      </c>
      <c r="J2095" s="4" t="s">
        <v>27</v>
      </c>
      <c r="K2095" s="4" t="s">
        <v>28</v>
      </c>
      <c r="L2095" s="4" t="s">
        <v>28</v>
      </c>
      <c r="M2095" s="4" t="s">
        <v>29</v>
      </c>
      <c r="N2095" s="4" t="s">
        <v>28</v>
      </c>
    </row>
    <row r="2096" spans="1:14" ht="14.4" thickBot="1" x14ac:dyDescent="0.35">
      <c r="A2096" s="4" t="s">
        <v>19</v>
      </c>
      <c r="B2096" s="4" t="s">
        <v>208</v>
      </c>
      <c r="C2096" s="4" t="s">
        <v>209</v>
      </c>
      <c r="D2096" s="4" t="s">
        <v>210</v>
      </c>
      <c r="E2096" s="4" t="s">
        <v>48</v>
      </c>
      <c r="F2096" s="4" t="s">
        <v>2637</v>
      </c>
      <c r="G2096" s="4" t="s">
        <v>2638</v>
      </c>
      <c r="H2096" s="4" t="s">
        <v>37</v>
      </c>
      <c r="I2096" s="4" t="s">
        <v>38</v>
      </c>
      <c r="J2096" s="4" t="s">
        <v>28</v>
      </c>
      <c r="K2096" s="4" t="s">
        <v>28</v>
      </c>
      <c r="L2096" s="4" t="s">
        <v>27</v>
      </c>
      <c r="M2096" s="4" t="s">
        <v>34</v>
      </c>
      <c r="N2096" s="4" t="s">
        <v>28</v>
      </c>
    </row>
    <row r="2097" spans="1:14" ht="14.4" thickBot="1" x14ac:dyDescent="0.35">
      <c r="A2097" s="4" t="s">
        <v>19</v>
      </c>
      <c r="B2097" s="4" t="s">
        <v>208</v>
      </c>
      <c r="C2097" s="4" t="s">
        <v>209</v>
      </c>
      <c r="D2097" s="4" t="s">
        <v>210</v>
      </c>
      <c r="E2097" s="4" t="s">
        <v>48</v>
      </c>
      <c r="F2097" s="4" t="s">
        <v>4900</v>
      </c>
      <c r="G2097" s="4" t="s">
        <v>4901</v>
      </c>
      <c r="H2097" s="4" t="s">
        <v>26</v>
      </c>
      <c r="I2097" s="4" t="s">
        <v>26</v>
      </c>
      <c r="J2097" s="5"/>
      <c r="K2097" s="5"/>
      <c r="L2097" s="5"/>
      <c r="M2097" s="4" t="s">
        <v>130</v>
      </c>
      <c r="N2097" s="5"/>
    </row>
    <row r="2098" spans="1:14" ht="14.4" thickBot="1" x14ac:dyDescent="0.35">
      <c r="A2098" s="4" t="s">
        <v>19</v>
      </c>
      <c r="B2098" s="4" t="s">
        <v>208</v>
      </c>
      <c r="C2098" s="4" t="s">
        <v>209</v>
      </c>
      <c r="D2098" s="4" t="s">
        <v>210</v>
      </c>
      <c r="E2098" s="4" t="s">
        <v>48</v>
      </c>
      <c r="F2098" s="4" t="s">
        <v>5615</v>
      </c>
      <c r="G2098" s="4" t="s">
        <v>5616</v>
      </c>
      <c r="H2098" s="4" t="s">
        <v>26</v>
      </c>
      <c r="I2098" s="4" t="s">
        <v>94</v>
      </c>
      <c r="J2098" s="4" t="s">
        <v>27</v>
      </c>
      <c r="K2098" s="4" t="s">
        <v>28</v>
      </c>
      <c r="L2098" s="4" t="s">
        <v>28</v>
      </c>
      <c r="M2098" s="4" t="s">
        <v>29</v>
      </c>
      <c r="N2098" s="4" t="s">
        <v>28</v>
      </c>
    </row>
    <row r="2099" spans="1:14" ht="14.4" thickBot="1" x14ac:dyDescent="0.35">
      <c r="A2099" s="4" t="s">
        <v>19</v>
      </c>
      <c r="B2099" s="4" t="s">
        <v>208</v>
      </c>
      <c r="C2099" s="4" t="s">
        <v>209</v>
      </c>
      <c r="D2099" s="4" t="s">
        <v>210</v>
      </c>
      <c r="E2099" s="4" t="s">
        <v>48</v>
      </c>
      <c r="F2099" s="4" t="s">
        <v>5617</v>
      </c>
      <c r="G2099" s="4" t="s">
        <v>5618</v>
      </c>
      <c r="H2099" s="4" t="s">
        <v>135</v>
      </c>
      <c r="I2099" s="4" t="s">
        <v>33</v>
      </c>
      <c r="J2099" s="4" t="s">
        <v>27</v>
      </c>
      <c r="K2099" s="4" t="s">
        <v>28</v>
      </c>
      <c r="L2099" s="4" t="s">
        <v>28</v>
      </c>
      <c r="M2099" s="4" t="s">
        <v>34</v>
      </c>
      <c r="N2099" s="4" t="s">
        <v>28</v>
      </c>
    </row>
    <row r="2100" spans="1:14" ht="14.4" thickBot="1" x14ac:dyDescent="0.35">
      <c r="A2100" s="4" t="s">
        <v>19</v>
      </c>
      <c r="B2100" s="4" t="s">
        <v>213</v>
      </c>
      <c r="C2100" s="4" t="s">
        <v>214</v>
      </c>
      <c r="D2100" s="4" t="s">
        <v>215</v>
      </c>
      <c r="E2100" s="4" t="s">
        <v>87</v>
      </c>
      <c r="F2100" s="4" t="s">
        <v>112</v>
      </c>
      <c r="G2100" s="4" t="s">
        <v>216</v>
      </c>
      <c r="H2100" s="4" t="s">
        <v>26</v>
      </c>
      <c r="I2100" s="4" t="s">
        <v>26</v>
      </c>
      <c r="J2100" s="4" t="s">
        <v>27</v>
      </c>
      <c r="K2100" s="4" t="s">
        <v>28</v>
      </c>
      <c r="L2100" s="4" t="s">
        <v>28</v>
      </c>
      <c r="M2100" s="4" t="s">
        <v>29</v>
      </c>
      <c r="N2100" s="4" t="s">
        <v>28</v>
      </c>
    </row>
    <row r="2101" spans="1:14" ht="14.4" thickBot="1" x14ac:dyDescent="0.35">
      <c r="A2101" s="4" t="s">
        <v>19</v>
      </c>
      <c r="B2101" s="4" t="s">
        <v>213</v>
      </c>
      <c r="C2101" s="4" t="s">
        <v>214</v>
      </c>
      <c r="D2101" s="4" t="s">
        <v>215</v>
      </c>
      <c r="E2101" s="4" t="s">
        <v>87</v>
      </c>
      <c r="F2101" s="4" t="s">
        <v>217</v>
      </c>
      <c r="G2101" s="4" t="s">
        <v>218</v>
      </c>
      <c r="H2101" s="4" t="s">
        <v>26</v>
      </c>
      <c r="I2101" s="4" t="s">
        <v>26</v>
      </c>
      <c r="J2101" s="4" t="s">
        <v>27</v>
      </c>
      <c r="K2101" s="4" t="s">
        <v>28</v>
      </c>
      <c r="L2101" s="4" t="s">
        <v>28</v>
      </c>
      <c r="M2101" s="4" t="s">
        <v>29</v>
      </c>
      <c r="N2101" s="4" t="s">
        <v>28</v>
      </c>
    </row>
    <row r="2102" spans="1:14" ht="14.4" thickBot="1" x14ac:dyDescent="0.35">
      <c r="A2102" s="4" t="s">
        <v>19</v>
      </c>
      <c r="B2102" s="4" t="s">
        <v>213</v>
      </c>
      <c r="C2102" s="4" t="s">
        <v>214</v>
      </c>
      <c r="D2102" s="4" t="s">
        <v>215</v>
      </c>
      <c r="E2102" s="4" t="s">
        <v>87</v>
      </c>
      <c r="F2102" s="4" t="s">
        <v>219</v>
      </c>
      <c r="G2102" s="4" t="s">
        <v>220</v>
      </c>
      <c r="H2102" s="4" t="s">
        <v>26</v>
      </c>
      <c r="I2102" s="4" t="s">
        <v>26</v>
      </c>
      <c r="J2102" s="4" t="s">
        <v>27</v>
      </c>
      <c r="K2102" s="4" t="s">
        <v>28</v>
      </c>
      <c r="L2102" s="4" t="s">
        <v>28</v>
      </c>
      <c r="M2102" s="4" t="s">
        <v>29</v>
      </c>
      <c r="N2102" s="4" t="s">
        <v>28</v>
      </c>
    </row>
    <row r="2103" spans="1:14" ht="14.4" thickBot="1" x14ac:dyDescent="0.35">
      <c r="A2103" s="4" t="s">
        <v>19</v>
      </c>
      <c r="B2103" s="4" t="s">
        <v>213</v>
      </c>
      <c r="C2103" s="4" t="s">
        <v>214</v>
      </c>
      <c r="D2103" s="4" t="s">
        <v>215</v>
      </c>
      <c r="E2103" s="4" t="s">
        <v>87</v>
      </c>
      <c r="F2103" s="4" t="s">
        <v>221</v>
      </c>
      <c r="G2103" s="4" t="s">
        <v>222</v>
      </c>
      <c r="H2103" s="4" t="s">
        <v>26</v>
      </c>
      <c r="I2103" s="4" t="s">
        <v>33</v>
      </c>
      <c r="J2103" s="4" t="s">
        <v>27</v>
      </c>
      <c r="K2103" s="4" t="s">
        <v>28</v>
      </c>
      <c r="L2103" s="4" t="s">
        <v>28</v>
      </c>
      <c r="M2103" s="4" t="s">
        <v>34</v>
      </c>
      <c r="N2103" s="4" t="s">
        <v>28</v>
      </c>
    </row>
    <row r="2104" spans="1:14" ht="14.4" thickBot="1" x14ac:dyDescent="0.35">
      <c r="A2104" s="4" t="s">
        <v>19</v>
      </c>
      <c r="B2104" s="4" t="s">
        <v>213</v>
      </c>
      <c r="C2104" s="4" t="s">
        <v>214</v>
      </c>
      <c r="D2104" s="4" t="s">
        <v>215</v>
      </c>
      <c r="E2104" s="4" t="s">
        <v>87</v>
      </c>
      <c r="F2104" s="4" t="s">
        <v>223</v>
      </c>
      <c r="G2104" s="4" t="s">
        <v>224</v>
      </c>
      <c r="H2104" s="4" t="s">
        <v>26</v>
      </c>
      <c r="I2104" s="4" t="s">
        <v>69</v>
      </c>
      <c r="J2104" s="5"/>
      <c r="K2104" s="5"/>
      <c r="L2104" s="5"/>
      <c r="M2104" s="4" t="s">
        <v>29</v>
      </c>
      <c r="N2104" s="5"/>
    </row>
    <row r="2105" spans="1:14" ht="14.4" thickBot="1" x14ac:dyDescent="0.35">
      <c r="A2105" s="4" t="s">
        <v>19</v>
      </c>
      <c r="B2105" s="4" t="s">
        <v>213</v>
      </c>
      <c r="C2105" s="4" t="s">
        <v>214</v>
      </c>
      <c r="D2105" s="4" t="s">
        <v>215</v>
      </c>
      <c r="E2105" s="4" t="s">
        <v>87</v>
      </c>
      <c r="F2105" s="4" t="s">
        <v>225</v>
      </c>
      <c r="G2105" s="4" t="s">
        <v>226</v>
      </c>
      <c r="H2105" s="4" t="s">
        <v>26</v>
      </c>
      <c r="I2105" s="4" t="s">
        <v>26</v>
      </c>
      <c r="J2105" s="4" t="s">
        <v>27</v>
      </c>
      <c r="K2105" s="4" t="s">
        <v>28</v>
      </c>
      <c r="L2105" s="4" t="s">
        <v>28</v>
      </c>
      <c r="M2105" s="4" t="s">
        <v>29</v>
      </c>
      <c r="N2105" s="4" t="s">
        <v>28</v>
      </c>
    </row>
    <row r="2106" spans="1:14" ht="14.4" thickBot="1" x14ac:dyDescent="0.35">
      <c r="A2106" s="4" t="s">
        <v>19</v>
      </c>
      <c r="B2106" s="4" t="s">
        <v>213</v>
      </c>
      <c r="C2106" s="4" t="s">
        <v>214</v>
      </c>
      <c r="D2106" s="4" t="s">
        <v>215</v>
      </c>
      <c r="E2106" s="4" t="s">
        <v>87</v>
      </c>
      <c r="F2106" s="4" t="s">
        <v>227</v>
      </c>
      <c r="G2106" s="4" t="s">
        <v>228</v>
      </c>
      <c r="H2106" s="4" t="s">
        <v>26</v>
      </c>
      <c r="I2106" s="4" t="s">
        <v>33</v>
      </c>
      <c r="J2106" s="4" t="s">
        <v>27</v>
      </c>
      <c r="K2106" s="4" t="s">
        <v>28</v>
      </c>
      <c r="L2106" s="4" t="s">
        <v>28</v>
      </c>
      <c r="M2106" s="4" t="s">
        <v>34</v>
      </c>
      <c r="N2106" s="4" t="s">
        <v>28</v>
      </c>
    </row>
    <row r="2107" spans="1:14" ht="14.4" thickBot="1" x14ac:dyDescent="0.35">
      <c r="A2107" s="4" t="s">
        <v>19</v>
      </c>
      <c r="B2107" s="4" t="s">
        <v>213</v>
      </c>
      <c r="C2107" s="4" t="s">
        <v>214</v>
      </c>
      <c r="D2107" s="4" t="s">
        <v>215</v>
      </c>
      <c r="E2107" s="4" t="s">
        <v>87</v>
      </c>
      <c r="F2107" s="4" t="s">
        <v>229</v>
      </c>
      <c r="G2107" s="4" t="s">
        <v>230</v>
      </c>
      <c r="H2107" s="4" t="s">
        <v>135</v>
      </c>
      <c r="I2107" s="4" t="s">
        <v>33</v>
      </c>
      <c r="J2107" s="4" t="s">
        <v>27</v>
      </c>
      <c r="K2107" s="4" t="s">
        <v>28</v>
      </c>
      <c r="L2107" s="4" t="s">
        <v>28</v>
      </c>
      <c r="M2107" s="4" t="s">
        <v>34</v>
      </c>
      <c r="N2107" s="4" t="s">
        <v>28</v>
      </c>
    </row>
    <row r="2108" spans="1:14" ht="14.4" thickBot="1" x14ac:dyDescent="0.35">
      <c r="A2108" s="4" t="s">
        <v>19</v>
      </c>
      <c r="B2108" s="4" t="s">
        <v>213</v>
      </c>
      <c r="C2108" s="4" t="s">
        <v>214</v>
      </c>
      <c r="D2108" s="4" t="s">
        <v>215</v>
      </c>
      <c r="E2108" s="4" t="s">
        <v>87</v>
      </c>
      <c r="F2108" s="4" t="s">
        <v>231</v>
      </c>
      <c r="G2108" s="4" t="s">
        <v>232</v>
      </c>
      <c r="H2108" s="4" t="s">
        <v>26</v>
      </c>
      <c r="I2108" s="4" t="s">
        <v>33</v>
      </c>
      <c r="J2108" s="4" t="s">
        <v>27</v>
      </c>
      <c r="K2108" s="4" t="s">
        <v>28</v>
      </c>
      <c r="L2108" s="4" t="s">
        <v>28</v>
      </c>
      <c r="M2108" s="4" t="s">
        <v>34</v>
      </c>
      <c r="N2108" s="4" t="s">
        <v>28</v>
      </c>
    </row>
    <row r="2109" spans="1:14" ht="14.4" thickBot="1" x14ac:dyDescent="0.35">
      <c r="A2109" s="4" t="s">
        <v>19</v>
      </c>
      <c r="B2109" s="4" t="s">
        <v>213</v>
      </c>
      <c r="C2109" s="4" t="s">
        <v>214</v>
      </c>
      <c r="D2109" s="4" t="s">
        <v>215</v>
      </c>
      <c r="E2109" s="4" t="s">
        <v>87</v>
      </c>
      <c r="F2109" s="4" t="s">
        <v>1167</v>
      </c>
      <c r="G2109" s="4" t="s">
        <v>1168</v>
      </c>
      <c r="H2109" s="4" t="s">
        <v>26</v>
      </c>
      <c r="I2109" s="4" t="s">
        <v>26</v>
      </c>
      <c r="J2109" s="4" t="s">
        <v>27</v>
      </c>
      <c r="K2109" s="4" t="s">
        <v>28</v>
      </c>
      <c r="L2109" s="4" t="s">
        <v>28</v>
      </c>
      <c r="M2109" s="4" t="s">
        <v>29</v>
      </c>
      <c r="N2109" s="4" t="s">
        <v>28</v>
      </c>
    </row>
    <row r="2110" spans="1:14" ht="14.4" thickBot="1" x14ac:dyDescent="0.35">
      <c r="A2110" s="4" t="s">
        <v>19</v>
      </c>
      <c r="B2110" s="4" t="s">
        <v>213</v>
      </c>
      <c r="C2110" s="4" t="s">
        <v>214</v>
      </c>
      <c r="D2110" s="4" t="s">
        <v>215</v>
      </c>
      <c r="E2110" s="4" t="s">
        <v>87</v>
      </c>
      <c r="F2110" s="4" t="s">
        <v>1169</v>
      </c>
      <c r="G2110" s="4" t="s">
        <v>1170</v>
      </c>
      <c r="H2110" s="4" t="s">
        <v>135</v>
      </c>
      <c r="I2110" s="4" t="s">
        <v>33</v>
      </c>
      <c r="J2110" s="4" t="s">
        <v>27</v>
      </c>
      <c r="K2110" s="4" t="s">
        <v>28</v>
      </c>
      <c r="L2110" s="4" t="s">
        <v>28</v>
      </c>
      <c r="M2110" s="4" t="s">
        <v>34</v>
      </c>
      <c r="N2110" s="4" t="s">
        <v>28</v>
      </c>
    </row>
    <row r="2111" spans="1:14" ht="14.4" thickBot="1" x14ac:dyDescent="0.35">
      <c r="A2111" s="4" t="s">
        <v>19</v>
      </c>
      <c r="B2111" s="4" t="s">
        <v>213</v>
      </c>
      <c r="C2111" s="4" t="s">
        <v>214</v>
      </c>
      <c r="D2111" s="4" t="s">
        <v>215</v>
      </c>
      <c r="E2111" s="4" t="s">
        <v>87</v>
      </c>
      <c r="F2111" s="4" t="s">
        <v>1171</v>
      </c>
      <c r="G2111" s="4" t="s">
        <v>1172</v>
      </c>
      <c r="H2111" s="4" t="s">
        <v>26</v>
      </c>
      <c r="I2111" s="4" t="s">
        <v>26</v>
      </c>
      <c r="J2111" s="4" t="s">
        <v>27</v>
      </c>
      <c r="K2111" s="4" t="s">
        <v>28</v>
      </c>
      <c r="L2111" s="4" t="s">
        <v>28</v>
      </c>
      <c r="M2111" s="4" t="s">
        <v>29</v>
      </c>
      <c r="N2111" s="4" t="s">
        <v>28</v>
      </c>
    </row>
    <row r="2112" spans="1:14" ht="14.4" thickBot="1" x14ac:dyDescent="0.35">
      <c r="A2112" s="4" t="s">
        <v>19</v>
      </c>
      <c r="B2112" s="4" t="s">
        <v>213</v>
      </c>
      <c r="C2112" s="4" t="s">
        <v>214</v>
      </c>
      <c r="D2112" s="4" t="s">
        <v>215</v>
      </c>
      <c r="E2112" s="4" t="s">
        <v>87</v>
      </c>
      <c r="F2112" s="4" t="s">
        <v>1173</v>
      </c>
      <c r="G2112" s="4" t="s">
        <v>1174</v>
      </c>
      <c r="H2112" s="4" t="s">
        <v>135</v>
      </c>
      <c r="I2112" s="4" t="s">
        <v>38</v>
      </c>
      <c r="J2112" s="4" t="s">
        <v>28</v>
      </c>
      <c r="K2112" s="4" t="s">
        <v>28</v>
      </c>
      <c r="L2112" s="4" t="s">
        <v>27</v>
      </c>
      <c r="M2112" s="4" t="s">
        <v>34</v>
      </c>
      <c r="N2112" s="4" t="s">
        <v>28</v>
      </c>
    </row>
    <row r="2113" spans="1:14" ht="14.4" thickBot="1" x14ac:dyDescent="0.35">
      <c r="A2113" s="4" t="s">
        <v>19</v>
      </c>
      <c r="B2113" s="4" t="s">
        <v>213</v>
      </c>
      <c r="C2113" s="4" t="s">
        <v>214</v>
      </c>
      <c r="D2113" s="4" t="s">
        <v>215</v>
      </c>
      <c r="E2113" s="4" t="s">
        <v>87</v>
      </c>
      <c r="F2113" s="4" t="s">
        <v>1175</v>
      </c>
      <c r="G2113" s="4" t="s">
        <v>1176</v>
      </c>
      <c r="H2113" s="4" t="s">
        <v>69</v>
      </c>
      <c r="I2113" s="4" t="s">
        <v>94</v>
      </c>
      <c r="J2113" s="4" t="s">
        <v>28</v>
      </c>
      <c r="K2113" s="4" t="s">
        <v>27</v>
      </c>
      <c r="L2113" s="4" t="s">
        <v>28</v>
      </c>
      <c r="M2113" s="4" t="s">
        <v>34</v>
      </c>
      <c r="N2113" s="4" t="s">
        <v>28</v>
      </c>
    </row>
    <row r="2114" spans="1:14" ht="14.4" thickBot="1" x14ac:dyDescent="0.35">
      <c r="A2114" s="4" t="s">
        <v>19</v>
      </c>
      <c r="B2114" s="4" t="s">
        <v>213</v>
      </c>
      <c r="C2114" s="4" t="s">
        <v>214</v>
      </c>
      <c r="D2114" s="4" t="s">
        <v>215</v>
      </c>
      <c r="E2114" s="4" t="s">
        <v>87</v>
      </c>
      <c r="F2114" s="4" t="s">
        <v>1177</v>
      </c>
      <c r="G2114" s="4" t="s">
        <v>1178</v>
      </c>
      <c r="H2114" s="4" t="s">
        <v>26</v>
      </c>
      <c r="I2114" s="4" t="s">
        <v>33</v>
      </c>
      <c r="J2114" s="4" t="s">
        <v>27</v>
      </c>
      <c r="K2114" s="4" t="s">
        <v>28</v>
      </c>
      <c r="L2114" s="4" t="s">
        <v>28</v>
      </c>
      <c r="M2114" s="4" t="s">
        <v>34</v>
      </c>
      <c r="N2114" s="4" t="s">
        <v>28</v>
      </c>
    </row>
    <row r="2115" spans="1:14" ht="14.4" thickBot="1" x14ac:dyDescent="0.35">
      <c r="A2115" s="4" t="s">
        <v>19</v>
      </c>
      <c r="B2115" s="4" t="s">
        <v>213</v>
      </c>
      <c r="C2115" s="4" t="s">
        <v>214</v>
      </c>
      <c r="D2115" s="4" t="s">
        <v>215</v>
      </c>
      <c r="E2115" s="4" t="s">
        <v>87</v>
      </c>
      <c r="F2115" s="4" t="s">
        <v>1179</v>
      </c>
      <c r="G2115" s="4" t="s">
        <v>1180</v>
      </c>
      <c r="H2115" s="4" t="s">
        <v>26</v>
      </c>
      <c r="I2115" s="4" t="s">
        <v>33</v>
      </c>
      <c r="J2115" s="4" t="s">
        <v>27</v>
      </c>
      <c r="K2115" s="4" t="s">
        <v>28</v>
      </c>
      <c r="L2115" s="4" t="s">
        <v>28</v>
      </c>
      <c r="M2115" s="4" t="s">
        <v>34</v>
      </c>
      <c r="N2115" s="4" t="s">
        <v>28</v>
      </c>
    </row>
    <row r="2116" spans="1:14" ht="14.4" thickBot="1" x14ac:dyDescent="0.35">
      <c r="A2116" s="4" t="s">
        <v>19</v>
      </c>
      <c r="B2116" s="4" t="s">
        <v>213</v>
      </c>
      <c r="C2116" s="4" t="s">
        <v>214</v>
      </c>
      <c r="D2116" s="4" t="s">
        <v>215</v>
      </c>
      <c r="E2116" s="4" t="s">
        <v>87</v>
      </c>
      <c r="F2116" s="4" t="s">
        <v>1991</v>
      </c>
      <c r="G2116" s="4" t="s">
        <v>1992</v>
      </c>
      <c r="H2116" s="4" t="s">
        <v>26</v>
      </c>
      <c r="I2116" s="4" t="s">
        <v>33</v>
      </c>
      <c r="J2116" s="4" t="s">
        <v>27</v>
      </c>
      <c r="K2116" s="4" t="s">
        <v>28</v>
      </c>
      <c r="L2116" s="4" t="s">
        <v>28</v>
      </c>
      <c r="M2116" s="4" t="s">
        <v>34</v>
      </c>
      <c r="N2116" s="4" t="s">
        <v>28</v>
      </c>
    </row>
    <row r="2117" spans="1:14" ht="14.4" thickBot="1" x14ac:dyDescent="0.35">
      <c r="A2117" s="4" t="s">
        <v>19</v>
      </c>
      <c r="B2117" s="4" t="s">
        <v>213</v>
      </c>
      <c r="C2117" s="4" t="s">
        <v>214</v>
      </c>
      <c r="D2117" s="4" t="s">
        <v>215</v>
      </c>
      <c r="E2117" s="4" t="s">
        <v>87</v>
      </c>
      <c r="F2117" s="4" t="s">
        <v>1993</v>
      </c>
      <c r="G2117" s="4" t="s">
        <v>1994</v>
      </c>
      <c r="H2117" s="4" t="s">
        <v>61</v>
      </c>
      <c r="I2117" s="4" t="s">
        <v>38</v>
      </c>
      <c r="J2117" s="5"/>
      <c r="K2117" s="5"/>
      <c r="L2117" s="5"/>
      <c r="M2117" s="4" t="s">
        <v>29</v>
      </c>
      <c r="N2117" s="5"/>
    </row>
    <row r="2118" spans="1:14" ht="14.4" thickBot="1" x14ac:dyDescent="0.35">
      <c r="A2118" s="4" t="s">
        <v>19</v>
      </c>
      <c r="B2118" s="4" t="s">
        <v>213</v>
      </c>
      <c r="C2118" s="4" t="s">
        <v>214</v>
      </c>
      <c r="D2118" s="4" t="s">
        <v>215</v>
      </c>
      <c r="E2118" s="4" t="s">
        <v>87</v>
      </c>
      <c r="F2118" s="4" t="s">
        <v>1995</v>
      </c>
      <c r="G2118" s="4" t="s">
        <v>1996</v>
      </c>
      <c r="H2118" s="4" t="s">
        <v>26</v>
      </c>
      <c r="I2118" s="4" t="s">
        <v>135</v>
      </c>
      <c r="J2118" s="4" t="s">
        <v>27</v>
      </c>
      <c r="K2118" s="4" t="s">
        <v>28</v>
      </c>
      <c r="L2118" s="4" t="s">
        <v>28</v>
      </c>
      <c r="M2118" s="4" t="s">
        <v>29</v>
      </c>
      <c r="N2118" s="4" t="s">
        <v>28</v>
      </c>
    </row>
    <row r="2119" spans="1:14" ht="14.4" thickBot="1" x14ac:dyDescent="0.35">
      <c r="A2119" s="4" t="s">
        <v>19</v>
      </c>
      <c r="B2119" s="4" t="s">
        <v>213</v>
      </c>
      <c r="C2119" s="4" t="s">
        <v>214</v>
      </c>
      <c r="D2119" s="4" t="s">
        <v>215</v>
      </c>
      <c r="E2119" s="4" t="s">
        <v>87</v>
      </c>
      <c r="F2119" s="4" t="s">
        <v>1997</v>
      </c>
      <c r="G2119" s="4" t="s">
        <v>1998</v>
      </c>
      <c r="H2119" s="4" t="s">
        <v>26</v>
      </c>
      <c r="I2119" s="4" t="s">
        <v>69</v>
      </c>
      <c r="J2119" s="4" t="s">
        <v>27</v>
      </c>
      <c r="K2119" s="4" t="s">
        <v>28</v>
      </c>
      <c r="L2119" s="4" t="s">
        <v>28</v>
      </c>
      <c r="M2119" s="4" t="s">
        <v>34</v>
      </c>
      <c r="N2119" s="4" t="s">
        <v>27</v>
      </c>
    </row>
    <row r="2120" spans="1:14" ht="14.4" thickBot="1" x14ac:dyDescent="0.35">
      <c r="A2120" s="4" t="s">
        <v>19</v>
      </c>
      <c r="B2120" s="4" t="s">
        <v>213</v>
      </c>
      <c r="C2120" s="4" t="s">
        <v>214</v>
      </c>
      <c r="D2120" s="4" t="s">
        <v>215</v>
      </c>
      <c r="E2120" s="4" t="s">
        <v>87</v>
      </c>
      <c r="F2120" s="4" t="s">
        <v>1999</v>
      </c>
      <c r="G2120" s="4" t="s">
        <v>2000</v>
      </c>
      <c r="H2120" s="4" t="s">
        <v>69</v>
      </c>
      <c r="I2120" s="4" t="s">
        <v>94</v>
      </c>
      <c r="J2120" s="4" t="s">
        <v>28</v>
      </c>
      <c r="K2120" s="4" t="s">
        <v>27</v>
      </c>
      <c r="L2120" s="4" t="s">
        <v>28</v>
      </c>
      <c r="M2120" s="4" t="s">
        <v>34</v>
      </c>
      <c r="N2120" s="4" t="s">
        <v>28</v>
      </c>
    </row>
    <row r="2121" spans="1:14" ht="14.4" thickBot="1" x14ac:dyDescent="0.35">
      <c r="A2121" s="4" t="s">
        <v>19</v>
      </c>
      <c r="B2121" s="4" t="s">
        <v>213</v>
      </c>
      <c r="C2121" s="4" t="s">
        <v>214</v>
      </c>
      <c r="D2121" s="4" t="s">
        <v>215</v>
      </c>
      <c r="E2121" s="4" t="s">
        <v>87</v>
      </c>
      <c r="F2121" s="4" t="s">
        <v>2001</v>
      </c>
      <c r="G2121" s="4" t="s">
        <v>2002</v>
      </c>
      <c r="H2121" s="4" t="s">
        <v>135</v>
      </c>
      <c r="I2121" s="4" t="s">
        <v>38</v>
      </c>
      <c r="J2121" s="4" t="s">
        <v>28</v>
      </c>
      <c r="K2121" s="4" t="s">
        <v>28</v>
      </c>
      <c r="L2121" s="4" t="s">
        <v>27</v>
      </c>
      <c r="M2121" s="4" t="s">
        <v>34</v>
      </c>
      <c r="N2121" s="4" t="s">
        <v>27</v>
      </c>
    </row>
    <row r="2122" spans="1:14" ht="14.4" thickBot="1" x14ac:dyDescent="0.35">
      <c r="A2122" s="4" t="s">
        <v>19</v>
      </c>
      <c r="B2122" s="4" t="s">
        <v>213</v>
      </c>
      <c r="C2122" s="4" t="s">
        <v>214</v>
      </c>
      <c r="D2122" s="4" t="s">
        <v>215</v>
      </c>
      <c r="E2122" s="4" t="s">
        <v>87</v>
      </c>
      <c r="F2122" s="4" t="s">
        <v>2003</v>
      </c>
      <c r="G2122" s="4" t="s">
        <v>2004</v>
      </c>
      <c r="H2122" s="4" t="s">
        <v>26</v>
      </c>
      <c r="I2122" s="4" t="s">
        <v>26</v>
      </c>
      <c r="J2122" s="4" t="s">
        <v>27</v>
      </c>
      <c r="K2122" s="4" t="s">
        <v>28</v>
      </c>
      <c r="L2122" s="4" t="s">
        <v>28</v>
      </c>
      <c r="M2122" s="4" t="s">
        <v>29</v>
      </c>
      <c r="N2122" s="4" t="s">
        <v>28</v>
      </c>
    </row>
    <row r="2123" spans="1:14" ht="14.4" thickBot="1" x14ac:dyDescent="0.35">
      <c r="A2123" s="4" t="s">
        <v>19</v>
      </c>
      <c r="B2123" s="4" t="s">
        <v>213</v>
      </c>
      <c r="C2123" s="4" t="s">
        <v>214</v>
      </c>
      <c r="D2123" s="4" t="s">
        <v>215</v>
      </c>
      <c r="E2123" s="4" t="s">
        <v>87</v>
      </c>
      <c r="F2123" s="4" t="s">
        <v>2005</v>
      </c>
      <c r="G2123" s="4" t="s">
        <v>2006</v>
      </c>
      <c r="H2123" s="4" t="s">
        <v>26</v>
      </c>
      <c r="I2123" s="4" t="s">
        <v>33</v>
      </c>
      <c r="J2123" s="4" t="s">
        <v>27</v>
      </c>
      <c r="K2123" s="4" t="s">
        <v>28</v>
      </c>
      <c r="L2123" s="4" t="s">
        <v>28</v>
      </c>
      <c r="M2123" s="4" t="s">
        <v>34</v>
      </c>
      <c r="N2123" s="4" t="s">
        <v>28</v>
      </c>
    </row>
    <row r="2124" spans="1:14" ht="14.4" thickBot="1" x14ac:dyDescent="0.35">
      <c r="A2124" s="4" t="s">
        <v>19</v>
      </c>
      <c r="B2124" s="4" t="s">
        <v>213</v>
      </c>
      <c r="C2124" s="4" t="s">
        <v>214</v>
      </c>
      <c r="D2124" s="4" t="s">
        <v>215</v>
      </c>
      <c r="E2124" s="4" t="s">
        <v>87</v>
      </c>
      <c r="F2124" s="4" t="s">
        <v>2007</v>
      </c>
      <c r="G2124" s="4" t="s">
        <v>2008</v>
      </c>
      <c r="H2124" s="4" t="s">
        <v>26</v>
      </c>
      <c r="I2124" s="4" t="s">
        <v>33</v>
      </c>
      <c r="J2124" s="4" t="s">
        <v>27</v>
      </c>
      <c r="K2124" s="4" t="s">
        <v>28</v>
      </c>
      <c r="L2124" s="4" t="s">
        <v>28</v>
      </c>
      <c r="M2124" s="4" t="s">
        <v>34</v>
      </c>
      <c r="N2124" s="4" t="s">
        <v>28</v>
      </c>
    </row>
    <row r="2125" spans="1:14" ht="14.4" thickBot="1" x14ac:dyDescent="0.35">
      <c r="A2125" s="4" t="s">
        <v>19</v>
      </c>
      <c r="B2125" s="4" t="s">
        <v>213</v>
      </c>
      <c r="C2125" s="4" t="s">
        <v>214</v>
      </c>
      <c r="D2125" s="4" t="s">
        <v>215</v>
      </c>
      <c r="E2125" s="4" t="s">
        <v>87</v>
      </c>
      <c r="F2125" s="4" t="s">
        <v>2009</v>
      </c>
      <c r="G2125" s="4" t="s">
        <v>2010</v>
      </c>
      <c r="H2125" s="4" t="s">
        <v>69</v>
      </c>
      <c r="I2125" s="4" t="s">
        <v>94</v>
      </c>
      <c r="J2125" s="4" t="s">
        <v>28</v>
      </c>
      <c r="K2125" s="4" t="s">
        <v>27</v>
      </c>
      <c r="L2125" s="4" t="s">
        <v>28</v>
      </c>
      <c r="M2125" s="4" t="s">
        <v>34</v>
      </c>
      <c r="N2125" s="4" t="s">
        <v>28</v>
      </c>
    </row>
    <row r="2126" spans="1:14" ht="14.4" thickBot="1" x14ac:dyDescent="0.35">
      <c r="A2126" s="4" t="s">
        <v>19</v>
      </c>
      <c r="B2126" s="4" t="s">
        <v>213</v>
      </c>
      <c r="C2126" s="4" t="s">
        <v>214</v>
      </c>
      <c r="D2126" s="4" t="s">
        <v>215</v>
      </c>
      <c r="E2126" s="4" t="s">
        <v>87</v>
      </c>
      <c r="F2126" s="4" t="s">
        <v>2011</v>
      </c>
      <c r="G2126" s="4" t="s">
        <v>2012</v>
      </c>
      <c r="H2126" s="4" t="s">
        <v>135</v>
      </c>
      <c r="I2126" s="4" t="s">
        <v>38</v>
      </c>
      <c r="J2126" s="4" t="s">
        <v>28</v>
      </c>
      <c r="K2126" s="4" t="s">
        <v>28</v>
      </c>
      <c r="L2126" s="4" t="s">
        <v>27</v>
      </c>
      <c r="M2126" s="4" t="s">
        <v>34</v>
      </c>
      <c r="N2126" s="4" t="s">
        <v>27</v>
      </c>
    </row>
    <row r="2127" spans="1:14" ht="14.4" thickBot="1" x14ac:dyDescent="0.35">
      <c r="A2127" s="4" t="s">
        <v>19</v>
      </c>
      <c r="B2127" s="4" t="s">
        <v>213</v>
      </c>
      <c r="C2127" s="4" t="s">
        <v>214</v>
      </c>
      <c r="D2127" s="4" t="s">
        <v>215</v>
      </c>
      <c r="E2127" s="4" t="s">
        <v>87</v>
      </c>
      <c r="F2127" s="4" t="s">
        <v>2013</v>
      </c>
      <c r="G2127" s="4" t="s">
        <v>2014</v>
      </c>
      <c r="H2127" s="4" t="s">
        <v>69</v>
      </c>
      <c r="I2127" s="4" t="s">
        <v>94</v>
      </c>
      <c r="J2127" s="4" t="s">
        <v>28</v>
      </c>
      <c r="K2127" s="4" t="s">
        <v>27</v>
      </c>
      <c r="L2127" s="4" t="s">
        <v>28</v>
      </c>
      <c r="M2127" s="4" t="s">
        <v>34</v>
      </c>
      <c r="N2127" s="4" t="s">
        <v>28</v>
      </c>
    </row>
    <row r="2128" spans="1:14" ht="14.4" thickBot="1" x14ac:dyDescent="0.35">
      <c r="A2128" s="4" t="s">
        <v>19</v>
      </c>
      <c r="B2128" s="4" t="s">
        <v>213</v>
      </c>
      <c r="C2128" s="4" t="s">
        <v>214</v>
      </c>
      <c r="D2128" s="4" t="s">
        <v>215</v>
      </c>
      <c r="E2128" s="4" t="s">
        <v>87</v>
      </c>
      <c r="F2128" s="4" t="s">
        <v>2015</v>
      </c>
      <c r="G2128" s="4" t="s">
        <v>2016</v>
      </c>
      <c r="H2128" s="4" t="s">
        <v>69</v>
      </c>
      <c r="I2128" s="4" t="s">
        <v>94</v>
      </c>
      <c r="J2128" s="4" t="s">
        <v>28</v>
      </c>
      <c r="K2128" s="4" t="s">
        <v>27</v>
      </c>
      <c r="L2128" s="4" t="s">
        <v>28</v>
      </c>
      <c r="M2128" s="4" t="s">
        <v>34</v>
      </c>
      <c r="N2128" s="4" t="s">
        <v>28</v>
      </c>
    </row>
    <row r="2129" spans="1:14" ht="14.4" thickBot="1" x14ac:dyDescent="0.35">
      <c r="A2129" s="4" t="s">
        <v>19</v>
      </c>
      <c r="B2129" s="4" t="s">
        <v>213</v>
      </c>
      <c r="C2129" s="4" t="s">
        <v>214</v>
      </c>
      <c r="D2129" s="4" t="s">
        <v>215</v>
      </c>
      <c r="E2129" s="4" t="s">
        <v>87</v>
      </c>
      <c r="F2129" s="4" t="s">
        <v>2639</v>
      </c>
      <c r="G2129" s="4" t="s">
        <v>2640</v>
      </c>
      <c r="H2129" s="4" t="s">
        <v>26</v>
      </c>
      <c r="I2129" s="4" t="s">
        <v>26</v>
      </c>
      <c r="J2129" s="4" t="s">
        <v>27</v>
      </c>
      <c r="K2129" s="4" t="s">
        <v>28</v>
      </c>
      <c r="L2129" s="4" t="s">
        <v>28</v>
      </c>
      <c r="M2129" s="4" t="s">
        <v>130</v>
      </c>
      <c r="N2129" s="4" t="s">
        <v>28</v>
      </c>
    </row>
    <row r="2130" spans="1:14" ht="14.4" thickBot="1" x14ac:dyDescent="0.35">
      <c r="A2130" s="4" t="s">
        <v>19</v>
      </c>
      <c r="B2130" s="4" t="s">
        <v>213</v>
      </c>
      <c r="C2130" s="4" t="s">
        <v>214</v>
      </c>
      <c r="D2130" s="4" t="s">
        <v>215</v>
      </c>
      <c r="E2130" s="4" t="s">
        <v>87</v>
      </c>
      <c r="F2130" s="4" t="s">
        <v>2641</v>
      </c>
      <c r="G2130" s="4" t="s">
        <v>2642</v>
      </c>
      <c r="H2130" s="4" t="s">
        <v>26</v>
      </c>
      <c r="I2130" s="4" t="s">
        <v>26</v>
      </c>
      <c r="J2130" s="4" t="s">
        <v>27</v>
      </c>
      <c r="K2130" s="4" t="s">
        <v>28</v>
      </c>
      <c r="L2130" s="4" t="s">
        <v>28</v>
      </c>
      <c r="M2130" s="4" t="s">
        <v>29</v>
      </c>
      <c r="N2130" s="4" t="s">
        <v>28</v>
      </c>
    </row>
    <row r="2131" spans="1:14" ht="14.4" thickBot="1" x14ac:dyDescent="0.35">
      <c r="A2131" s="4" t="s">
        <v>19</v>
      </c>
      <c r="B2131" s="4" t="s">
        <v>213</v>
      </c>
      <c r="C2131" s="4" t="s">
        <v>214</v>
      </c>
      <c r="D2131" s="4" t="s">
        <v>215</v>
      </c>
      <c r="E2131" s="4" t="s">
        <v>87</v>
      </c>
      <c r="F2131" s="4" t="s">
        <v>2643</v>
      </c>
      <c r="G2131" s="4" t="s">
        <v>2644</v>
      </c>
      <c r="H2131" s="4" t="s">
        <v>26</v>
      </c>
      <c r="I2131" s="4" t="s">
        <v>26</v>
      </c>
      <c r="J2131" s="4" t="s">
        <v>27</v>
      </c>
      <c r="K2131" s="4" t="s">
        <v>28</v>
      </c>
      <c r="L2131" s="4" t="s">
        <v>28</v>
      </c>
      <c r="M2131" s="4" t="s">
        <v>29</v>
      </c>
      <c r="N2131" s="4" t="s">
        <v>28</v>
      </c>
    </row>
    <row r="2132" spans="1:14" ht="14.4" thickBot="1" x14ac:dyDescent="0.35">
      <c r="A2132" s="4" t="s">
        <v>19</v>
      </c>
      <c r="B2132" s="4" t="s">
        <v>213</v>
      </c>
      <c r="C2132" s="4" t="s">
        <v>214</v>
      </c>
      <c r="D2132" s="4" t="s">
        <v>215</v>
      </c>
      <c r="E2132" s="4" t="s">
        <v>87</v>
      </c>
      <c r="F2132" s="4" t="s">
        <v>2645</v>
      </c>
      <c r="G2132" s="4" t="s">
        <v>2646</v>
      </c>
      <c r="H2132" s="4" t="s">
        <v>26</v>
      </c>
      <c r="I2132" s="4" t="s">
        <v>38</v>
      </c>
      <c r="J2132" s="5"/>
      <c r="K2132" s="5"/>
      <c r="L2132" s="5"/>
      <c r="M2132" s="4" t="s">
        <v>29</v>
      </c>
      <c r="N2132" s="5"/>
    </row>
    <row r="2133" spans="1:14" ht="14.4" thickBot="1" x14ac:dyDescent="0.35">
      <c r="A2133" s="4" t="s">
        <v>19</v>
      </c>
      <c r="B2133" s="4" t="s">
        <v>213</v>
      </c>
      <c r="C2133" s="4" t="s">
        <v>214</v>
      </c>
      <c r="D2133" s="4" t="s">
        <v>215</v>
      </c>
      <c r="E2133" s="4" t="s">
        <v>87</v>
      </c>
      <c r="F2133" s="4" t="s">
        <v>2647</v>
      </c>
      <c r="G2133" s="4" t="s">
        <v>2648</v>
      </c>
      <c r="H2133" s="4" t="s">
        <v>26</v>
      </c>
      <c r="I2133" s="4" t="s">
        <v>33</v>
      </c>
      <c r="J2133" s="4" t="s">
        <v>27</v>
      </c>
      <c r="K2133" s="4" t="s">
        <v>28</v>
      </c>
      <c r="L2133" s="4" t="s">
        <v>28</v>
      </c>
      <c r="M2133" s="4" t="s">
        <v>34</v>
      </c>
      <c r="N2133" s="4" t="s">
        <v>28</v>
      </c>
    </row>
    <row r="2134" spans="1:14" ht="14.4" thickBot="1" x14ac:dyDescent="0.35">
      <c r="A2134" s="4" t="s">
        <v>19</v>
      </c>
      <c r="B2134" s="4" t="s">
        <v>213</v>
      </c>
      <c r="C2134" s="4" t="s">
        <v>214</v>
      </c>
      <c r="D2134" s="4" t="s">
        <v>215</v>
      </c>
      <c r="E2134" s="4" t="s">
        <v>87</v>
      </c>
      <c r="F2134" s="4" t="s">
        <v>2649</v>
      </c>
      <c r="G2134" s="4" t="s">
        <v>2650</v>
      </c>
      <c r="H2134" s="4" t="s">
        <v>69</v>
      </c>
      <c r="I2134" s="4" t="s">
        <v>94</v>
      </c>
      <c r="J2134" s="4" t="s">
        <v>28</v>
      </c>
      <c r="K2134" s="4" t="s">
        <v>27</v>
      </c>
      <c r="L2134" s="4" t="s">
        <v>28</v>
      </c>
      <c r="M2134" s="4" t="s">
        <v>34</v>
      </c>
      <c r="N2134" s="4" t="s">
        <v>28</v>
      </c>
    </row>
    <row r="2135" spans="1:14" ht="14.4" thickBot="1" x14ac:dyDescent="0.35">
      <c r="A2135" s="4" t="s">
        <v>19</v>
      </c>
      <c r="B2135" s="4" t="s">
        <v>213</v>
      </c>
      <c r="C2135" s="4" t="s">
        <v>214</v>
      </c>
      <c r="D2135" s="4" t="s">
        <v>215</v>
      </c>
      <c r="E2135" s="4" t="s">
        <v>87</v>
      </c>
      <c r="F2135" s="4" t="s">
        <v>2651</v>
      </c>
      <c r="G2135" s="4" t="s">
        <v>2652</v>
      </c>
      <c r="H2135" s="4" t="s">
        <v>26</v>
      </c>
      <c r="I2135" s="4" t="s">
        <v>33</v>
      </c>
      <c r="J2135" s="4" t="s">
        <v>27</v>
      </c>
      <c r="K2135" s="4" t="s">
        <v>28</v>
      </c>
      <c r="L2135" s="4" t="s">
        <v>28</v>
      </c>
      <c r="M2135" s="4" t="s">
        <v>34</v>
      </c>
      <c r="N2135" s="4" t="s">
        <v>28</v>
      </c>
    </row>
    <row r="2136" spans="1:14" ht="14.4" thickBot="1" x14ac:dyDescent="0.35">
      <c r="A2136" s="4" t="s">
        <v>19</v>
      </c>
      <c r="B2136" s="4" t="s">
        <v>213</v>
      </c>
      <c r="C2136" s="4" t="s">
        <v>214</v>
      </c>
      <c r="D2136" s="4" t="s">
        <v>215</v>
      </c>
      <c r="E2136" s="4" t="s">
        <v>87</v>
      </c>
      <c r="F2136" s="4" t="s">
        <v>2653</v>
      </c>
      <c r="G2136" s="4" t="s">
        <v>2654</v>
      </c>
      <c r="H2136" s="4" t="s">
        <v>69</v>
      </c>
      <c r="I2136" s="4" t="s">
        <v>94</v>
      </c>
      <c r="J2136" s="4" t="s">
        <v>28</v>
      </c>
      <c r="K2136" s="4" t="s">
        <v>27</v>
      </c>
      <c r="L2136" s="4" t="s">
        <v>28</v>
      </c>
      <c r="M2136" s="4" t="s">
        <v>34</v>
      </c>
      <c r="N2136" s="4" t="s">
        <v>28</v>
      </c>
    </row>
    <row r="2137" spans="1:14" ht="14.4" thickBot="1" x14ac:dyDescent="0.35">
      <c r="A2137" s="4" t="s">
        <v>19</v>
      </c>
      <c r="B2137" s="4" t="s">
        <v>213</v>
      </c>
      <c r="C2137" s="4" t="s">
        <v>214</v>
      </c>
      <c r="D2137" s="4" t="s">
        <v>215</v>
      </c>
      <c r="E2137" s="4" t="s">
        <v>87</v>
      </c>
      <c r="F2137" s="4" t="s">
        <v>2655</v>
      </c>
      <c r="G2137" s="4" t="s">
        <v>2656</v>
      </c>
      <c r="H2137" s="4" t="s">
        <v>26</v>
      </c>
      <c r="I2137" s="4" t="s">
        <v>33</v>
      </c>
      <c r="J2137" s="4" t="s">
        <v>27</v>
      </c>
      <c r="K2137" s="4" t="s">
        <v>28</v>
      </c>
      <c r="L2137" s="4" t="s">
        <v>28</v>
      </c>
      <c r="M2137" s="4" t="s">
        <v>34</v>
      </c>
      <c r="N2137" s="4" t="s">
        <v>28</v>
      </c>
    </row>
    <row r="2138" spans="1:14" ht="14.4" thickBot="1" x14ac:dyDescent="0.35">
      <c r="A2138" s="4" t="s">
        <v>19</v>
      </c>
      <c r="B2138" s="4" t="s">
        <v>213</v>
      </c>
      <c r="C2138" s="4" t="s">
        <v>214</v>
      </c>
      <c r="D2138" s="4" t="s">
        <v>215</v>
      </c>
      <c r="E2138" s="4" t="s">
        <v>87</v>
      </c>
      <c r="F2138" s="4" t="s">
        <v>2657</v>
      </c>
      <c r="G2138" s="4" t="s">
        <v>2658</v>
      </c>
      <c r="H2138" s="4" t="s">
        <v>26</v>
      </c>
      <c r="I2138" s="4" t="s">
        <v>33</v>
      </c>
      <c r="J2138" s="4" t="s">
        <v>27</v>
      </c>
      <c r="K2138" s="4" t="s">
        <v>28</v>
      </c>
      <c r="L2138" s="4" t="s">
        <v>28</v>
      </c>
      <c r="M2138" s="4" t="s">
        <v>34</v>
      </c>
      <c r="N2138" s="4" t="s">
        <v>28</v>
      </c>
    </row>
    <row r="2139" spans="1:14" ht="14.4" thickBot="1" x14ac:dyDescent="0.35">
      <c r="A2139" s="4" t="s">
        <v>19</v>
      </c>
      <c r="B2139" s="4" t="s">
        <v>213</v>
      </c>
      <c r="C2139" s="4" t="s">
        <v>214</v>
      </c>
      <c r="D2139" s="4" t="s">
        <v>215</v>
      </c>
      <c r="E2139" s="4" t="s">
        <v>87</v>
      </c>
      <c r="F2139" s="4" t="s">
        <v>2659</v>
      </c>
      <c r="G2139" s="4" t="s">
        <v>2660</v>
      </c>
      <c r="H2139" s="4" t="s">
        <v>26</v>
      </c>
      <c r="I2139" s="4" t="s">
        <v>33</v>
      </c>
      <c r="J2139" s="4" t="s">
        <v>27</v>
      </c>
      <c r="K2139" s="4" t="s">
        <v>28</v>
      </c>
      <c r="L2139" s="4" t="s">
        <v>28</v>
      </c>
      <c r="M2139" s="4" t="s">
        <v>34</v>
      </c>
      <c r="N2139" s="4" t="s">
        <v>28</v>
      </c>
    </row>
    <row r="2140" spans="1:14" ht="14.4" thickBot="1" x14ac:dyDescent="0.35">
      <c r="A2140" s="4" t="s">
        <v>19</v>
      </c>
      <c r="B2140" s="4" t="s">
        <v>213</v>
      </c>
      <c r="C2140" s="4" t="s">
        <v>214</v>
      </c>
      <c r="D2140" s="4" t="s">
        <v>215</v>
      </c>
      <c r="E2140" s="4" t="s">
        <v>87</v>
      </c>
      <c r="F2140" s="4" t="s">
        <v>2661</v>
      </c>
      <c r="G2140" s="4" t="s">
        <v>2662</v>
      </c>
      <c r="H2140" s="4" t="s">
        <v>26</v>
      </c>
      <c r="I2140" s="4" t="s">
        <v>33</v>
      </c>
      <c r="J2140" s="4" t="s">
        <v>27</v>
      </c>
      <c r="K2140" s="4" t="s">
        <v>28</v>
      </c>
      <c r="L2140" s="4" t="s">
        <v>28</v>
      </c>
      <c r="M2140" s="4" t="s">
        <v>34</v>
      </c>
      <c r="N2140" s="4" t="s">
        <v>28</v>
      </c>
    </row>
    <row r="2141" spans="1:14" ht="14.4" thickBot="1" x14ac:dyDescent="0.35">
      <c r="A2141" s="4" t="s">
        <v>19</v>
      </c>
      <c r="B2141" s="4" t="s">
        <v>213</v>
      </c>
      <c r="C2141" s="4" t="s">
        <v>214</v>
      </c>
      <c r="D2141" s="4" t="s">
        <v>215</v>
      </c>
      <c r="E2141" s="4" t="s">
        <v>87</v>
      </c>
      <c r="F2141" s="4" t="s">
        <v>3425</v>
      </c>
      <c r="G2141" s="4" t="s">
        <v>3426</v>
      </c>
      <c r="H2141" s="4" t="s">
        <v>26</v>
      </c>
      <c r="I2141" s="4" t="s">
        <v>26</v>
      </c>
      <c r="J2141" s="4" t="s">
        <v>27</v>
      </c>
      <c r="K2141" s="4" t="s">
        <v>28</v>
      </c>
      <c r="L2141" s="4" t="s">
        <v>28</v>
      </c>
      <c r="M2141" s="4" t="s">
        <v>29</v>
      </c>
      <c r="N2141" s="4" t="s">
        <v>28</v>
      </c>
    </row>
    <row r="2142" spans="1:14" ht="14.4" thickBot="1" x14ac:dyDescent="0.35">
      <c r="A2142" s="4" t="s">
        <v>19</v>
      </c>
      <c r="B2142" s="4" t="s">
        <v>213</v>
      </c>
      <c r="C2142" s="4" t="s">
        <v>214</v>
      </c>
      <c r="D2142" s="4" t="s">
        <v>215</v>
      </c>
      <c r="E2142" s="4" t="s">
        <v>87</v>
      </c>
      <c r="F2142" s="4" t="s">
        <v>3427</v>
      </c>
      <c r="G2142" s="4" t="s">
        <v>3428</v>
      </c>
      <c r="H2142" s="4" t="s">
        <v>26</v>
      </c>
      <c r="I2142" s="4" t="s">
        <v>69</v>
      </c>
      <c r="J2142" s="5"/>
      <c r="K2142" s="5"/>
      <c r="L2142" s="5"/>
      <c r="M2142" s="4" t="s">
        <v>29</v>
      </c>
      <c r="N2142" s="5"/>
    </row>
    <row r="2143" spans="1:14" ht="14.4" thickBot="1" x14ac:dyDescent="0.35">
      <c r="A2143" s="4" t="s">
        <v>19</v>
      </c>
      <c r="B2143" s="4" t="s">
        <v>213</v>
      </c>
      <c r="C2143" s="4" t="s">
        <v>214</v>
      </c>
      <c r="D2143" s="4" t="s">
        <v>215</v>
      </c>
      <c r="E2143" s="4" t="s">
        <v>87</v>
      </c>
      <c r="F2143" s="4" t="s">
        <v>3429</v>
      </c>
      <c r="G2143" s="4" t="s">
        <v>3430</v>
      </c>
      <c r="H2143" s="4" t="s">
        <v>26</v>
      </c>
      <c r="I2143" s="4" t="s">
        <v>26</v>
      </c>
      <c r="J2143" s="4" t="s">
        <v>27</v>
      </c>
      <c r="K2143" s="4" t="s">
        <v>28</v>
      </c>
      <c r="L2143" s="4" t="s">
        <v>28</v>
      </c>
      <c r="M2143" s="4" t="s">
        <v>29</v>
      </c>
      <c r="N2143" s="4" t="s">
        <v>28</v>
      </c>
    </row>
    <row r="2144" spans="1:14" ht="14.4" thickBot="1" x14ac:dyDescent="0.35">
      <c r="A2144" s="4" t="s">
        <v>19</v>
      </c>
      <c r="B2144" s="4" t="s">
        <v>213</v>
      </c>
      <c r="C2144" s="4" t="s">
        <v>214</v>
      </c>
      <c r="D2144" s="4" t="s">
        <v>215</v>
      </c>
      <c r="E2144" s="4" t="s">
        <v>87</v>
      </c>
      <c r="F2144" s="4" t="s">
        <v>3431</v>
      </c>
      <c r="G2144" s="4" t="s">
        <v>3432</v>
      </c>
      <c r="H2144" s="4" t="s">
        <v>26</v>
      </c>
      <c r="I2144" s="4" t="s">
        <v>26</v>
      </c>
      <c r="J2144" s="4" t="s">
        <v>27</v>
      </c>
      <c r="K2144" s="4" t="s">
        <v>28</v>
      </c>
      <c r="L2144" s="4" t="s">
        <v>28</v>
      </c>
      <c r="M2144" s="4" t="s">
        <v>29</v>
      </c>
      <c r="N2144" s="4" t="s">
        <v>28</v>
      </c>
    </row>
    <row r="2145" spans="1:14" ht="14.4" thickBot="1" x14ac:dyDescent="0.35">
      <c r="A2145" s="4" t="s">
        <v>19</v>
      </c>
      <c r="B2145" s="4" t="s">
        <v>213</v>
      </c>
      <c r="C2145" s="4" t="s">
        <v>214</v>
      </c>
      <c r="D2145" s="4" t="s">
        <v>215</v>
      </c>
      <c r="E2145" s="4" t="s">
        <v>87</v>
      </c>
      <c r="F2145" s="4" t="s">
        <v>3433</v>
      </c>
      <c r="G2145" s="4" t="s">
        <v>3434</v>
      </c>
      <c r="H2145" s="4" t="s">
        <v>26</v>
      </c>
      <c r="I2145" s="4" t="s">
        <v>26</v>
      </c>
      <c r="J2145" s="4" t="s">
        <v>27</v>
      </c>
      <c r="K2145" s="4" t="s">
        <v>28</v>
      </c>
      <c r="L2145" s="4" t="s">
        <v>28</v>
      </c>
      <c r="M2145" s="4" t="s">
        <v>29</v>
      </c>
      <c r="N2145" s="4" t="s">
        <v>28</v>
      </c>
    </row>
    <row r="2146" spans="1:14" ht="14.4" thickBot="1" x14ac:dyDescent="0.35">
      <c r="A2146" s="4" t="s">
        <v>19</v>
      </c>
      <c r="B2146" s="4" t="s">
        <v>213</v>
      </c>
      <c r="C2146" s="4" t="s">
        <v>214</v>
      </c>
      <c r="D2146" s="4" t="s">
        <v>215</v>
      </c>
      <c r="E2146" s="4" t="s">
        <v>87</v>
      </c>
      <c r="F2146" s="4" t="s">
        <v>3435</v>
      </c>
      <c r="G2146" s="4" t="s">
        <v>3436</v>
      </c>
      <c r="H2146" s="4" t="s">
        <v>26</v>
      </c>
      <c r="I2146" s="4" t="s">
        <v>26</v>
      </c>
      <c r="J2146" s="4" t="s">
        <v>27</v>
      </c>
      <c r="K2146" s="4" t="s">
        <v>28</v>
      </c>
      <c r="L2146" s="4" t="s">
        <v>28</v>
      </c>
      <c r="M2146" s="4" t="s">
        <v>29</v>
      </c>
      <c r="N2146" s="4" t="s">
        <v>28</v>
      </c>
    </row>
    <row r="2147" spans="1:14" ht="14.4" thickBot="1" x14ac:dyDescent="0.35">
      <c r="A2147" s="4" t="s">
        <v>19</v>
      </c>
      <c r="B2147" s="4" t="s">
        <v>213</v>
      </c>
      <c r="C2147" s="4" t="s">
        <v>214</v>
      </c>
      <c r="D2147" s="4" t="s">
        <v>215</v>
      </c>
      <c r="E2147" s="4" t="s">
        <v>87</v>
      </c>
      <c r="F2147" s="4" t="s">
        <v>3437</v>
      </c>
      <c r="G2147" s="4" t="s">
        <v>3438</v>
      </c>
      <c r="H2147" s="4" t="s">
        <v>69</v>
      </c>
      <c r="I2147" s="4" t="s">
        <v>38</v>
      </c>
      <c r="J2147" s="4" t="s">
        <v>28</v>
      </c>
      <c r="K2147" s="4" t="s">
        <v>28</v>
      </c>
      <c r="L2147" s="4" t="s">
        <v>27</v>
      </c>
      <c r="M2147" s="4" t="s">
        <v>34</v>
      </c>
      <c r="N2147" s="4" t="s">
        <v>27</v>
      </c>
    </row>
    <row r="2148" spans="1:14" ht="14.4" thickBot="1" x14ac:dyDescent="0.35">
      <c r="A2148" s="4" t="s">
        <v>19</v>
      </c>
      <c r="B2148" s="4" t="s">
        <v>213</v>
      </c>
      <c r="C2148" s="4" t="s">
        <v>214</v>
      </c>
      <c r="D2148" s="4" t="s">
        <v>215</v>
      </c>
      <c r="E2148" s="4" t="s">
        <v>87</v>
      </c>
      <c r="F2148" s="4" t="s">
        <v>3439</v>
      </c>
      <c r="G2148" s="4" t="s">
        <v>3440</v>
      </c>
      <c r="H2148" s="4" t="s">
        <v>135</v>
      </c>
      <c r="I2148" s="4" t="s">
        <v>33</v>
      </c>
      <c r="J2148" s="4" t="s">
        <v>27</v>
      </c>
      <c r="K2148" s="4" t="s">
        <v>28</v>
      </c>
      <c r="L2148" s="4" t="s">
        <v>28</v>
      </c>
      <c r="M2148" s="4" t="s">
        <v>34</v>
      </c>
      <c r="N2148" s="4" t="s">
        <v>28</v>
      </c>
    </row>
    <row r="2149" spans="1:14" ht="14.4" thickBot="1" x14ac:dyDescent="0.35">
      <c r="A2149" s="4" t="s">
        <v>19</v>
      </c>
      <c r="B2149" s="4" t="s">
        <v>213</v>
      </c>
      <c r="C2149" s="4" t="s">
        <v>214</v>
      </c>
      <c r="D2149" s="4" t="s">
        <v>215</v>
      </c>
      <c r="E2149" s="4" t="s">
        <v>87</v>
      </c>
      <c r="F2149" s="4" t="s">
        <v>3441</v>
      </c>
      <c r="G2149" s="4" t="s">
        <v>3442</v>
      </c>
      <c r="H2149" s="4" t="s">
        <v>26</v>
      </c>
      <c r="I2149" s="4" t="s">
        <v>26</v>
      </c>
      <c r="J2149" s="4" t="s">
        <v>27</v>
      </c>
      <c r="K2149" s="4" t="s">
        <v>28</v>
      </c>
      <c r="L2149" s="4" t="s">
        <v>28</v>
      </c>
      <c r="M2149" s="4" t="s">
        <v>29</v>
      </c>
      <c r="N2149" s="4" t="s">
        <v>28</v>
      </c>
    </row>
    <row r="2150" spans="1:14" ht="14.4" thickBot="1" x14ac:dyDescent="0.35">
      <c r="A2150" s="4" t="s">
        <v>19</v>
      </c>
      <c r="B2150" s="4" t="s">
        <v>213</v>
      </c>
      <c r="C2150" s="4" t="s">
        <v>214</v>
      </c>
      <c r="D2150" s="4" t="s">
        <v>215</v>
      </c>
      <c r="E2150" s="4" t="s">
        <v>87</v>
      </c>
      <c r="F2150" s="4" t="s">
        <v>3443</v>
      </c>
      <c r="G2150" s="4" t="s">
        <v>3444</v>
      </c>
      <c r="H2150" s="4" t="s">
        <v>26</v>
      </c>
      <c r="I2150" s="4" t="s">
        <v>69</v>
      </c>
      <c r="J2150" s="4" t="s">
        <v>27</v>
      </c>
      <c r="K2150" s="4" t="s">
        <v>28</v>
      </c>
      <c r="L2150" s="4" t="s">
        <v>28</v>
      </c>
      <c r="M2150" s="4" t="s">
        <v>29</v>
      </c>
      <c r="N2150" s="4" t="s">
        <v>28</v>
      </c>
    </row>
    <row r="2151" spans="1:14" ht="14.4" thickBot="1" x14ac:dyDescent="0.35">
      <c r="A2151" s="4" t="s">
        <v>19</v>
      </c>
      <c r="B2151" s="4" t="s">
        <v>213</v>
      </c>
      <c r="C2151" s="4" t="s">
        <v>214</v>
      </c>
      <c r="D2151" s="4" t="s">
        <v>215</v>
      </c>
      <c r="E2151" s="4" t="s">
        <v>87</v>
      </c>
      <c r="F2151" s="4" t="s">
        <v>3445</v>
      </c>
      <c r="G2151" s="4" t="s">
        <v>3446</v>
      </c>
      <c r="H2151" s="4" t="s">
        <v>26</v>
      </c>
      <c r="I2151" s="4" t="s">
        <v>33</v>
      </c>
      <c r="J2151" s="4" t="s">
        <v>27</v>
      </c>
      <c r="K2151" s="4" t="s">
        <v>28</v>
      </c>
      <c r="L2151" s="4" t="s">
        <v>28</v>
      </c>
      <c r="M2151" s="4" t="s">
        <v>34</v>
      </c>
      <c r="N2151" s="4" t="s">
        <v>28</v>
      </c>
    </row>
    <row r="2152" spans="1:14" ht="14.4" thickBot="1" x14ac:dyDescent="0.35">
      <c r="A2152" s="4" t="s">
        <v>19</v>
      </c>
      <c r="B2152" s="4" t="s">
        <v>213</v>
      </c>
      <c r="C2152" s="4" t="s">
        <v>214</v>
      </c>
      <c r="D2152" s="4" t="s">
        <v>215</v>
      </c>
      <c r="E2152" s="4" t="s">
        <v>87</v>
      </c>
      <c r="F2152" s="4" t="s">
        <v>3447</v>
      </c>
      <c r="G2152" s="4" t="s">
        <v>3448</v>
      </c>
      <c r="H2152" s="4" t="s">
        <v>135</v>
      </c>
      <c r="I2152" s="4" t="s">
        <v>33</v>
      </c>
      <c r="J2152" s="4" t="s">
        <v>27</v>
      </c>
      <c r="K2152" s="4" t="s">
        <v>28</v>
      </c>
      <c r="L2152" s="4" t="s">
        <v>28</v>
      </c>
      <c r="M2152" s="4" t="s">
        <v>34</v>
      </c>
      <c r="N2152" s="4" t="s">
        <v>28</v>
      </c>
    </row>
    <row r="2153" spans="1:14" ht="14.4" thickBot="1" x14ac:dyDescent="0.35">
      <c r="A2153" s="4" t="s">
        <v>19</v>
      </c>
      <c r="B2153" s="4" t="s">
        <v>213</v>
      </c>
      <c r="C2153" s="4" t="s">
        <v>214</v>
      </c>
      <c r="D2153" s="4" t="s">
        <v>215</v>
      </c>
      <c r="E2153" s="4" t="s">
        <v>87</v>
      </c>
      <c r="F2153" s="4" t="s">
        <v>3449</v>
      </c>
      <c r="G2153" s="4" t="s">
        <v>3450</v>
      </c>
      <c r="H2153" s="4" t="s">
        <v>135</v>
      </c>
      <c r="I2153" s="4" t="s">
        <v>33</v>
      </c>
      <c r="J2153" s="4" t="s">
        <v>27</v>
      </c>
      <c r="K2153" s="4" t="s">
        <v>28</v>
      </c>
      <c r="L2153" s="4" t="s">
        <v>28</v>
      </c>
      <c r="M2153" s="4" t="s">
        <v>34</v>
      </c>
      <c r="N2153" s="4" t="s">
        <v>28</v>
      </c>
    </row>
    <row r="2154" spans="1:14" ht="14.4" thickBot="1" x14ac:dyDescent="0.35">
      <c r="A2154" s="4" t="s">
        <v>19</v>
      </c>
      <c r="B2154" s="4" t="s">
        <v>213</v>
      </c>
      <c r="C2154" s="4" t="s">
        <v>214</v>
      </c>
      <c r="D2154" s="4" t="s">
        <v>215</v>
      </c>
      <c r="E2154" s="4" t="s">
        <v>87</v>
      </c>
      <c r="F2154" s="4" t="s">
        <v>4225</v>
      </c>
      <c r="G2154" s="4" t="s">
        <v>4226</v>
      </c>
      <c r="H2154" s="4" t="s">
        <v>26</v>
      </c>
      <c r="I2154" s="4" t="s">
        <v>158</v>
      </c>
      <c r="J2154" s="4" t="s">
        <v>27</v>
      </c>
      <c r="K2154" s="4" t="s">
        <v>28</v>
      </c>
      <c r="L2154" s="4" t="s">
        <v>28</v>
      </c>
      <c r="M2154" s="4" t="s">
        <v>29</v>
      </c>
      <c r="N2154" s="4" t="s">
        <v>28</v>
      </c>
    </row>
    <row r="2155" spans="1:14" ht="14.4" thickBot="1" x14ac:dyDescent="0.35">
      <c r="A2155" s="4" t="s">
        <v>19</v>
      </c>
      <c r="B2155" s="4" t="s">
        <v>213</v>
      </c>
      <c r="C2155" s="4" t="s">
        <v>214</v>
      </c>
      <c r="D2155" s="4" t="s">
        <v>215</v>
      </c>
      <c r="E2155" s="4" t="s">
        <v>87</v>
      </c>
      <c r="F2155" s="4" t="s">
        <v>4227</v>
      </c>
      <c r="G2155" s="4" t="s">
        <v>4228</v>
      </c>
      <c r="H2155" s="4" t="s">
        <v>26</v>
      </c>
      <c r="I2155" s="4" t="s">
        <v>26</v>
      </c>
      <c r="J2155" s="4" t="s">
        <v>27</v>
      </c>
      <c r="K2155" s="4" t="s">
        <v>28</v>
      </c>
      <c r="L2155" s="4" t="s">
        <v>28</v>
      </c>
      <c r="M2155" s="4" t="s">
        <v>29</v>
      </c>
      <c r="N2155" s="4" t="s">
        <v>28</v>
      </c>
    </row>
    <row r="2156" spans="1:14" ht="14.4" thickBot="1" x14ac:dyDescent="0.35">
      <c r="A2156" s="4" t="s">
        <v>19</v>
      </c>
      <c r="B2156" s="4" t="s">
        <v>213</v>
      </c>
      <c r="C2156" s="4" t="s">
        <v>214</v>
      </c>
      <c r="D2156" s="4" t="s">
        <v>215</v>
      </c>
      <c r="E2156" s="4" t="s">
        <v>87</v>
      </c>
      <c r="F2156" s="4" t="s">
        <v>4229</v>
      </c>
      <c r="G2156" s="4" t="s">
        <v>4230</v>
      </c>
      <c r="H2156" s="4" t="s">
        <v>135</v>
      </c>
      <c r="I2156" s="4" t="s">
        <v>94</v>
      </c>
      <c r="J2156" s="4" t="s">
        <v>27</v>
      </c>
      <c r="K2156" s="4" t="s">
        <v>28</v>
      </c>
      <c r="L2156" s="4" t="s">
        <v>28</v>
      </c>
      <c r="M2156" s="4" t="s">
        <v>34</v>
      </c>
      <c r="N2156" s="4" t="s">
        <v>28</v>
      </c>
    </row>
    <row r="2157" spans="1:14" ht="14.4" thickBot="1" x14ac:dyDescent="0.35">
      <c r="A2157" s="4" t="s">
        <v>19</v>
      </c>
      <c r="B2157" s="4" t="s">
        <v>213</v>
      </c>
      <c r="C2157" s="4" t="s">
        <v>214</v>
      </c>
      <c r="D2157" s="4" t="s">
        <v>215</v>
      </c>
      <c r="E2157" s="4" t="s">
        <v>87</v>
      </c>
      <c r="F2157" s="4" t="s">
        <v>4231</v>
      </c>
      <c r="G2157" s="4" t="s">
        <v>4232</v>
      </c>
      <c r="H2157" s="4" t="s">
        <v>26</v>
      </c>
      <c r="I2157" s="4" t="s">
        <v>26</v>
      </c>
      <c r="J2157" s="4" t="s">
        <v>27</v>
      </c>
      <c r="K2157" s="4" t="s">
        <v>28</v>
      </c>
      <c r="L2157" s="4" t="s">
        <v>28</v>
      </c>
      <c r="M2157" s="4" t="s">
        <v>29</v>
      </c>
      <c r="N2157" s="4" t="s">
        <v>28</v>
      </c>
    </row>
    <row r="2158" spans="1:14" ht="14.4" thickBot="1" x14ac:dyDescent="0.35">
      <c r="A2158" s="4" t="s">
        <v>19</v>
      </c>
      <c r="B2158" s="4" t="s">
        <v>213</v>
      </c>
      <c r="C2158" s="4" t="s">
        <v>214</v>
      </c>
      <c r="D2158" s="4" t="s">
        <v>215</v>
      </c>
      <c r="E2158" s="4" t="s">
        <v>87</v>
      </c>
      <c r="F2158" s="4" t="s">
        <v>4233</v>
      </c>
      <c r="G2158" s="4" t="s">
        <v>4234</v>
      </c>
      <c r="H2158" s="4" t="s">
        <v>26</v>
      </c>
      <c r="I2158" s="4" t="s">
        <v>26</v>
      </c>
      <c r="J2158" s="4" t="s">
        <v>27</v>
      </c>
      <c r="K2158" s="4" t="s">
        <v>28</v>
      </c>
      <c r="L2158" s="4" t="s">
        <v>28</v>
      </c>
      <c r="M2158" s="4" t="s">
        <v>130</v>
      </c>
      <c r="N2158" s="4" t="s">
        <v>28</v>
      </c>
    </row>
    <row r="2159" spans="1:14" ht="14.4" thickBot="1" x14ac:dyDescent="0.35">
      <c r="A2159" s="4" t="s">
        <v>19</v>
      </c>
      <c r="B2159" s="4" t="s">
        <v>213</v>
      </c>
      <c r="C2159" s="4" t="s">
        <v>214</v>
      </c>
      <c r="D2159" s="4" t="s">
        <v>215</v>
      </c>
      <c r="E2159" s="4" t="s">
        <v>87</v>
      </c>
      <c r="F2159" s="4" t="s">
        <v>4235</v>
      </c>
      <c r="G2159" s="4" t="s">
        <v>4236</v>
      </c>
      <c r="H2159" s="4" t="s">
        <v>69</v>
      </c>
      <c r="I2159" s="4" t="s">
        <v>38</v>
      </c>
      <c r="J2159" s="4" t="s">
        <v>28</v>
      </c>
      <c r="K2159" s="4" t="s">
        <v>28</v>
      </c>
      <c r="L2159" s="4" t="s">
        <v>27</v>
      </c>
      <c r="M2159" s="4" t="s">
        <v>34</v>
      </c>
      <c r="N2159" s="4" t="s">
        <v>28</v>
      </c>
    </row>
    <row r="2160" spans="1:14" ht="14.4" thickBot="1" x14ac:dyDescent="0.35">
      <c r="A2160" s="4" t="s">
        <v>19</v>
      </c>
      <c r="B2160" s="4" t="s">
        <v>213</v>
      </c>
      <c r="C2160" s="4" t="s">
        <v>214</v>
      </c>
      <c r="D2160" s="4" t="s">
        <v>215</v>
      </c>
      <c r="E2160" s="4" t="s">
        <v>87</v>
      </c>
      <c r="F2160" s="4" t="s">
        <v>4237</v>
      </c>
      <c r="G2160" s="4" t="s">
        <v>4238</v>
      </c>
      <c r="H2160" s="4" t="s">
        <v>135</v>
      </c>
      <c r="I2160" s="4" t="s">
        <v>94</v>
      </c>
      <c r="J2160" s="4" t="s">
        <v>27</v>
      </c>
      <c r="K2160" s="4" t="s">
        <v>28</v>
      </c>
      <c r="L2160" s="4" t="s">
        <v>28</v>
      </c>
      <c r="M2160" s="4" t="s">
        <v>29</v>
      </c>
      <c r="N2160" s="4" t="s">
        <v>28</v>
      </c>
    </row>
    <row r="2161" spans="1:14" ht="14.4" thickBot="1" x14ac:dyDescent="0.35">
      <c r="A2161" s="4" t="s">
        <v>19</v>
      </c>
      <c r="B2161" s="4" t="s">
        <v>213</v>
      </c>
      <c r="C2161" s="4" t="s">
        <v>214</v>
      </c>
      <c r="D2161" s="4" t="s">
        <v>215</v>
      </c>
      <c r="E2161" s="4" t="s">
        <v>87</v>
      </c>
      <c r="F2161" s="4" t="s">
        <v>4239</v>
      </c>
      <c r="G2161" s="4" t="s">
        <v>4240</v>
      </c>
      <c r="H2161" s="4" t="s">
        <v>26</v>
      </c>
      <c r="I2161" s="4" t="s">
        <v>33</v>
      </c>
      <c r="J2161" s="4" t="s">
        <v>27</v>
      </c>
      <c r="K2161" s="4" t="s">
        <v>28</v>
      </c>
      <c r="L2161" s="4" t="s">
        <v>28</v>
      </c>
      <c r="M2161" s="4" t="s">
        <v>34</v>
      </c>
      <c r="N2161" s="4" t="s">
        <v>28</v>
      </c>
    </row>
    <row r="2162" spans="1:14" ht="14.4" thickBot="1" x14ac:dyDescent="0.35">
      <c r="A2162" s="4" t="s">
        <v>19</v>
      </c>
      <c r="B2162" s="4" t="s">
        <v>213</v>
      </c>
      <c r="C2162" s="4" t="s">
        <v>214</v>
      </c>
      <c r="D2162" s="4" t="s">
        <v>215</v>
      </c>
      <c r="E2162" s="4" t="s">
        <v>87</v>
      </c>
      <c r="F2162" s="4" t="s">
        <v>1314</v>
      </c>
      <c r="G2162" s="4" t="s">
        <v>4241</v>
      </c>
      <c r="H2162" s="4" t="s">
        <v>26</v>
      </c>
      <c r="I2162" s="4" t="s">
        <v>33</v>
      </c>
      <c r="J2162" s="4" t="s">
        <v>27</v>
      </c>
      <c r="K2162" s="4" t="s">
        <v>28</v>
      </c>
      <c r="L2162" s="4" t="s">
        <v>28</v>
      </c>
      <c r="M2162" s="4" t="s">
        <v>34</v>
      </c>
      <c r="N2162" s="4" t="s">
        <v>28</v>
      </c>
    </row>
    <row r="2163" spans="1:14" ht="14.4" thickBot="1" x14ac:dyDescent="0.35">
      <c r="A2163" s="4" t="s">
        <v>19</v>
      </c>
      <c r="B2163" s="4" t="s">
        <v>213</v>
      </c>
      <c r="C2163" s="4" t="s">
        <v>214</v>
      </c>
      <c r="D2163" s="4" t="s">
        <v>215</v>
      </c>
      <c r="E2163" s="4" t="s">
        <v>87</v>
      </c>
      <c r="F2163" s="4" t="s">
        <v>4242</v>
      </c>
      <c r="G2163" s="4" t="s">
        <v>4243</v>
      </c>
      <c r="H2163" s="4" t="s">
        <v>26</v>
      </c>
      <c r="I2163" s="4" t="s">
        <v>33</v>
      </c>
      <c r="J2163" s="4" t="s">
        <v>27</v>
      </c>
      <c r="K2163" s="4" t="s">
        <v>28</v>
      </c>
      <c r="L2163" s="4" t="s">
        <v>28</v>
      </c>
      <c r="M2163" s="4" t="s">
        <v>34</v>
      </c>
      <c r="N2163" s="4" t="s">
        <v>28</v>
      </c>
    </row>
    <row r="2164" spans="1:14" ht="14.4" thickBot="1" x14ac:dyDescent="0.35">
      <c r="A2164" s="4" t="s">
        <v>19</v>
      </c>
      <c r="B2164" s="4" t="s">
        <v>213</v>
      </c>
      <c r="C2164" s="4" t="s">
        <v>214</v>
      </c>
      <c r="D2164" s="4" t="s">
        <v>215</v>
      </c>
      <c r="E2164" s="4" t="s">
        <v>87</v>
      </c>
      <c r="F2164" s="4" t="s">
        <v>4244</v>
      </c>
      <c r="G2164" s="4" t="s">
        <v>4245</v>
      </c>
      <c r="H2164" s="4" t="s">
        <v>26</v>
      </c>
      <c r="I2164" s="4" t="s">
        <v>33</v>
      </c>
      <c r="J2164" s="4" t="s">
        <v>27</v>
      </c>
      <c r="K2164" s="4" t="s">
        <v>28</v>
      </c>
      <c r="L2164" s="4" t="s">
        <v>28</v>
      </c>
      <c r="M2164" s="4" t="s">
        <v>34</v>
      </c>
      <c r="N2164" s="4" t="s">
        <v>28</v>
      </c>
    </row>
    <row r="2165" spans="1:14" ht="14.4" thickBot="1" x14ac:dyDescent="0.35">
      <c r="A2165" s="4" t="s">
        <v>19</v>
      </c>
      <c r="B2165" s="4" t="s">
        <v>213</v>
      </c>
      <c r="C2165" s="4" t="s">
        <v>214</v>
      </c>
      <c r="D2165" s="4" t="s">
        <v>215</v>
      </c>
      <c r="E2165" s="4" t="s">
        <v>87</v>
      </c>
      <c r="F2165" s="4" t="s">
        <v>4902</v>
      </c>
      <c r="G2165" s="4" t="s">
        <v>4903</v>
      </c>
      <c r="H2165" s="4" t="s">
        <v>135</v>
      </c>
      <c r="I2165" s="4" t="s">
        <v>38</v>
      </c>
      <c r="J2165" s="4" t="s">
        <v>28</v>
      </c>
      <c r="K2165" s="4" t="s">
        <v>28</v>
      </c>
      <c r="L2165" s="4" t="s">
        <v>27</v>
      </c>
      <c r="M2165" s="4" t="s">
        <v>34</v>
      </c>
      <c r="N2165" s="4" t="s">
        <v>28</v>
      </c>
    </row>
    <row r="2166" spans="1:14" ht="14.4" thickBot="1" x14ac:dyDescent="0.35">
      <c r="A2166" s="4" t="s">
        <v>19</v>
      </c>
      <c r="B2166" s="4" t="s">
        <v>213</v>
      </c>
      <c r="C2166" s="4" t="s">
        <v>214</v>
      </c>
      <c r="D2166" s="4" t="s">
        <v>215</v>
      </c>
      <c r="E2166" s="4" t="s">
        <v>87</v>
      </c>
      <c r="F2166" s="4" t="s">
        <v>4904</v>
      </c>
      <c r="G2166" s="4" t="s">
        <v>4905</v>
      </c>
      <c r="H2166" s="4" t="s">
        <v>26</v>
      </c>
      <c r="I2166" s="4" t="s">
        <v>26</v>
      </c>
      <c r="J2166" s="4" t="s">
        <v>27</v>
      </c>
      <c r="K2166" s="4" t="s">
        <v>28</v>
      </c>
      <c r="L2166" s="4" t="s">
        <v>28</v>
      </c>
      <c r="M2166" s="4" t="s">
        <v>29</v>
      </c>
      <c r="N2166" s="4" t="s">
        <v>28</v>
      </c>
    </row>
    <row r="2167" spans="1:14" ht="14.4" thickBot="1" x14ac:dyDescent="0.35">
      <c r="A2167" s="4" t="s">
        <v>19</v>
      </c>
      <c r="B2167" s="4" t="s">
        <v>213</v>
      </c>
      <c r="C2167" s="4" t="s">
        <v>214</v>
      </c>
      <c r="D2167" s="4" t="s">
        <v>215</v>
      </c>
      <c r="E2167" s="4" t="s">
        <v>87</v>
      </c>
      <c r="F2167" s="4" t="s">
        <v>4906</v>
      </c>
      <c r="G2167" s="4" t="s">
        <v>4907</v>
      </c>
      <c r="H2167" s="4" t="s">
        <v>26</v>
      </c>
      <c r="I2167" s="4" t="s">
        <v>116</v>
      </c>
      <c r="J2167" s="4" t="s">
        <v>27</v>
      </c>
      <c r="K2167" s="4" t="s">
        <v>28</v>
      </c>
      <c r="L2167" s="4" t="s">
        <v>28</v>
      </c>
      <c r="M2167" s="4" t="s">
        <v>29</v>
      </c>
      <c r="N2167" s="4" t="s">
        <v>28</v>
      </c>
    </row>
    <row r="2168" spans="1:14" ht="14.4" thickBot="1" x14ac:dyDescent="0.35">
      <c r="A2168" s="4" t="s">
        <v>19</v>
      </c>
      <c r="B2168" s="4" t="s">
        <v>213</v>
      </c>
      <c r="C2168" s="4" t="s">
        <v>214</v>
      </c>
      <c r="D2168" s="4" t="s">
        <v>215</v>
      </c>
      <c r="E2168" s="4" t="s">
        <v>87</v>
      </c>
      <c r="F2168" s="4" t="s">
        <v>4908</v>
      </c>
      <c r="G2168" s="4" t="s">
        <v>4909</v>
      </c>
      <c r="H2168" s="4" t="s">
        <v>37</v>
      </c>
      <c r="I2168" s="4" t="s">
        <v>38</v>
      </c>
      <c r="J2168" s="4" t="s">
        <v>28</v>
      </c>
      <c r="K2168" s="4" t="s">
        <v>28</v>
      </c>
      <c r="L2168" s="4" t="s">
        <v>27</v>
      </c>
      <c r="M2168" s="4" t="s">
        <v>34</v>
      </c>
      <c r="N2168" s="4" t="s">
        <v>28</v>
      </c>
    </row>
    <row r="2169" spans="1:14" ht="14.4" thickBot="1" x14ac:dyDescent="0.35">
      <c r="A2169" s="4" t="s">
        <v>19</v>
      </c>
      <c r="B2169" s="4" t="s">
        <v>213</v>
      </c>
      <c r="C2169" s="4" t="s">
        <v>214</v>
      </c>
      <c r="D2169" s="4" t="s">
        <v>215</v>
      </c>
      <c r="E2169" s="4" t="s">
        <v>87</v>
      </c>
      <c r="F2169" s="4" t="s">
        <v>4910</v>
      </c>
      <c r="G2169" s="4" t="s">
        <v>4911</v>
      </c>
      <c r="H2169" s="4" t="s">
        <v>26</v>
      </c>
      <c r="I2169" s="4" t="s">
        <v>26</v>
      </c>
      <c r="J2169" s="4" t="s">
        <v>27</v>
      </c>
      <c r="K2169" s="4" t="s">
        <v>28</v>
      </c>
      <c r="L2169" s="4" t="s">
        <v>28</v>
      </c>
      <c r="M2169" s="4" t="s">
        <v>29</v>
      </c>
      <c r="N2169" s="4" t="s">
        <v>28</v>
      </c>
    </row>
    <row r="2170" spans="1:14" ht="14.4" thickBot="1" x14ac:dyDescent="0.35">
      <c r="A2170" s="4" t="s">
        <v>19</v>
      </c>
      <c r="B2170" s="4" t="s">
        <v>213</v>
      </c>
      <c r="C2170" s="4" t="s">
        <v>214</v>
      </c>
      <c r="D2170" s="4" t="s">
        <v>215</v>
      </c>
      <c r="E2170" s="4" t="s">
        <v>87</v>
      </c>
      <c r="F2170" s="4" t="s">
        <v>4912</v>
      </c>
      <c r="G2170" s="4" t="s">
        <v>4913</v>
      </c>
      <c r="H2170" s="4" t="s">
        <v>135</v>
      </c>
      <c r="I2170" s="4" t="s">
        <v>33</v>
      </c>
      <c r="J2170" s="4" t="s">
        <v>27</v>
      </c>
      <c r="K2170" s="4" t="s">
        <v>28</v>
      </c>
      <c r="L2170" s="4" t="s">
        <v>28</v>
      </c>
      <c r="M2170" s="4" t="s">
        <v>34</v>
      </c>
      <c r="N2170" s="4" t="s">
        <v>28</v>
      </c>
    </row>
    <row r="2171" spans="1:14" ht="14.4" thickBot="1" x14ac:dyDescent="0.35">
      <c r="A2171" s="4" t="s">
        <v>19</v>
      </c>
      <c r="B2171" s="4" t="s">
        <v>213</v>
      </c>
      <c r="C2171" s="4" t="s">
        <v>214</v>
      </c>
      <c r="D2171" s="4" t="s">
        <v>215</v>
      </c>
      <c r="E2171" s="4" t="s">
        <v>87</v>
      </c>
      <c r="F2171" s="4" t="s">
        <v>4914</v>
      </c>
      <c r="G2171" s="4" t="s">
        <v>4915</v>
      </c>
      <c r="H2171" s="4" t="s">
        <v>37</v>
      </c>
      <c r="I2171" s="4" t="s">
        <v>38</v>
      </c>
      <c r="J2171" s="4" t="s">
        <v>28</v>
      </c>
      <c r="K2171" s="4" t="s">
        <v>28</v>
      </c>
      <c r="L2171" s="4" t="s">
        <v>27</v>
      </c>
      <c r="M2171" s="4" t="s">
        <v>34</v>
      </c>
      <c r="N2171" s="4" t="s">
        <v>28</v>
      </c>
    </row>
    <row r="2172" spans="1:14" ht="14.4" thickBot="1" x14ac:dyDescent="0.35">
      <c r="A2172" s="4" t="s">
        <v>19</v>
      </c>
      <c r="B2172" s="4" t="s">
        <v>213</v>
      </c>
      <c r="C2172" s="4" t="s">
        <v>214</v>
      </c>
      <c r="D2172" s="4" t="s">
        <v>215</v>
      </c>
      <c r="E2172" s="4" t="s">
        <v>87</v>
      </c>
      <c r="F2172" s="4" t="s">
        <v>4916</v>
      </c>
      <c r="G2172" s="4" t="s">
        <v>4917</v>
      </c>
      <c r="H2172" s="4" t="s">
        <v>37</v>
      </c>
      <c r="I2172" s="4" t="s">
        <v>38</v>
      </c>
      <c r="J2172" s="4" t="s">
        <v>28</v>
      </c>
      <c r="K2172" s="4" t="s">
        <v>28</v>
      </c>
      <c r="L2172" s="4" t="s">
        <v>27</v>
      </c>
      <c r="M2172" s="4" t="s">
        <v>34</v>
      </c>
      <c r="N2172" s="4" t="s">
        <v>28</v>
      </c>
    </row>
    <row r="2173" spans="1:14" ht="14.4" thickBot="1" x14ac:dyDescent="0.35">
      <c r="A2173" s="4" t="s">
        <v>19</v>
      </c>
      <c r="B2173" s="4" t="s">
        <v>213</v>
      </c>
      <c r="C2173" s="4" t="s">
        <v>214</v>
      </c>
      <c r="D2173" s="4" t="s">
        <v>215</v>
      </c>
      <c r="E2173" s="4" t="s">
        <v>87</v>
      </c>
      <c r="F2173" s="4" t="s">
        <v>5619</v>
      </c>
      <c r="G2173" s="4" t="s">
        <v>5620</v>
      </c>
      <c r="H2173" s="4" t="s">
        <v>69</v>
      </c>
      <c r="I2173" s="4" t="s">
        <v>94</v>
      </c>
      <c r="J2173" s="4" t="s">
        <v>28</v>
      </c>
      <c r="K2173" s="4" t="s">
        <v>27</v>
      </c>
      <c r="L2173" s="4" t="s">
        <v>28</v>
      </c>
      <c r="M2173" s="4" t="s">
        <v>34</v>
      </c>
      <c r="N2173" s="4" t="s">
        <v>28</v>
      </c>
    </row>
    <row r="2174" spans="1:14" ht="14.4" thickBot="1" x14ac:dyDescent="0.35">
      <c r="A2174" s="4" t="s">
        <v>19</v>
      </c>
      <c r="B2174" s="4" t="s">
        <v>213</v>
      </c>
      <c r="C2174" s="4" t="s">
        <v>214</v>
      </c>
      <c r="D2174" s="4" t="s">
        <v>215</v>
      </c>
      <c r="E2174" s="4" t="s">
        <v>87</v>
      </c>
      <c r="F2174" s="4" t="s">
        <v>5621</v>
      </c>
      <c r="G2174" s="4" t="s">
        <v>4226</v>
      </c>
      <c r="H2174" s="4" t="s">
        <v>26</v>
      </c>
      <c r="I2174" s="4" t="s">
        <v>26</v>
      </c>
      <c r="J2174" s="4" t="s">
        <v>27</v>
      </c>
      <c r="K2174" s="4" t="s">
        <v>28</v>
      </c>
      <c r="L2174" s="4" t="s">
        <v>28</v>
      </c>
      <c r="M2174" s="4" t="s">
        <v>29</v>
      </c>
      <c r="N2174" s="4" t="s">
        <v>28</v>
      </c>
    </row>
    <row r="2175" spans="1:14" ht="14.4" thickBot="1" x14ac:dyDescent="0.35">
      <c r="A2175" s="4" t="s">
        <v>19</v>
      </c>
      <c r="B2175" s="4" t="s">
        <v>213</v>
      </c>
      <c r="C2175" s="4" t="s">
        <v>214</v>
      </c>
      <c r="D2175" s="4" t="s">
        <v>215</v>
      </c>
      <c r="E2175" s="4" t="s">
        <v>87</v>
      </c>
      <c r="F2175" s="4" t="s">
        <v>5622</v>
      </c>
      <c r="G2175" s="4" t="s">
        <v>5623</v>
      </c>
      <c r="H2175" s="4" t="s">
        <v>26</v>
      </c>
      <c r="I2175" s="4" t="s">
        <v>26</v>
      </c>
      <c r="J2175" s="4" t="s">
        <v>27</v>
      </c>
      <c r="K2175" s="4" t="s">
        <v>28</v>
      </c>
      <c r="L2175" s="4" t="s">
        <v>28</v>
      </c>
      <c r="M2175" s="4" t="s">
        <v>29</v>
      </c>
      <c r="N2175" s="4" t="s">
        <v>28</v>
      </c>
    </row>
    <row r="2176" spans="1:14" ht="14.4" thickBot="1" x14ac:dyDescent="0.35">
      <c r="A2176" s="4" t="s">
        <v>19</v>
      </c>
      <c r="B2176" s="4" t="s">
        <v>213</v>
      </c>
      <c r="C2176" s="4" t="s">
        <v>214</v>
      </c>
      <c r="D2176" s="4" t="s">
        <v>215</v>
      </c>
      <c r="E2176" s="4" t="s">
        <v>87</v>
      </c>
      <c r="F2176" s="4" t="s">
        <v>5624</v>
      </c>
      <c r="G2176" s="4" t="s">
        <v>5625</v>
      </c>
      <c r="H2176" s="4" t="s">
        <v>135</v>
      </c>
      <c r="I2176" s="4" t="s">
        <v>94</v>
      </c>
      <c r="J2176" s="4" t="s">
        <v>27</v>
      </c>
      <c r="K2176" s="4" t="s">
        <v>28</v>
      </c>
      <c r="L2176" s="4" t="s">
        <v>28</v>
      </c>
      <c r="M2176" s="4" t="s">
        <v>34</v>
      </c>
      <c r="N2176" s="4" t="s">
        <v>27</v>
      </c>
    </row>
    <row r="2177" spans="1:14" ht="14.4" thickBot="1" x14ac:dyDescent="0.35">
      <c r="A2177" s="4" t="s">
        <v>19</v>
      </c>
      <c r="B2177" s="4" t="s">
        <v>213</v>
      </c>
      <c r="C2177" s="4" t="s">
        <v>214</v>
      </c>
      <c r="D2177" s="4" t="s">
        <v>215</v>
      </c>
      <c r="E2177" s="4" t="s">
        <v>87</v>
      </c>
      <c r="F2177" s="4" t="s">
        <v>5626</v>
      </c>
      <c r="G2177" s="4" t="s">
        <v>5627</v>
      </c>
      <c r="H2177" s="4" t="s">
        <v>26</v>
      </c>
      <c r="I2177" s="4" t="s">
        <v>26</v>
      </c>
      <c r="J2177" s="4" t="s">
        <v>27</v>
      </c>
      <c r="K2177" s="4" t="s">
        <v>28</v>
      </c>
      <c r="L2177" s="4" t="s">
        <v>28</v>
      </c>
      <c r="M2177" s="4" t="s">
        <v>29</v>
      </c>
      <c r="N2177" s="4" t="s">
        <v>28</v>
      </c>
    </row>
    <row r="2178" spans="1:14" ht="14.4" thickBot="1" x14ac:dyDescent="0.35">
      <c r="A2178" s="4" t="s">
        <v>19</v>
      </c>
      <c r="B2178" s="4" t="s">
        <v>213</v>
      </c>
      <c r="C2178" s="4" t="s">
        <v>214</v>
      </c>
      <c r="D2178" s="4" t="s">
        <v>215</v>
      </c>
      <c r="E2178" s="4" t="s">
        <v>87</v>
      </c>
      <c r="F2178" s="4" t="s">
        <v>5628</v>
      </c>
      <c r="G2178" s="4" t="s">
        <v>5629</v>
      </c>
      <c r="H2178" s="4" t="s">
        <v>135</v>
      </c>
      <c r="I2178" s="4" t="s">
        <v>33</v>
      </c>
      <c r="J2178" s="4" t="s">
        <v>27</v>
      </c>
      <c r="K2178" s="4" t="s">
        <v>28</v>
      </c>
      <c r="L2178" s="4" t="s">
        <v>28</v>
      </c>
      <c r="M2178" s="4" t="s">
        <v>34</v>
      </c>
      <c r="N2178" s="4" t="s">
        <v>28</v>
      </c>
    </row>
    <row r="2179" spans="1:14" ht="14.4" thickBot="1" x14ac:dyDescent="0.35">
      <c r="A2179" s="4" t="s">
        <v>19</v>
      </c>
      <c r="B2179" s="4" t="s">
        <v>213</v>
      </c>
      <c r="C2179" s="4" t="s">
        <v>214</v>
      </c>
      <c r="D2179" s="4" t="s">
        <v>215</v>
      </c>
      <c r="E2179" s="4" t="s">
        <v>87</v>
      </c>
      <c r="F2179" s="4" t="s">
        <v>5630</v>
      </c>
      <c r="G2179" s="4" t="s">
        <v>5631</v>
      </c>
      <c r="H2179" s="4" t="s">
        <v>26</v>
      </c>
      <c r="I2179" s="4" t="s">
        <v>37</v>
      </c>
      <c r="J2179" s="4" t="s">
        <v>27</v>
      </c>
      <c r="K2179" s="4" t="s">
        <v>28</v>
      </c>
      <c r="L2179" s="4" t="s">
        <v>28</v>
      </c>
      <c r="M2179" s="4" t="s">
        <v>29</v>
      </c>
      <c r="N2179" s="5"/>
    </row>
    <row r="2180" spans="1:14" ht="14.4" thickBot="1" x14ac:dyDescent="0.35">
      <c r="A2180" s="4" t="s">
        <v>19</v>
      </c>
      <c r="B2180" s="4" t="s">
        <v>213</v>
      </c>
      <c r="C2180" s="4" t="s">
        <v>214</v>
      </c>
      <c r="D2180" s="4" t="s">
        <v>215</v>
      </c>
      <c r="E2180" s="4" t="s">
        <v>87</v>
      </c>
      <c r="F2180" s="4" t="s">
        <v>5632</v>
      </c>
      <c r="G2180" s="4" t="s">
        <v>5633</v>
      </c>
      <c r="H2180" s="4" t="s">
        <v>135</v>
      </c>
      <c r="I2180" s="4" t="s">
        <v>38</v>
      </c>
      <c r="J2180" s="4" t="s">
        <v>28</v>
      </c>
      <c r="K2180" s="4" t="s">
        <v>28</v>
      </c>
      <c r="L2180" s="4" t="s">
        <v>27</v>
      </c>
      <c r="M2180" s="4" t="s">
        <v>29</v>
      </c>
      <c r="N2180" s="5"/>
    </row>
    <row r="2181" spans="1:14" ht="14.4" thickBot="1" x14ac:dyDescent="0.35">
      <c r="A2181" s="4" t="s">
        <v>19</v>
      </c>
      <c r="B2181" s="4" t="s">
        <v>213</v>
      </c>
      <c r="C2181" s="4" t="s">
        <v>214</v>
      </c>
      <c r="D2181" s="4" t="s">
        <v>215</v>
      </c>
      <c r="E2181" s="4" t="s">
        <v>87</v>
      </c>
      <c r="F2181" s="4" t="s">
        <v>5634</v>
      </c>
      <c r="G2181" s="4" t="s">
        <v>5635</v>
      </c>
      <c r="H2181" s="4" t="s">
        <v>26</v>
      </c>
      <c r="I2181" s="4" t="s">
        <v>33</v>
      </c>
      <c r="J2181" s="4" t="s">
        <v>27</v>
      </c>
      <c r="K2181" s="4" t="s">
        <v>28</v>
      </c>
      <c r="L2181" s="4" t="s">
        <v>28</v>
      </c>
      <c r="M2181" s="4" t="s">
        <v>34</v>
      </c>
      <c r="N2181" s="4" t="s">
        <v>28</v>
      </c>
    </row>
    <row r="2182" spans="1:14" ht="14.4" thickBot="1" x14ac:dyDescent="0.35">
      <c r="A2182" s="4" t="s">
        <v>19</v>
      </c>
      <c r="B2182" s="4" t="s">
        <v>213</v>
      </c>
      <c r="C2182" s="4" t="s">
        <v>214</v>
      </c>
      <c r="D2182" s="4" t="s">
        <v>215</v>
      </c>
      <c r="E2182" s="4" t="s">
        <v>87</v>
      </c>
      <c r="F2182" s="4" t="s">
        <v>5636</v>
      </c>
      <c r="G2182" s="4" t="s">
        <v>5637</v>
      </c>
      <c r="H2182" s="4" t="s">
        <v>37</v>
      </c>
      <c r="I2182" s="4" t="s">
        <v>38</v>
      </c>
      <c r="J2182" s="4" t="s">
        <v>28</v>
      </c>
      <c r="K2182" s="4" t="s">
        <v>28</v>
      </c>
      <c r="L2182" s="4" t="s">
        <v>27</v>
      </c>
      <c r="M2182" s="4" t="s">
        <v>34</v>
      </c>
      <c r="N2182" s="4" t="s">
        <v>28</v>
      </c>
    </row>
    <row r="2183" spans="1:14" ht="14.4" thickBot="1" x14ac:dyDescent="0.35">
      <c r="A2183" s="4" t="s">
        <v>19</v>
      </c>
      <c r="B2183" s="4" t="s">
        <v>213</v>
      </c>
      <c r="C2183" s="4" t="s">
        <v>214</v>
      </c>
      <c r="D2183" s="4" t="s">
        <v>215</v>
      </c>
      <c r="E2183" s="4" t="s">
        <v>87</v>
      </c>
      <c r="F2183" s="4" t="s">
        <v>5638</v>
      </c>
      <c r="G2183" s="4" t="s">
        <v>5639</v>
      </c>
      <c r="H2183" s="4" t="s">
        <v>26</v>
      </c>
      <c r="I2183" s="4" t="s">
        <v>33</v>
      </c>
      <c r="J2183" s="4" t="s">
        <v>27</v>
      </c>
      <c r="K2183" s="4" t="s">
        <v>28</v>
      </c>
      <c r="L2183" s="4" t="s">
        <v>28</v>
      </c>
      <c r="M2183" s="4" t="s">
        <v>34</v>
      </c>
      <c r="N2183" s="4" t="s">
        <v>28</v>
      </c>
    </row>
    <row r="2184" spans="1:14" ht="14.4" thickBot="1" x14ac:dyDescent="0.35">
      <c r="A2184" s="4" t="s">
        <v>19</v>
      </c>
      <c r="B2184" s="4" t="s">
        <v>213</v>
      </c>
      <c r="C2184" s="4" t="s">
        <v>214</v>
      </c>
      <c r="D2184" s="4" t="s">
        <v>215</v>
      </c>
      <c r="E2184" s="4" t="s">
        <v>87</v>
      </c>
      <c r="F2184" s="4" t="s">
        <v>5640</v>
      </c>
      <c r="G2184" s="4" t="s">
        <v>3361</v>
      </c>
      <c r="H2184" s="4" t="s">
        <v>37</v>
      </c>
      <c r="I2184" s="4" t="s">
        <v>38</v>
      </c>
      <c r="J2184" s="4" t="s">
        <v>28</v>
      </c>
      <c r="K2184" s="4" t="s">
        <v>28</v>
      </c>
      <c r="L2184" s="4" t="s">
        <v>27</v>
      </c>
      <c r="M2184" s="4" t="s">
        <v>34</v>
      </c>
      <c r="N2184" s="4" t="s">
        <v>28</v>
      </c>
    </row>
    <row r="2185" spans="1:14" ht="14.4" thickBot="1" x14ac:dyDescent="0.35">
      <c r="A2185" s="4" t="s">
        <v>19</v>
      </c>
      <c r="B2185" s="4" t="s">
        <v>213</v>
      </c>
      <c r="C2185" s="4" t="s">
        <v>214</v>
      </c>
      <c r="D2185" s="4" t="s">
        <v>215</v>
      </c>
      <c r="E2185" s="4" t="s">
        <v>87</v>
      </c>
      <c r="F2185" s="4" t="s">
        <v>5641</v>
      </c>
      <c r="G2185" s="4" t="s">
        <v>5642</v>
      </c>
      <c r="H2185" s="4" t="s">
        <v>69</v>
      </c>
      <c r="I2185" s="4" t="s">
        <v>94</v>
      </c>
      <c r="J2185" s="4" t="s">
        <v>28</v>
      </c>
      <c r="K2185" s="4" t="s">
        <v>27</v>
      </c>
      <c r="L2185" s="4" t="s">
        <v>28</v>
      </c>
      <c r="M2185" s="4" t="s">
        <v>34</v>
      </c>
      <c r="N2185" s="4" t="s">
        <v>28</v>
      </c>
    </row>
    <row r="2186" spans="1:14" ht="14.4" thickBot="1" x14ac:dyDescent="0.35">
      <c r="A2186" s="4" t="s">
        <v>19</v>
      </c>
      <c r="B2186" s="4" t="s">
        <v>213</v>
      </c>
      <c r="C2186" s="4" t="s">
        <v>233</v>
      </c>
      <c r="D2186" s="4" t="s">
        <v>234</v>
      </c>
      <c r="E2186" s="4" t="s">
        <v>87</v>
      </c>
      <c r="F2186" s="4" t="s">
        <v>235</v>
      </c>
      <c r="G2186" s="4" t="s">
        <v>236</v>
      </c>
      <c r="H2186" s="4" t="s">
        <v>69</v>
      </c>
      <c r="I2186" s="4" t="s">
        <v>94</v>
      </c>
      <c r="J2186" s="4" t="s">
        <v>28</v>
      </c>
      <c r="K2186" s="4" t="s">
        <v>27</v>
      </c>
      <c r="L2186" s="4" t="s">
        <v>28</v>
      </c>
      <c r="M2186" s="4" t="s">
        <v>34</v>
      </c>
      <c r="N2186" s="4" t="s">
        <v>28</v>
      </c>
    </row>
    <row r="2187" spans="1:14" ht="14.4" thickBot="1" x14ac:dyDescent="0.35">
      <c r="A2187" s="4" t="s">
        <v>19</v>
      </c>
      <c r="B2187" s="4" t="s">
        <v>213</v>
      </c>
      <c r="C2187" s="4" t="s">
        <v>233</v>
      </c>
      <c r="D2187" s="4" t="s">
        <v>234</v>
      </c>
      <c r="E2187" s="4" t="s">
        <v>87</v>
      </c>
      <c r="F2187" s="4" t="s">
        <v>237</v>
      </c>
      <c r="G2187" s="4" t="s">
        <v>238</v>
      </c>
      <c r="H2187" s="4" t="s">
        <v>26</v>
      </c>
      <c r="I2187" s="4" t="s">
        <v>94</v>
      </c>
      <c r="J2187" s="5"/>
      <c r="K2187" s="5"/>
      <c r="L2187" s="5"/>
      <c r="M2187" s="4" t="s">
        <v>29</v>
      </c>
      <c r="N2187" s="5"/>
    </row>
    <row r="2188" spans="1:14" ht="14.4" thickBot="1" x14ac:dyDescent="0.35">
      <c r="A2188" s="4" t="s">
        <v>19</v>
      </c>
      <c r="B2188" s="4" t="s">
        <v>213</v>
      </c>
      <c r="C2188" s="4" t="s">
        <v>233</v>
      </c>
      <c r="D2188" s="4" t="s">
        <v>234</v>
      </c>
      <c r="E2188" s="4" t="s">
        <v>87</v>
      </c>
      <c r="F2188" s="4" t="s">
        <v>239</v>
      </c>
      <c r="G2188" s="4" t="s">
        <v>240</v>
      </c>
      <c r="H2188" s="4" t="s">
        <v>135</v>
      </c>
      <c r="I2188" s="4" t="s">
        <v>33</v>
      </c>
      <c r="J2188" s="4" t="s">
        <v>27</v>
      </c>
      <c r="K2188" s="4" t="s">
        <v>28</v>
      </c>
      <c r="L2188" s="4" t="s">
        <v>28</v>
      </c>
      <c r="M2188" s="4" t="s">
        <v>34</v>
      </c>
      <c r="N2188" s="4" t="s">
        <v>28</v>
      </c>
    </row>
    <row r="2189" spans="1:14" ht="14.4" thickBot="1" x14ac:dyDescent="0.35">
      <c r="A2189" s="4" t="s">
        <v>19</v>
      </c>
      <c r="B2189" s="4" t="s">
        <v>213</v>
      </c>
      <c r="C2189" s="4" t="s">
        <v>233</v>
      </c>
      <c r="D2189" s="4" t="s">
        <v>234</v>
      </c>
      <c r="E2189" s="4" t="s">
        <v>87</v>
      </c>
      <c r="F2189" s="4" t="s">
        <v>241</v>
      </c>
      <c r="G2189" s="4" t="s">
        <v>242</v>
      </c>
      <c r="H2189" s="4" t="s">
        <v>135</v>
      </c>
      <c r="I2189" s="4" t="s">
        <v>33</v>
      </c>
      <c r="J2189" s="4" t="s">
        <v>27</v>
      </c>
      <c r="K2189" s="4" t="s">
        <v>28</v>
      </c>
      <c r="L2189" s="4" t="s">
        <v>28</v>
      </c>
      <c r="M2189" s="4" t="s">
        <v>34</v>
      </c>
      <c r="N2189" s="4" t="s">
        <v>28</v>
      </c>
    </row>
    <row r="2190" spans="1:14" ht="14.4" thickBot="1" x14ac:dyDescent="0.35">
      <c r="A2190" s="4" t="s">
        <v>19</v>
      </c>
      <c r="B2190" s="4" t="s">
        <v>213</v>
      </c>
      <c r="C2190" s="4" t="s">
        <v>233</v>
      </c>
      <c r="D2190" s="4" t="s">
        <v>234</v>
      </c>
      <c r="E2190" s="4" t="s">
        <v>87</v>
      </c>
      <c r="F2190" s="4" t="s">
        <v>1181</v>
      </c>
      <c r="G2190" s="4" t="s">
        <v>1182</v>
      </c>
      <c r="H2190" s="4" t="s">
        <v>26</v>
      </c>
      <c r="I2190" s="4" t="s">
        <v>26</v>
      </c>
      <c r="J2190" s="4" t="s">
        <v>27</v>
      </c>
      <c r="K2190" s="4" t="s">
        <v>28</v>
      </c>
      <c r="L2190" s="4" t="s">
        <v>28</v>
      </c>
      <c r="M2190" s="4" t="s">
        <v>34</v>
      </c>
      <c r="N2190" s="4" t="s">
        <v>28</v>
      </c>
    </row>
    <row r="2191" spans="1:14" ht="14.4" thickBot="1" x14ac:dyDescent="0.35">
      <c r="A2191" s="4" t="s">
        <v>19</v>
      </c>
      <c r="B2191" s="4" t="s">
        <v>213</v>
      </c>
      <c r="C2191" s="4" t="s">
        <v>233</v>
      </c>
      <c r="D2191" s="4" t="s">
        <v>234</v>
      </c>
      <c r="E2191" s="4" t="s">
        <v>87</v>
      </c>
      <c r="F2191" s="4" t="s">
        <v>1183</v>
      </c>
      <c r="G2191" s="4" t="s">
        <v>1184</v>
      </c>
      <c r="H2191" s="4" t="s">
        <v>26</v>
      </c>
      <c r="I2191" s="4" t="s">
        <v>135</v>
      </c>
      <c r="J2191" s="4" t="s">
        <v>27</v>
      </c>
      <c r="K2191" s="4" t="s">
        <v>28</v>
      </c>
      <c r="L2191" s="4" t="s">
        <v>28</v>
      </c>
      <c r="M2191" s="4" t="s">
        <v>29</v>
      </c>
      <c r="N2191" s="5"/>
    </row>
    <row r="2192" spans="1:14" ht="14.4" thickBot="1" x14ac:dyDescent="0.35">
      <c r="A2192" s="4" t="s">
        <v>19</v>
      </c>
      <c r="B2192" s="4" t="s">
        <v>213</v>
      </c>
      <c r="C2192" s="4" t="s">
        <v>233</v>
      </c>
      <c r="D2192" s="4" t="s">
        <v>234</v>
      </c>
      <c r="E2192" s="4" t="s">
        <v>87</v>
      </c>
      <c r="F2192" s="4" t="s">
        <v>1185</v>
      </c>
      <c r="G2192" s="4" t="s">
        <v>1186</v>
      </c>
      <c r="H2192" s="4" t="s">
        <v>37</v>
      </c>
      <c r="I2192" s="4" t="s">
        <v>38</v>
      </c>
      <c r="J2192" s="5"/>
      <c r="K2192" s="5"/>
      <c r="L2192" s="5"/>
      <c r="M2192" s="4" t="s">
        <v>29</v>
      </c>
      <c r="N2192" s="5"/>
    </row>
    <row r="2193" spans="1:14" ht="14.4" thickBot="1" x14ac:dyDescent="0.35">
      <c r="A2193" s="4" t="s">
        <v>19</v>
      </c>
      <c r="B2193" s="4" t="s">
        <v>213</v>
      </c>
      <c r="C2193" s="4" t="s">
        <v>233</v>
      </c>
      <c r="D2193" s="4" t="s">
        <v>234</v>
      </c>
      <c r="E2193" s="4" t="s">
        <v>87</v>
      </c>
      <c r="F2193" s="4" t="s">
        <v>1187</v>
      </c>
      <c r="G2193" s="4" t="s">
        <v>1188</v>
      </c>
      <c r="H2193" s="4" t="s">
        <v>135</v>
      </c>
      <c r="I2193" s="4" t="s">
        <v>33</v>
      </c>
      <c r="J2193" s="4" t="s">
        <v>27</v>
      </c>
      <c r="K2193" s="4" t="s">
        <v>28</v>
      </c>
      <c r="L2193" s="4" t="s">
        <v>28</v>
      </c>
      <c r="M2193" s="4" t="s">
        <v>34</v>
      </c>
      <c r="N2193" s="4" t="s">
        <v>28</v>
      </c>
    </row>
    <row r="2194" spans="1:14" ht="14.4" thickBot="1" x14ac:dyDescent="0.35">
      <c r="A2194" s="4" t="s">
        <v>19</v>
      </c>
      <c r="B2194" s="4" t="s">
        <v>213</v>
      </c>
      <c r="C2194" s="4" t="s">
        <v>233</v>
      </c>
      <c r="D2194" s="4" t="s">
        <v>234</v>
      </c>
      <c r="E2194" s="4" t="s">
        <v>87</v>
      </c>
      <c r="F2194" s="4" t="s">
        <v>1189</v>
      </c>
      <c r="G2194" s="4" t="s">
        <v>1190</v>
      </c>
      <c r="H2194" s="4" t="s">
        <v>135</v>
      </c>
      <c r="I2194" s="4" t="s">
        <v>33</v>
      </c>
      <c r="J2194" s="4" t="s">
        <v>27</v>
      </c>
      <c r="K2194" s="4" t="s">
        <v>28</v>
      </c>
      <c r="L2194" s="4" t="s">
        <v>28</v>
      </c>
      <c r="M2194" s="4" t="s">
        <v>34</v>
      </c>
      <c r="N2194" s="4" t="s">
        <v>28</v>
      </c>
    </row>
    <row r="2195" spans="1:14" ht="14.4" thickBot="1" x14ac:dyDescent="0.35">
      <c r="A2195" s="4" t="s">
        <v>19</v>
      </c>
      <c r="B2195" s="4" t="s">
        <v>213</v>
      </c>
      <c r="C2195" s="4" t="s">
        <v>233</v>
      </c>
      <c r="D2195" s="4" t="s">
        <v>234</v>
      </c>
      <c r="E2195" s="4" t="s">
        <v>87</v>
      </c>
      <c r="F2195" s="4" t="s">
        <v>2017</v>
      </c>
      <c r="G2195" s="4" t="s">
        <v>2018</v>
      </c>
      <c r="H2195" s="4" t="s">
        <v>135</v>
      </c>
      <c r="I2195" s="4" t="s">
        <v>33</v>
      </c>
      <c r="J2195" s="4" t="s">
        <v>27</v>
      </c>
      <c r="K2195" s="4" t="s">
        <v>28</v>
      </c>
      <c r="L2195" s="4" t="s">
        <v>28</v>
      </c>
      <c r="M2195" s="4" t="s">
        <v>34</v>
      </c>
      <c r="N2195" s="4" t="s">
        <v>28</v>
      </c>
    </row>
    <row r="2196" spans="1:14" ht="14.4" thickBot="1" x14ac:dyDescent="0.35">
      <c r="A2196" s="4" t="s">
        <v>19</v>
      </c>
      <c r="B2196" s="4" t="s">
        <v>213</v>
      </c>
      <c r="C2196" s="4" t="s">
        <v>233</v>
      </c>
      <c r="D2196" s="4" t="s">
        <v>234</v>
      </c>
      <c r="E2196" s="4" t="s">
        <v>87</v>
      </c>
      <c r="F2196" s="4" t="s">
        <v>2019</v>
      </c>
      <c r="G2196" s="4" t="s">
        <v>2020</v>
      </c>
      <c r="H2196" s="4" t="s">
        <v>26</v>
      </c>
      <c r="I2196" s="4" t="s">
        <v>135</v>
      </c>
      <c r="J2196" s="4" t="s">
        <v>27</v>
      </c>
      <c r="K2196" s="4" t="s">
        <v>28</v>
      </c>
      <c r="L2196" s="4" t="s">
        <v>28</v>
      </c>
      <c r="M2196" s="4" t="s">
        <v>29</v>
      </c>
      <c r="N2196" s="5"/>
    </row>
    <row r="2197" spans="1:14" ht="14.4" thickBot="1" x14ac:dyDescent="0.35">
      <c r="A2197" s="4" t="s">
        <v>19</v>
      </c>
      <c r="B2197" s="4" t="s">
        <v>213</v>
      </c>
      <c r="C2197" s="4" t="s">
        <v>233</v>
      </c>
      <c r="D2197" s="4" t="s">
        <v>234</v>
      </c>
      <c r="E2197" s="4" t="s">
        <v>87</v>
      </c>
      <c r="F2197" s="4" t="s">
        <v>2663</v>
      </c>
      <c r="G2197" s="4" t="s">
        <v>2664</v>
      </c>
      <c r="H2197" s="4" t="s">
        <v>135</v>
      </c>
      <c r="I2197" s="4" t="s">
        <v>94</v>
      </c>
      <c r="J2197" s="4" t="s">
        <v>27</v>
      </c>
      <c r="K2197" s="4" t="s">
        <v>28</v>
      </c>
      <c r="L2197" s="4" t="s">
        <v>28</v>
      </c>
      <c r="M2197" s="4" t="s">
        <v>34</v>
      </c>
      <c r="N2197" s="4" t="s">
        <v>28</v>
      </c>
    </row>
    <row r="2198" spans="1:14" ht="14.4" thickBot="1" x14ac:dyDescent="0.35">
      <c r="A2198" s="4" t="s">
        <v>19</v>
      </c>
      <c r="B2198" s="4" t="s">
        <v>213</v>
      </c>
      <c r="C2198" s="4" t="s">
        <v>233</v>
      </c>
      <c r="D2198" s="4" t="s">
        <v>234</v>
      </c>
      <c r="E2198" s="4" t="s">
        <v>87</v>
      </c>
      <c r="F2198" s="4" t="s">
        <v>2665</v>
      </c>
      <c r="G2198" s="4" t="s">
        <v>2666</v>
      </c>
      <c r="H2198" s="4" t="s">
        <v>135</v>
      </c>
      <c r="I2198" s="4" t="s">
        <v>38</v>
      </c>
      <c r="J2198" s="4" t="s">
        <v>28</v>
      </c>
      <c r="K2198" s="4" t="s">
        <v>28</v>
      </c>
      <c r="L2198" s="4" t="s">
        <v>27</v>
      </c>
      <c r="M2198" s="4" t="s">
        <v>34</v>
      </c>
      <c r="N2198" s="4" t="s">
        <v>27</v>
      </c>
    </row>
    <row r="2199" spans="1:14" ht="14.4" thickBot="1" x14ac:dyDescent="0.35">
      <c r="A2199" s="4" t="s">
        <v>19</v>
      </c>
      <c r="B2199" s="4" t="s">
        <v>213</v>
      </c>
      <c r="C2199" s="4" t="s">
        <v>233</v>
      </c>
      <c r="D2199" s="4" t="s">
        <v>234</v>
      </c>
      <c r="E2199" s="4" t="s">
        <v>87</v>
      </c>
      <c r="F2199" s="4" t="s">
        <v>2667</v>
      </c>
      <c r="G2199" s="4" t="s">
        <v>2668</v>
      </c>
      <c r="H2199" s="4" t="s">
        <v>37</v>
      </c>
      <c r="I2199" s="4" t="s">
        <v>38</v>
      </c>
      <c r="J2199" s="4" t="s">
        <v>28</v>
      </c>
      <c r="K2199" s="4" t="s">
        <v>28</v>
      </c>
      <c r="L2199" s="4" t="s">
        <v>27</v>
      </c>
      <c r="M2199" s="4" t="s">
        <v>34</v>
      </c>
      <c r="N2199" s="4" t="s">
        <v>28</v>
      </c>
    </row>
    <row r="2200" spans="1:14" ht="14.4" thickBot="1" x14ac:dyDescent="0.35">
      <c r="A2200" s="4" t="s">
        <v>19</v>
      </c>
      <c r="B2200" s="4" t="s">
        <v>213</v>
      </c>
      <c r="C2200" s="4" t="s">
        <v>233</v>
      </c>
      <c r="D2200" s="4" t="s">
        <v>234</v>
      </c>
      <c r="E2200" s="4" t="s">
        <v>87</v>
      </c>
      <c r="F2200" s="4" t="s">
        <v>2669</v>
      </c>
      <c r="G2200" s="4" t="s">
        <v>2670</v>
      </c>
      <c r="H2200" s="4" t="s">
        <v>37</v>
      </c>
      <c r="I2200" s="4" t="s">
        <v>38</v>
      </c>
      <c r="J2200" s="4" t="s">
        <v>28</v>
      </c>
      <c r="K2200" s="4" t="s">
        <v>28</v>
      </c>
      <c r="L2200" s="4" t="s">
        <v>27</v>
      </c>
      <c r="M2200" s="4" t="s">
        <v>34</v>
      </c>
      <c r="N2200" s="4" t="s">
        <v>28</v>
      </c>
    </row>
    <row r="2201" spans="1:14" ht="14.4" thickBot="1" x14ac:dyDescent="0.35">
      <c r="A2201" s="4" t="s">
        <v>19</v>
      </c>
      <c r="B2201" s="4" t="s">
        <v>213</v>
      </c>
      <c r="C2201" s="4" t="s">
        <v>233</v>
      </c>
      <c r="D2201" s="4" t="s">
        <v>234</v>
      </c>
      <c r="E2201" s="4" t="s">
        <v>87</v>
      </c>
      <c r="F2201" s="4" t="s">
        <v>2671</v>
      </c>
      <c r="G2201" s="4" t="s">
        <v>2672</v>
      </c>
      <c r="H2201" s="4" t="s">
        <v>69</v>
      </c>
      <c r="I2201" s="4" t="s">
        <v>94</v>
      </c>
      <c r="J2201" s="4" t="s">
        <v>28</v>
      </c>
      <c r="K2201" s="4" t="s">
        <v>27</v>
      </c>
      <c r="L2201" s="4" t="s">
        <v>28</v>
      </c>
      <c r="M2201" s="4" t="s">
        <v>34</v>
      </c>
      <c r="N2201" s="4" t="s">
        <v>28</v>
      </c>
    </row>
    <row r="2202" spans="1:14" ht="14.4" thickBot="1" x14ac:dyDescent="0.35">
      <c r="A2202" s="4" t="s">
        <v>19</v>
      </c>
      <c r="B2202" s="4" t="s">
        <v>213</v>
      </c>
      <c r="C2202" s="4" t="s">
        <v>233</v>
      </c>
      <c r="D2202" s="4" t="s">
        <v>234</v>
      </c>
      <c r="E2202" s="4" t="s">
        <v>87</v>
      </c>
      <c r="F2202" s="4" t="s">
        <v>2673</v>
      </c>
      <c r="G2202" s="4" t="s">
        <v>1675</v>
      </c>
      <c r="H2202" s="4" t="s">
        <v>135</v>
      </c>
      <c r="I2202" s="4" t="s">
        <v>33</v>
      </c>
      <c r="J2202" s="4" t="s">
        <v>27</v>
      </c>
      <c r="K2202" s="4" t="s">
        <v>28</v>
      </c>
      <c r="L2202" s="4" t="s">
        <v>28</v>
      </c>
      <c r="M2202" s="4" t="s">
        <v>34</v>
      </c>
      <c r="N2202" s="4" t="s">
        <v>28</v>
      </c>
    </row>
    <row r="2203" spans="1:14" ht="14.4" thickBot="1" x14ac:dyDescent="0.35">
      <c r="A2203" s="4" t="s">
        <v>19</v>
      </c>
      <c r="B2203" s="4" t="s">
        <v>213</v>
      </c>
      <c r="C2203" s="4" t="s">
        <v>233</v>
      </c>
      <c r="D2203" s="4" t="s">
        <v>234</v>
      </c>
      <c r="E2203" s="4" t="s">
        <v>87</v>
      </c>
      <c r="F2203" s="4" t="s">
        <v>2674</v>
      </c>
      <c r="G2203" s="4" t="s">
        <v>2675</v>
      </c>
      <c r="H2203" s="4" t="s">
        <v>69</v>
      </c>
      <c r="I2203" s="4" t="s">
        <v>94</v>
      </c>
      <c r="J2203" s="4" t="s">
        <v>28</v>
      </c>
      <c r="K2203" s="4" t="s">
        <v>27</v>
      </c>
      <c r="L2203" s="4" t="s">
        <v>28</v>
      </c>
      <c r="M2203" s="4" t="s">
        <v>34</v>
      </c>
      <c r="N2203" s="4" t="s">
        <v>28</v>
      </c>
    </row>
    <row r="2204" spans="1:14" ht="14.4" thickBot="1" x14ac:dyDescent="0.35">
      <c r="A2204" s="4" t="s">
        <v>19</v>
      </c>
      <c r="B2204" s="4" t="s">
        <v>213</v>
      </c>
      <c r="C2204" s="4" t="s">
        <v>233</v>
      </c>
      <c r="D2204" s="4" t="s">
        <v>234</v>
      </c>
      <c r="E2204" s="4" t="s">
        <v>87</v>
      </c>
      <c r="F2204" s="4" t="s">
        <v>2676</v>
      </c>
      <c r="G2204" s="4" t="s">
        <v>2677</v>
      </c>
      <c r="H2204" s="4" t="s">
        <v>37</v>
      </c>
      <c r="I2204" s="4" t="s">
        <v>38</v>
      </c>
      <c r="J2204" s="4" t="s">
        <v>28</v>
      </c>
      <c r="K2204" s="4" t="s">
        <v>28</v>
      </c>
      <c r="L2204" s="4" t="s">
        <v>27</v>
      </c>
      <c r="M2204" s="4" t="s">
        <v>34</v>
      </c>
      <c r="N2204" s="4" t="s">
        <v>28</v>
      </c>
    </row>
    <row r="2205" spans="1:14" ht="14.4" thickBot="1" x14ac:dyDescent="0.35">
      <c r="A2205" s="4" t="s">
        <v>19</v>
      </c>
      <c r="B2205" s="4" t="s">
        <v>213</v>
      </c>
      <c r="C2205" s="4" t="s">
        <v>233</v>
      </c>
      <c r="D2205" s="4" t="s">
        <v>234</v>
      </c>
      <c r="E2205" s="4" t="s">
        <v>87</v>
      </c>
      <c r="F2205" s="4" t="s">
        <v>1628</v>
      </c>
      <c r="G2205" s="4" t="s">
        <v>2678</v>
      </c>
      <c r="H2205" s="4" t="s">
        <v>135</v>
      </c>
      <c r="I2205" s="4" t="s">
        <v>33</v>
      </c>
      <c r="J2205" s="4" t="s">
        <v>27</v>
      </c>
      <c r="K2205" s="4" t="s">
        <v>28</v>
      </c>
      <c r="L2205" s="4" t="s">
        <v>28</v>
      </c>
      <c r="M2205" s="4" t="s">
        <v>34</v>
      </c>
      <c r="N2205" s="4" t="s">
        <v>28</v>
      </c>
    </row>
    <row r="2206" spans="1:14" ht="14.4" thickBot="1" x14ac:dyDescent="0.35">
      <c r="A2206" s="4" t="s">
        <v>19</v>
      </c>
      <c r="B2206" s="4" t="s">
        <v>213</v>
      </c>
      <c r="C2206" s="4" t="s">
        <v>233</v>
      </c>
      <c r="D2206" s="4" t="s">
        <v>234</v>
      </c>
      <c r="E2206" s="4" t="s">
        <v>87</v>
      </c>
      <c r="F2206" s="4" t="s">
        <v>2679</v>
      </c>
      <c r="G2206" s="4" t="s">
        <v>2680</v>
      </c>
      <c r="H2206" s="4" t="s">
        <v>135</v>
      </c>
      <c r="I2206" s="4" t="s">
        <v>33</v>
      </c>
      <c r="J2206" s="4" t="s">
        <v>27</v>
      </c>
      <c r="K2206" s="4" t="s">
        <v>28</v>
      </c>
      <c r="L2206" s="4" t="s">
        <v>28</v>
      </c>
      <c r="M2206" s="4" t="s">
        <v>34</v>
      </c>
      <c r="N2206" s="4" t="s">
        <v>28</v>
      </c>
    </row>
    <row r="2207" spans="1:14" ht="14.4" thickBot="1" x14ac:dyDescent="0.35">
      <c r="A2207" s="4" t="s">
        <v>19</v>
      </c>
      <c r="B2207" s="4" t="s">
        <v>213</v>
      </c>
      <c r="C2207" s="4" t="s">
        <v>233</v>
      </c>
      <c r="D2207" s="4" t="s">
        <v>234</v>
      </c>
      <c r="E2207" s="4" t="s">
        <v>87</v>
      </c>
      <c r="F2207" s="4" t="s">
        <v>2681</v>
      </c>
      <c r="G2207" s="4" t="s">
        <v>657</v>
      </c>
      <c r="H2207" s="4" t="s">
        <v>135</v>
      </c>
      <c r="I2207" s="4" t="s">
        <v>33</v>
      </c>
      <c r="J2207" s="4" t="s">
        <v>27</v>
      </c>
      <c r="K2207" s="4" t="s">
        <v>28</v>
      </c>
      <c r="L2207" s="4" t="s">
        <v>28</v>
      </c>
      <c r="M2207" s="4" t="s">
        <v>34</v>
      </c>
      <c r="N2207" s="4" t="s">
        <v>28</v>
      </c>
    </row>
    <row r="2208" spans="1:14" ht="14.4" thickBot="1" x14ac:dyDescent="0.35">
      <c r="A2208" s="4" t="s">
        <v>19</v>
      </c>
      <c r="B2208" s="4" t="s">
        <v>213</v>
      </c>
      <c r="C2208" s="4" t="s">
        <v>233</v>
      </c>
      <c r="D2208" s="4" t="s">
        <v>234</v>
      </c>
      <c r="E2208" s="4" t="s">
        <v>87</v>
      </c>
      <c r="F2208" s="4" t="s">
        <v>3451</v>
      </c>
      <c r="G2208" s="4" t="s">
        <v>3452</v>
      </c>
      <c r="H2208" s="4" t="s">
        <v>135</v>
      </c>
      <c r="I2208" s="4" t="s">
        <v>38</v>
      </c>
      <c r="J2208" s="4" t="s">
        <v>28</v>
      </c>
      <c r="K2208" s="4" t="s">
        <v>28</v>
      </c>
      <c r="L2208" s="4" t="s">
        <v>27</v>
      </c>
      <c r="M2208" s="4" t="s">
        <v>29</v>
      </c>
      <c r="N2208" s="4" t="s">
        <v>28</v>
      </c>
    </row>
    <row r="2209" spans="1:14" ht="14.4" thickBot="1" x14ac:dyDescent="0.35">
      <c r="A2209" s="4" t="s">
        <v>19</v>
      </c>
      <c r="B2209" s="4" t="s">
        <v>213</v>
      </c>
      <c r="C2209" s="4" t="s">
        <v>233</v>
      </c>
      <c r="D2209" s="4" t="s">
        <v>234</v>
      </c>
      <c r="E2209" s="4" t="s">
        <v>87</v>
      </c>
      <c r="F2209" s="4" t="s">
        <v>3453</v>
      </c>
      <c r="G2209" s="4" t="s">
        <v>3454</v>
      </c>
      <c r="H2209" s="4" t="s">
        <v>26</v>
      </c>
      <c r="I2209" s="4" t="s">
        <v>38</v>
      </c>
      <c r="J2209" s="4" t="s">
        <v>28</v>
      </c>
      <c r="K2209" s="4" t="s">
        <v>28</v>
      </c>
      <c r="L2209" s="4" t="s">
        <v>27</v>
      </c>
      <c r="M2209" s="4" t="s">
        <v>29</v>
      </c>
      <c r="N2209" s="5"/>
    </row>
    <row r="2210" spans="1:14" ht="14.4" thickBot="1" x14ac:dyDescent="0.35">
      <c r="A2210" s="4" t="s">
        <v>19</v>
      </c>
      <c r="B2210" s="4" t="s">
        <v>213</v>
      </c>
      <c r="C2210" s="4" t="s">
        <v>233</v>
      </c>
      <c r="D2210" s="4" t="s">
        <v>234</v>
      </c>
      <c r="E2210" s="4" t="s">
        <v>87</v>
      </c>
      <c r="F2210" s="4" t="s">
        <v>3455</v>
      </c>
      <c r="G2210" s="4" t="s">
        <v>3456</v>
      </c>
      <c r="H2210" s="4" t="s">
        <v>135</v>
      </c>
      <c r="I2210" s="4" t="s">
        <v>33</v>
      </c>
      <c r="J2210" s="4" t="s">
        <v>27</v>
      </c>
      <c r="K2210" s="4" t="s">
        <v>28</v>
      </c>
      <c r="L2210" s="4" t="s">
        <v>28</v>
      </c>
      <c r="M2210" s="4" t="s">
        <v>34</v>
      </c>
      <c r="N2210" s="4" t="s">
        <v>28</v>
      </c>
    </row>
    <row r="2211" spans="1:14" ht="14.4" thickBot="1" x14ac:dyDescent="0.35">
      <c r="A2211" s="4" t="s">
        <v>19</v>
      </c>
      <c r="B2211" s="4" t="s">
        <v>213</v>
      </c>
      <c r="C2211" s="4" t="s">
        <v>233</v>
      </c>
      <c r="D2211" s="4" t="s">
        <v>234</v>
      </c>
      <c r="E2211" s="4" t="s">
        <v>87</v>
      </c>
      <c r="F2211" s="4" t="s">
        <v>4246</v>
      </c>
      <c r="G2211" s="4" t="s">
        <v>4247</v>
      </c>
      <c r="H2211" s="4" t="s">
        <v>37</v>
      </c>
      <c r="I2211" s="4" t="s">
        <v>38</v>
      </c>
      <c r="J2211" s="4" t="s">
        <v>28</v>
      </c>
      <c r="K2211" s="4" t="s">
        <v>28</v>
      </c>
      <c r="L2211" s="4" t="s">
        <v>27</v>
      </c>
      <c r="M2211" s="4" t="s">
        <v>34</v>
      </c>
      <c r="N2211" s="4" t="s">
        <v>28</v>
      </c>
    </row>
    <row r="2212" spans="1:14" ht="14.4" thickBot="1" x14ac:dyDescent="0.35">
      <c r="A2212" s="4" t="s">
        <v>19</v>
      </c>
      <c r="B2212" s="4" t="s">
        <v>213</v>
      </c>
      <c r="C2212" s="4" t="s">
        <v>233</v>
      </c>
      <c r="D2212" s="4" t="s">
        <v>234</v>
      </c>
      <c r="E2212" s="4" t="s">
        <v>87</v>
      </c>
      <c r="F2212" s="4" t="s">
        <v>4248</v>
      </c>
      <c r="G2212" s="4" t="s">
        <v>4249</v>
      </c>
      <c r="H2212" s="4" t="s">
        <v>135</v>
      </c>
      <c r="I2212" s="4" t="s">
        <v>33</v>
      </c>
      <c r="J2212" s="4" t="s">
        <v>27</v>
      </c>
      <c r="K2212" s="4" t="s">
        <v>28</v>
      </c>
      <c r="L2212" s="4" t="s">
        <v>28</v>
      </c>
      <c r="M2212" s="4" t="s">
        <v>34</v>
      </c>
      <c r="N2212" s="4" t="s">
        <v>28</v>
      </c>
    </row>
    <row r="2213" spans="1:14" ht="14.4" thickBot="1" x14ac:dyDescent="0.35">
      <c r="A2213" s="4" t="s">
        <v>19</v>
      </c>
      <c r="B2213" s="4" t="s">
        <v>213</v>
      </c>
      <c r="C2213" s="4" t="s">
        <v>233</v>
      </c>
      <c r="D2213" s="4" t="s">
        <v>234</v>
      </c>
      <c r="E2213" s="4" t="s">
        <v>87</v>
      </c>
      <c r="F2213" s="4" t="s">
        <v>4250</v>
      </c>
      <c r="G2213" s="4" t="s">
        <v>4251</v>
      </c>
      <c r="H2213" s="4" t="s">
        <v>135</v>
      </c>
      <c r="I2213" s="4" t="s">
        <v>33</v>
      </c>
      <c r="J2213" s="4" t="s">
        <v>27</v>
      </c>
      <c r="K2213" s="4" t="s">
        <v>28</v>
      </c>
      <c r="L2213" s="4" t="s">
        <v>28</v>
      </c>
      <c r="M2213" s="4" t="s">
        <v>34</v>
      </c>
      <c r="N2213" s="4" t="s">
        <v>28</v>
      </c>
    </row>
    <row r="2214" spans="1:14" ht="14.4" thickBot="1" x14ac:dyDescent="0.35">
      <c r="A2214" s="4" t="s">
        <v>19</v>
      </c>
      <c r="B2214" s="4" t="s">
        <v>213</v>
      </c>
      <c r="C2214" s="4" t="s">
        <v>233</v>
      </c>
      <c r="D2214" s="4" t="s">
        <v>234</v>
      </c>
      <c r="E2214" s="4" t="s">
        <v>87</v>
      </c>
      <c r="F2214" s="4" t="s">
        <v>4252</v>
      </c>
      <c r="G2214" s="4" t="s">
        <v>4253</v>
      </c>
      <c r="H2214" s="4" t="s">
        <v>135</v>
      </c>
      <c r="I2214" s="4" t="s">
        <v>33</v>
      </c>
      <c r="J2214" s="4" t="s">
        <v>27</v>
      </c>
      <c r="K2214" s="4" t="s">
        <v>28</v>
      </c>
      <c r="L2214" s="4" t="s">
        <v>28</v>
      </c>
      <c r="M2214" s="4" t="s">
        <v>34</v>
      </c>
      <c r="N2214" s="4" t="s">
        <v>28</v>
      </c>
    </row>
    <row r="2215" spans="1:14" ht="14.4" thickBot="1" x14ac:dyDescent="0.35">
      <c r="A2215" s="4" t="s">
        <v>19</v>
      </c>
      <c r="B2215" s="4" t="s">
        <v>213</v>
      </c>
      <c r="C2215" s="4" t="s">
        <v>233</v>
      </c>
      <c r="D2215" s="4" t="s">
        <v>234</v>
      </c>
      <c r="E2215" s="4" t="s">
        <v>87</v>
      </c>
      <c r="F2215" s="4" t="s">
        <v>4254</v>
      </c>
      <c r="G2215" s="4" t="s">
        <v>4255</v>
      </c>
      <c r="H2215" s="4" t="s">
        <v>135</v>
      </c>
      <c r="I2215" s="4" t="s">
        <v>94</v>
      </c>
      <c r="J2215" s="5"/>
      <c r="K2215" s="5"/>
      <c r="L2215" s="5"/>
      <c r="M2215" s="4" t="s">
        <v>29</v>
      </c>
      <c r="N2215" s="5"/>
    </row>
    <row r="2216" spans="1:14" ht="14.4" thickBot="1" x14ac:dyDescent="0.35">
      <c r="A2216" s="4" t="s">
        <v>19</v>
      </c>
      <c r="B2216" s="4" t="s">
        <v>213</v>
      </c>
      <c r="C2216" s="4" t="s">
        <v>233</v>
      </c>
      <c r="D2216" s="4" t="s">
        <v>234</v>
      </c>
      <c r="E2216" s="4" t="s">
        <v>87</v>
      </c>
      <c r="F2216" s="4" t="s">
        <v>4256</v>
      </c>
      <c r="G2216" s="4" t="s">
        <v>4257</v>
      </c>
      <c r="H2216" s="4" t="s">
        <v>135</v>
      </c>
      <c r="I2216" s="4" t="s">
        <v>33</v>
      </c>
      <c r="J2216" s="4" t="s">
        <v>27</v>
      </c>
      <c r="K2216" s="4" t="s">
        <v>28</v>
      </c>
      <c r="L2216" s="4" t="s">
        <v>28</v>
      </c>
      <c r="M2216" s="4" t="s">
        <v>34</v>
      </c>
      <c r="N2216" s="4" t="s">
        <v>28</v>
      </c>
    </row>
    <row r="2217" spans="1:14" ht="14.4" thickBot="1" x14ac:dyDescent="0.35">
      <c r="A2217" s="4" t="s">
        <v>19</v>
      </c>
      <c r="B2217" s="4" t="s">
        <v>213</v>
      </c>
      <c r="C2217" s="4" t="s">
        <v>233</v>
      </c>
      <c r="D2217" s="4" t="s">
        <v>234</v>
      </c>
      <c r="E2217" s="4" t="s">
        <v>87</v>
      </c>
      <c r="F2217" s="4" t="s">
        <v>4258</v>
      </c>
      <c r="G2217" s="4" t="s">
        <v>4259</v>
      </c>
      <c r="H2217" s="4" t="s">
        <v>135</v>
      </c>
      <c r="I2217" s="4" t="s">
        <v>33</v>
      </c>
      <c r="J2217" s="4" t="s">
        <v>27</v>
      </c>
      <c r="K2217" s="4" t="s">
        <v>28</v>
      </c>
      <c r="L2217" s="4" t="s">
        <v>28</v>
      </c>
      <c r="M2217" s="4" t="s">
        <v>34</v>
      </c>
      <c r="N2217" s="4" t="s">
        <v>28</v>
      </c>
    </row>
    <row r="2218" spans="1:14" ht="14.4" thickBot="1" x14ac:dyDescent="0.35">
      <c r="A2218" s="4" t="s">
        <v>19</v>
      </c>
      <c r="B2218" s="4" t="s">
        <v>213</v>
      </c>
      <c r="C2218" s="4" t="s">
        <v>233</v>
      </c>
      <c r="D2218" s="4" t="s">
        <v>234</v>
      </c>
      <c r="E2218" s="4" t="s">
        <v>87</v>
      </c>
      <c r="F2218" s="4" t="s">
        <v>4918</v>
      </c>
      <c r="G2218" s="4" t="s">
        <v>4919</v>
      </c>
      <c r="H2218" s="4" t="s">
        <v>26</v>
      </c>
      <c r="I2218" s="4" t="s">
        <v>94</v>
      </c>
      <c r="J2218" s="5"/>
      <c r="K2218" s="5"/>
      <c r="L2218" s="5"/>
      <c r="M2218" s="4" t="s">
        <v>29</v>
      </c>
      <c r="N2218" s="5"/>
    </row>
    <row r="2219" spans="1:14" ht="14.4" thickBot="1" x14ac:dyDescent="0.35">
      <c r="A2219" s="4" t="s">
        <v>19</v>
      </c>
      <c r="B2219" s="4" t="s">
        <v>213</v>
      </c>
      <c r="C2219" s="4" t="s">
        <v>233</v>
      </c>
      <c r="D2219" s="4" t="s">
        <v>234</v>
      </c>
      <c r="E2219" s="4" t="s">
        <v>87</v>
      </c>
      <c r="F2219" s="4" t="s">
        <v>4920</v>
      </c>
      <c r="G2219" s="4" t="s">
        <v>4921</v>
      </c>
      <c r="H2219" s="4" t="s">
        <v>135</v>
      </c>
      <c r="I2219" s="4" t="s">
        <v>38</v>
      </c>
      <c r="J2219" s="4" t="s">
        <v>28</v>
      </c>
      <c r="K2219" s="4" t="s">
        <v>28</v>
      </c>
      <c r="L2219" s="4" t="s">
        <v>27</v>
      </c>
      <c r="M2219" s="4" t="s">
        <v>34</v>
      </c>
      <c r="N2219" s="4" t="s">
        <v>28</v>
      </c>
    </row>
    <row r="2220" spans="1:14" ht="14.4" thickBot="1" x14ac:dyDescent="0.35">
      <c r="A2220" s="4" t="s">
        <v>19</v>
      </c>
      <c r="B2220" s="4" t="s">
        <v>213</v>
      </c>
      <c r="C2220" s="4" t="s">
        <v>233</v>
      </c>
      <c r="D2220" s="4" t="s">
        <v>234</v>
      </c>
      <c r="E2220" s="4" t="s">
        <v>87</v>
      </c>
      <c r="F2220" s="4" t="s">
        <v>4922</v>
      </c>
      <c r="G2220" s="4" t="s">
        <v>4662</v>
      </c>
      <c r="H2220" s="4" t="s">
        <v>135</v>
      </c>
      <c r="I2220" s="4" t="s">
        <v>33</v>
      </c>
      <c r="J2220" s="4" t="s">
        <v>27</v>
      </c>
      <c r="K2220" s="4" t="s">
        <v>28</v>
      </c>
      <c r="L2220" s="4" t="s">
        <v>28</v>
      </c>
      <c r="M2220" s="4" t="s">
        <v>34</v>
      </c>
      <c r="N2220" s="4" t="s">
        <v>28</v>
      </c>
    </row>
    <row r="2221" spans="1:14" ht="14.4" thickBot="1" x14ac:dyDescent="0.35">
      <c r="A2221" s="4" t="s">
        <v>19</v>
      </c>
      <c r="B2221" s="4" t="s">
        <v>213</v>
      </c>
      <c r="C2221" s="4" t="s">
        <v>233</v>
      </c>
      <c r="D2221" s="4" t="s">
        <v>234</v>
      </c>
      <c r="E2221" s="4" t="s">
        <v>87</v>
      </c>
      <c r="F2221" s="4" t="s">
        <v>776</v>
      </c>
      <c r="G2221" s="4" t="s">
        <v>4923</v>
      </c>
      <c r="H2221" s="4" t="s">
        <v>135</v>
      </c>
      <c r="I2221" s="4" t="s">
        <v>33</v>
      </c>
      <c r="J2221" s="4" t="s">
        <v>27</v>
      </c>
      <c r="K2221" s="4" t="s">
        <v>28</v>
      </c>
      <c r="L2221" s="4" t="s">
        <v>28</v>
      </c>
      <c r="M2221" s="4" t="s">
        <v>34</v>
      </c>
      <c r="N2221" s="4" t="s">
        <v>28</v>
      </c>
    </row>
    <row r="2222" spans="1:14" ht="14.4" thickBot="1" x14ac:dyDescent="0.35">
      <c r="A2222" s="4" t="s">
        <v>19</v>
      </c>
      <c r="B2222" s="4" t="s">
        <v>213</v>
      </c>
      <c r="C2222" s="4" t="s">
        <v>233</v>
      </c>
      <c r="D2222" s="4" t="s">
        <v>234</v>
      </c>
      <c r="E2222" s="4" t="s">
        <v>87</v>
      </c>
      <c r="F2222" s="4" t="s">
        <v>4924</v>
      </c>
      <c r="G2222" s="4" t="s">
        <v>4925</v>
      </c>
      <c r="H2222" s="4" t="s">
        <v>37</v>
      </c>
      <c r="I2222" s="4" t="s">
        <v>38</v>
      </c>
      <c r="J2222" s="4" t="s">
        <v>28</v>
      </c>
      <c r="K2222" s="4" t="s">
        <v>28</v>
      </c>
      <c r="L2222" s="4" t="s">
        <v>27</v>
      </c>
      <c r="M2222" s="4" t="s">
        <v>34</v>
      </c>
      <c r="N2222" s="4" t="s">
        <v>28</v>
      </c>
    </row>
    <row r="2223" spans="1:14" ht="14.4" thickBot="1" x14ac:dyDescent="0.35">
      <c r="A2223" s="4" t="s">
        <v>19</v>
      </c>
      <c r="B2223" s="4" t="s">
        <v>213</v>
      </c>
      <c r="C2223" s="4" t="s">
        <v>233</v>
      </c>
      <c r="D2223" s="4" t="s">
        <v>234</v>
      </c>
      <c r="E2223" s="4" t="s">
        <v>87</v>
      </c>
      <c r="F2223" s="4" t="s">
        <v>404</v>
      </c>
      <c r="G2223" s="4" t="s">
        <v>4926</v>
      </c>
      <c r="H2223" s="4" t="s">
        <v>69</v>
      </c>
      <c r="I2223" s="4" t="s">
        <v>94</v>
      </c>
      <c r="J2223" s="4" t="s">
        <v>28</v>
      </c>
      <c r="K2223" s="4" t="s">
        <v>27</v>
      </c>
      <c r="L2223" s="4" t="s">
        <v>28</v>
      </c>
      <c r="M2223" s="4" t="s">
        <v>34</v>
      </c>
      <c r="N2223" s="4" t="s">
        <v>28</v>
      </c>
    </row>
    <row r="2224" spans="1:14" ht="14.4" thickBot="1" x14ac:dyDescent="0.35">
      <c r="A2224" s="4" t="s">
        <v>19</v>
      </c>
      <c r="B2224" s="4" t="s">
        <v>213</v>
      </c>
      <c r="C2224" s="4" t="s">
        <v>233</v>
      </c>
      <c r="D2224" s="4" t="s">
        <v>234</v>
      </c>
      <c r="E2224" s="4" t="s">
        <v>87</v>
      </c>
      <c r="F2224" s="4" t="s">
        <v>5643</v>
      </c>
      <c r="G2224" s="4" t="s">
        <v>5644</v>
      </c>
      <c r="H2224" s="4" t="s">
        <v>135</v>
      </c>
      <c r="I2224" s="4" t="s">
        <v>94</v>
      </c>
      <c r="J2224" s="4" t="s">
        <v>27</v>
      </c>
      <c r="K2224" s="4" t="s">
        <v>28</v>
      </c>
      <c r="L2224" s="4" t="s">
        <v>28</v>
      </c>
      <c r="M2224" s="4" t="s">
        <v>34</v>
      </c>
      <c r="N2224" s="4" t="s">
        <v>27</v>
      </c>
    </row>
    <row r="2225" spans="1:14" ht="14.4" thickBot="1" x14ac:dyDescent="0.35">
      <c r="A2225" s="4" t="s">
        <v>19</v>
      </c>
      <c r="B2225" s="4" t="s">
        <v>213</v>
      </c>
      <c r="C2225" s="4" t="s">
        <v>233</v>
      </c>
      <c r="D2225" s="4" t="s">
        <v>234</v>
      </c>
      <c r="E2225" s="4" t="s">
        <v>87</v>
      </c>
      <c r="F2225" s="4" t="s">
        <v>5645</v>
      </c>
      <c r="G2225" s="4" t="s">
        <v>5646</v>
      </c>
      <c r="H2225" s="4" t="s">
        <v>135</v>
      </c>
      <c r="I2225" s="4" t="s">
        <v>33</v>
      </c>
      <c r="J2225" s="4" t="s">
        <v>27</v>
      </c>
      <c r="K2225" s="4" t="s">
        <v>28</v>
      </c>
      <c r="L2225" s="4" t="s">
        <v>28</v>
      </c>
      <c r="M2225" s="4" t="s">
        <v>34</v>
      </c>
      <c r="N2225" s="4" t="s">
        <v>28</v>
      </c>
    </row>
    <row r="2226" spans="1:14" ht="14.4" thickBot="1" x14ac:dyDescent="0.35">
      <c r="A2226" s="4" t="s">
        <v>19</v>
      </c>
      <c r="B2226" s="4" t="s">
        <v>213</v>
      </c>
      <c r="C2226" s="4" t="s">
        <v>233</v>
      </c>
      <c r="D2226" s="4" t="s">
        <v>234</v>
      </c>
      <c r="E2226" s="4" t="s">
        <v>87</v>
      </c>
      <c r="F2226" s="4" t="s">
        <v>5647</v>
      </c>
      <c r="G2226" s="4" t="s">
        <v>5648</v>
      </c>
      <c r="H2226" s="4" t="s">
        <v>69</v>
      </c>
      <c r="I2226" s="4" t="s">
        <v>94</v>
      </c>
      <c r="J2226" s="4" t="s">
        <v>28</v>
      </c>
      <c r="K2226" s="4" t="s">
        <v>27</v>
      </c>
      <c r="L2226" s="4" t="s">
        <v>28</v>
      </c>
      <c r="M2226" s="4" t="s">
        <v>34</v>
      </c>
      <c r="N2226" s="4" t="s">
        <v>28</v>
      </c>
    </row>
    <row r="2227" spans="1:14" ht="14.4" thickBot="1" x14ac:dyDescent="0.35">
      <c r="A2227" s="4" t="s">
        <v>19</v>
      </c>
      <c r="B2227" s="4" t="s">
        <v>213</v>
      </c>
      <c r="C2227" s="4" t="s">
        <v>243</v>
      </c>
      <c r="D2227" s="4" t="s">
        <v>244</v>
      </c>
      <c r="E2227" s="4" t="s">
        <v>23</v>
      </c>
      <c r="F2227" s="4" t="s">
        <v>46</v>
      </c>
      <c r="G2227" s="4" t="s">
        <v>245</v>
      </c>
      <c r="H2227" s="4" t="s">
        <v>26</v>
      </c>
      <c r="I2227" s="4" t="s">
        <v>33</v>
      </c>
      <c r="J2227" s="4" t="s">
        <v>27</v>
      </c>
      <c r="K2227" s="4" t="s">
        <v>28</v>
      </c>
      <c r="L2227" s="4" t="s">
        <v>28</v>
      </c>
      <c r="M2227" s="4" t="s">
        <v>34</v>
      </c>
      <c r="N2227" s="4" t="s">
        <v>28</v>
      </c>
    </row>
    <row r="2228" spans="1:14" ht="14.4" thickBot="1" x14ac:dyDescent="0.35">
      <c r="A2228" s="4" t="s">
        <v>19</v>
      </c>
      <c r="B2228" s="4" t="s">
        <v>213</v>
      </c>
      <c r="C2228" s="4" t="s">
        <v>243</v>
      </c>
      <c r="D2228" s="4" t="s">
        <v>244</v>
      </c>
      <c r="E2228" s="4" t="s">
        <v>23</v>
      </c>
      <c r="F2228" s="4" t="s">
        <v>1191</v>
      </c>
      <c r="G2228" s="4" t="s">
        <v>1192</v>
      </c>
      <c r="H2228" s="4" t="s">
        <v>69</v>
      </c>
      <c r="I2228" s="4" t="s">
        <v>94</v>
      </c>
      <c r="J2228" s="4" t="s">
        <v>28</v>
      </c>
      <c r="K2228" s="4" t="s">
        <v>27</v>
      </c>
      <c r="L2228" s="4" t="s">
        <v>28</v>
      </c>
      <c r="M2228" s="4" t="s">
        <v>34</v>
      </c>
      <c r="N2228" s="4" t="s">
        <v>28</v>
      </c>
    </row>
    <row r="2229" spans="1:14" ht="14.4" thickBot="1" x14ac:dyDescent="0.35">
      <c r="A2229" s="4" t="s">
        <v>19</v>
      </c>
      <c r="B2229" s="4" t="s">
        <v>213</v>
      </c>
      <c r="C2229" s="4" t="s">
        <v>243</v>
      </c>
      <c r="D2229" s="4" t="s">
        <v>244</v>
      </c>
      <c r="E2229" s="4" t="s">
        <v>23</v>
      </c>
      <c r="F2229" s="4" t="s">
        <v>2021</v>
      </c>
      <c r="G2229" s="4" t="s">
        <v>2022</v>
      </c>
      <c r="H2229" s="4" t="s">
        <v>37</v>
      </c>
      <c r="I2229" s="4" t="s">
        <v>38</v>
      </c>
      <c r="J2229" s="4" t="s">
        <v>28</v>
      </c>
      <c r="K2229" s="4" t="s">
        <v>28</v>
      </c>
      <c r="L2229" s="4" t="s">
        <v>27</v>
      </c>
      <c r="M2229" s="4" t="s">
        <v>29</v>
      </c>
      <c r="N2229" s="4" t="s">
        <v>28</v>
      </c>
    </row>
    <row r="2230" spans="1:14" ht="14.4" thickBot="1" x14ac:dyDescent="0.35">
      <c r="A2230" s="4" t="s">
        <v>19</v>
      </c>
      <c r="B2230" s="4" t="s">
        <v>213</v>
      </c>
      <c r="C2230" s="4" t="s">
        <v>243</v>
      </c>
      <c r="D2230" s="4" t="s">
        <v>244</v>
      </c>
      <c r="E2230" s="4" t="s">
        <v>23</v>
      </c>
      <c r="F2230" s="4" t="s">
        <v>2682</v>
      </c>
      <c r="G2230" s="4" t="s">
        <v>2683</v>
      </c>
      <c r="H2230" s="4" t="s">
        <v>135</v>
      </c>
      <c r="I2230" s="4" t="s">
        <v>38</v>
      </c>
      <c r="J2230" s="4" t="s">
        <v>28</v>
      </c>
      <c r="K2230" s="4" t="s">
        <v>28</v>
      </c>
      <c r="L2230" s="4" t="s">
        <v>27</v>
      </c>
      <c r="M2230" s="4" t="s">
        <v>34</v>
      </c>
      <c r="N2230" s="4" t="s">
        <v>28</v>
      </c>
    </row>
    <row r="2231" spans="1:14" ht="14.4" thickBot="1" x14ac:dyDescent="0.35">
      <c r="A2231" s="4" t="s">
        <v>19</v>
      </c>
      <c r="B2231" s="4" t="s">
        <v>213</v>
      </c>
      <c r="C2231" s="4" t="s">
        <v>243</v>
      </c>
      <c r="D2231" s="4" t="s">
        <v>244</v>
      </c>
      <c r="E2231" s="4" t="s">
        <v>23</v>
      </c>
      <c r="F2231" s="4" t="s">
        <v>4927</v>
      </c>
      <c r="G2231" s="4" t="s">
        <v>4928</v>
      </c>
      <c r="H2231" s="4" t="s">
        <v>190</v>
      </c>
      <c r="I2231" s="4" t="s">
        <v>69</v>
      </c>
      <c r="J2231" s="4" t="s">
        <v>27</v>
      </c>
      <c r="K2231" s="4" t="s">
        <v>28</v>
      </c>
      <c r="L2231" s="4" t="s">
        <v>28</v>
      </c>
      <c r="M2231" s="4" t="s">
        <v>29</v>
      </c>
      <c r="N2231" s="4" t="s">
        <v>28</v>
      </c>
    </row>
    <row r="2232" spans="1:14" ht="14.4" thickBot="1" x14ac:dyDescent="0.35">
      <c r="A2232" s="4" t="s">
        <v>19</v>
      </c>
      <c r="B2232" s="4" t="s">
        <v>213</v>
      </c>
      <c r="C2232" s="4" t="s">
        <v>243</v>
      </c>
      <c r="D2232" s="4" t="s">
        <v>244</v>
      </c>
      <c r="E2232" s="4" t="s">
        <v>23</v>
      </c>
      <c r="F2232" s="4" t="s">
        <v>4929</v>
      </c>
      <c r="G2232" s="4" t="s">
        <v>4930</v>
      </c>
      <c r="H2232" s="4" t="s">
        <v>37</v>
      </c>
      <c r="I2232" s="4" t="s">
        <v>38</v>
      </c>
      <c r="J2232" s="4" t="s">
        <v>28</v>
      </c>
      <c r="K2232" s="4" t="s">
        <v>28</v>
      </c>
      <c r="L2232" s="4" t="s">
        <v>27</v>
      </c>
      <c r="M2232" s="4" t="s">
        <v>34</v>
      </c>
      <c r="N2232" s="4" t="s">
        <v>28</v>
      </c>
    </row>
    <row r="2233" spans="1:14" ht="14.4" thickBot="1" x14ac:dyDescent="0.35">
      <c r="A2233" s="4" t="s">
        <v>19</v>
      </c>
      <c r="B2233" s="4" t="s">
        <v>246</v>
      </c>
      <c r="C2233" s="4" t="s">
        <v>3161</v>
      </c>
      <c r="D2233" s="4" t="s">
        <v>3162</v>
      </c>
      <c r="E2233" s="4" t="s">
        <v>42</v>
      </c>
      <c r="F2233" s="4" t="s">
        <v>3163</v>
      </c>
      <c r="G2233" s="4" t="s">
        <v>3164</v>
      </c>
      <c r="H2233" s="4" t="s">
        <v>37</v>
      </c>
      <c r="I2233" s="4" t="s">
        <v>38</v>
      </c>
      <c r="J2233" s="4" t="s">
        <v>28</v>
      </c>
      <c r="K2233" s="4" t="s">
        <v>28</v>
      </c>
      <c r="L2233" s="4" t="s">
        <v>27</v>
      </c>
      <c r="M2233" s="4" t="s">
        <v>34</v>
      </c>
      <c r="N2233" s="4" t="s">
        <v>28</v>
      </c>
    </row>
    <row r="2234" spans="1:14" ht="14.4" thickBot="1" x14ac:dyDescent="0.35">
      <c r="A2234" s="4" t="s">
        <v>19</v>
      </c>
      <c r="B2234" s="4" t="s">
        <v>246</v>
      </c>
      <c r="C2234" s="4" t="s">
        <v>3161</v>
      </c>
      <c r="D2234" s="4" t="s">
        <v>3162</v>
      </c>
      <c r="E2234" s="4" t="s">
        <v>42</v>
      </c>
      <c r="F2234" s="4" t="s">
        <v>3983</v>
      </c>
      <c r="G2234" s="4" t="s">
        <v>3984</v>
      </c>
      <c r="H2234" s="4" t="s">
        <v>116</v>
      </c>
      <c r="I2234" s="4" t="s">
        <v>33</v>
      </c>
      <c r="J2234" s="4" t="s">
        <v>27</v>
      </c>
      <c r="K2234" s="4" t="s">
        <v>28</v>
      </c>
      <c r="L2234" s="4" t="s">
        <v>28</v>
      </c>
      <c r="M2234" s="4" t="s">
        <v>34</v>
      </c>
      <c r="N2234" s="4" t="s">
        <v>28</v>
      </c>
    </row>
    <row r="2235" spans="1:14" ht="14.4" thickBot="1" x14ac:dyDescent="0.35">
      <c r="A2235" s="4" t="s">
        <v>19</v>
      </c>
      <c r="B2235" s="4" t="s">
        <v>246</v>
      </c>
      <c r="C2235" s="4" t="s">
        <v>3161</v>
      </c>
      <c r="D2235" s="4" t="s">
        <v>3162</v>
      </c>
      <c r="E2235" s="4" t="s">
        <v>42</v>
      </c>
      <c r="F2235" s="4" t="s">
        <v>3985</v>
      </c>
      <c r="G2235" s="4" t="s">
        <v>3986</v>
      </c>
      <c r="H2235" s="4" t="s">
        <v>69</v>
      </c>
      <c r="I2235" s="4" t="s">
        <v>94</v>
      </c>
      <c r="J2235" s="4" t="s">
        <v>28</v>
      </c>
      <c r="K2235" s="4" t="s">
        <v>27</v>
      </c>
      <c r="L2235" s="4" t="s">
        <v>28</v>
      </c>
      <c r="M2235" s="4" t="s">
        <v>34</v>
      </c>
      <c r="N2235" s="4" t="s">
        <v>28</v>
      </c>
    </row>
    <row r="2236" spans="1:14" ht="14.4" thickBot="1" x14ac:dyDescent="0.35">
      <c r="A2236" s="4" t="s">
        <v>19</v>
      </c>
      <c r="B2236" s="4" t="s">
        <v>246</v>
      </c>
      <c r="C2236" s="4" t="s">
        <v>3161</v>
      </c>
      <c r="D2236" s="4" t="s">
        <v>3162</v>
      </c>
      <c r="E2236" s="4" t="s">
        <v>42</v>
      </c>
      <c r="F2236" s="4" t="s">
        <v>4074</v>
      </c>
      <c r="G2236" s="4" t="s">
        <v>4075</v>
      </c>
      <c r="H2236" s="4" t="s">
        <v>26</v>
      </c>
      <c r="I2236" s="4" t="s">
        <v>26</v>
      </c>
      <c r="J2236" s="5"/>
      <c r="K2236" s="5"/>
      <c r="L2236" s="5"/>
      <c r="M2236" s="4" t="s">
        <v>29</v>
      </c>
      <c r="N2236" s="5"/>
    </row>
    <row r="2237" spans="1:14" ht="14.4" thickBot="1" x14ac:dyDescent="0.35">
      <c r="A2237" s="4" t="s">
        <v>19</v>
      </c>
      <c r="B2237" s="4" t="s">
        <v>246</v>
      </c>
      <c r="C2237" s="4" t="s">
        <v>3161</v>
      </c>
      <c r="D2237" s="4" t="s">
        <v>3162</v>
      </c>
      <c r="E2237" s="4" t="s">
        <v>42</v>
      </c>
      <c r="F2237" s="4" t="s">
        <v>5468</v>
      </c>
      <c r="G2237" s="4" t="s">
        <v>5469</v>
      </c>
      <c r="H2237" s="4" t="s">
        <v>26</v>
      </c>
      <c r="I2237" s="4" t="s">
        <v>26</v>
      </c>
      <c r="J2237" s="5"/>
      <c r="K2237" s="5"/>
      <c r="L2237" s="5"/>
      <c r="M2237" s="4" t="s">
        <v>130</v>
      </c>
      <c r="N2237" s="5"/>
    </row>
    <row r="2238" spans="1:14" ht="14.4" thickBot="1" x14ac:dyDescent="0.35">
      <c r="A2238" s="4" t="s">
        <v>19</v>
      </c>
      <c r="B2238" s="4" t="s">
        <v>246</v>
      </c>
      <c r="C2238" s="4" t="s">
        <v>3161</v>
      </c>
      <c r="D2238" s="4" t="s">
        <v>3162</v>
      </c>
      <c r="E2238" s="4" t="s">
        <v>42</v>
      </c>
      <c r="F2238" s="4" t="s">
        <v>6179</v>
      </c>
      <c r="G2238" s="4" t="s">
        <v>6180</v>
      </c>
      <c r="H2238" s="4" t="s">
        <v>135</v>
      </c>
      <c r="I2238" s="4" t="s">
        <v>38</v>
      </c>
      <c r="J2238" s="5"/>
      <c r="K2238" s="5"/>
      <c r="L2238" s="5"/>
      <c r="M2238" s="4" t="s">
        <v>29</v>
      </c>
      <c r="N2238" s="5"/>
    </row>
    <row r="2239" spans="1:14" ht="14.4" thickBot="1" x14ac:dyDescent="0.35">
      <c r="A2239" s="4" t="s">
        <v>19</v>
      </c>
      <c r="B2239" s="4" t="s">
        <v>246</v>
      </c>
      <c r="C2239" s="4" t="s">
        <v>247</v>
      </c>
      <c r="D2239" s="4" t="s">
        <v>248</v>
      </c>
      <c r="E2239" s="4" t="s">
        <v>48</v>
      </c>
      <c r="F2239" s="4" t="s">
        <v>249</v>
      </c>
      <c r="G2239" s="4" t="s">
        <v>250</v>
      </c>
      <c r="H2239" s="4" t="s">
        <v>26</v>
      </c>
      <c r="I2239" s="4" t="s">
        <v>33</v>
      </c>
      <c r="J2239" s="4" t="s">
        <v>27</v>
      </c>
      <c r="K2239" s="4" t="s">
        <v>28</v>
      </c>
      <c r="L2239" s="4" t="s">
        <v>28</v>
      </c>
      <c r="M2239" s="4" t="s">
        <v>34</v>
      </c>
      <c r="N2239" s="4" t="s">
        <v>28</v>
      </c>
    </row>
    <row r="2240" spans="1:14" ht="14.4" thickBot="1" x14ac:dyDescent="0.35">
      <c r="A2240" s="4" t="s">
        <v>19</v>
      </c>
      <c r="B2240" s="4" t="s">
        <v>246</v>
      </c>
      <c r="C2240" s="4" t="s">
        <v>247</v>
      </c>
      <c r="D2240" s="4" t="s">
        <v>248</v>
      </c>
      <c r="E2240" s="4" t="s">
        <v>48</v>
      </c>
      <c r="F2240" s="4" t="s">
        <v>1193</v>
      </c>
      <c r="G2240" s="4" t="s">
        <v>1194</v>
      </c>
      <c r="H2240" s="4" t="s">
        <v>69</v>
      </c>
      <c r="I2240" s="4" t="s">
        <v>38</v>
      </c>
      <c r="J2240" s="4" t="s">
        <v>28</v>
      </c>
      <c r="K2240" s="4" t="s">
        <v>28</v>
      </c>
      <c r="L2240" s="4" t="s">
        <v>27</v>
      </c>
      <c r="M2240" s="4" t="s">
        <v>34</v>
      </c>
      <c r="N2240" s="4" t="s">
        <v>28</v>
      </c>
    </row>
    <row r="2241" spans="1:14" ht="14.4" thickBot="1" x14ac:dyDescent="0.35">
      <c r="A2241" s="4" t="s">
        <v>19</v>
      </c>
      <c r="B2241" s="4" t="s">
        <v>246</v>
      </c>
      <c r="C2241" s="4" t="s">
        <v>4931</v>
      </c>
      <c r="D2241" s="4" t="s">
        <v>4932</v>
      </c>
      <c r="E2241" s="4" t="s">
        <v>48</v>
      </c>
      <c r="F2241" s="4" t="s">
        <v>4933</v>
      </c>
      <c r="G2241" s="4" t="s">
        <v>4934</v>
      </c>
      <c r="H2241" s="4" t="s">
        <v>26</v>
      </c>
      <c r="I2241" s="4" t="s">
        <v>38</v>
      </c>
      <c r="J2241" s="4" t="s">
        <v>28</v>
      </c>
      <c r="K2241" s="4" t="s">
        <v>28</v>
      </c>
      <c r="L2241" s="4" t="s">
        <v>27</v>
      </c>
      <c r="M2241" s="4" t="s">
        <v>34</v>
      </c>
      <c r="N2241" s="4" t="s">
        <v>28</v>
      </c>
    </row>
    <row r="2242" spans="1:14" ht="14.4" thickBot="1" x14ac:dyDescent="0.35">
      <c r="A2242" s="4" t="s">
        <v>19</v>
      </c>
      <c r="B2242" s="4" t="s">
        <v>246</v>
      </c>
      <c r="C2242" s="4" t="s">
        <v>1195</v>
      </c>
      <c r="D2242" s="4" t="s">
        <v>1196</v>
      </c>
      <c r="E2242" s="4" t="s">
        <v>48</v>
      </c>
      <c r="F2242" s="4" t="s">
        <v>1197</v>
      </c>
      <c r="G2242" s="4" t="s">
        <v>1198</v>
      </c>
      <c r="H2242" s="4" t="s">
        <v>26</v>
      </c>
      <c r="I2242" s="4" t="s">
        <v>33</v>
      </c>
      <c r="J2242" s="4" t="s">
        <v>27</v>
      </c>
      <c r="K2242" s="4" t="s">
        <v>28</v>
      </c>
      <c r="L2242" s="4" t="s">
        <v>28</v>
      </c>
      <c r="M2242" s="4" t="s">
        <v>34</v>
      </c>
      <c r="N2242" s="4" t="s">
        <v>28</v>
      </c>
    </row>
    <row r="2243" spans="1:14" ht="14.4" thickBot="1" x14ac:dyDescent="0.35">
      <c r="A2243" s="4" t="s">
        <v>19</v>
      </c>
      <c r="B2243" s="4" t="s">
        <v>246</v>
      </c>
      <c r="C2243" s="4" t="s">
        <v>1195</v>
      </c>
      <c r="D2243" s="4" t="s">
        <v>1196</v>
      </c>
      <c r="E2243" s="4" t="s">
        <v>48</v>
      </c>
      <c r="F2243" s="4" t="s">
        <v>4260</v>
      </c>
      <c r="G2243" s="4" t="s">
        <v>4261</v>
      </c>
      <c r="H2243" s="4" t="s">
        <v>69</v>
      </c>
      <c r="I2243" s="4" t="s">
        <v>38</v>
      </c>
      <c r="J2243" s="4" t="s">
        <v>28</v>
      </c>
      <c r="K2243" s="4" t="s">
        <v>28</v>
      </c>
      <c r="L2243" s="4" t="s">
        <v>27</v>
      </c>
      <c r="M2243" s="4" t="s">
        <v>34</v>
      </c>
      <c r="N2243" s="4" t="s">
        <v>28</v>
      </c>
    </row>
    <row r="2244" spans="1:14" ht="14.4" thickBot="1" x14ac:dyDescent="0.35">
      <c r="A2244" s="4" t="s">
        <v>19</v>
      </c>
      <c r="B2244" s="4" t="s">
        <v>246</v>
      </c>
      <c r="C2244" s="4" t="s">
        <v>2684</v>
      </c>
      <c r="D2244" s="4" t="s">
        <v>2685</v>
      </c>
      <c r="E2244" s="4" t="s">
        <v>48</v>
      </c>
      <c r="F2244" s="4" t="s">
        <v>2686</v>
      </c>
      <c r="G2244" s="4" t="s">
        <v>2687</v>
      </c>
      <c r="H2244" s="4" t="s">
        <v>26</v>
      </c>
      <c r="I2244" s="4" t="s">
        <v>38</v>
      </c>
      <c r="J2244" s="4" t="s">
        <v>28</v>
      </c>
      <c r="K2244" s="4" t="s">
        <v>28</v>
      </c>
      <c r="L2244" s="4" t="s">
        <v>27</v>
      </c>
      <c r="M2244" s="4" t="s">
        <v>34</v>
      </c>
      <c r="N2244" s="4" t="s">
        <v>28</v>
      </c>
    </row>
    <row r="2245" spans="1:14" ht="14.4" thickBot="1" x14ac:dyDescent="0.35">
      <c r="A2245" s="4" t="s">
        <v>19</v>
      </c>
      <c r="B2245" s="4" t="s">
        <v>246</v>
      </c>
      <c r="C2245" s="4" t="s">
        <v>2684</v>
      </c>
      <c r="D2245" s="4" t="s">
        <v>2685</v>
      </c>
      <c r="E2245" s="4" t="s">
        <v>48</v>
      </c>
      <c r="F2245" s="4" t="s">
        <v>5649</v>
      </c>
      <c r="G2245" s="4" t="s">
        <v>5650</v>
      </c>
      <c r="H2245" s="4" t="s">
        <v>135</v>
      </c>
      <c r="I2245" s="4" t="s">
        <v>38</v>
      </c>
      <c r="J2245" s="4" t="s">
        <v>28</v>
      </c>
      <c r="K2245" s="4" t="s">
        <v>28</v>
      </c>
      <c r="L2245" s="4" t="s">
        <v>27</v>
      </c>
      <c r="M2245" s="4" t="s">
        <v>34</v>
      </c>
      <c r="N2245" s="4" t="s">
        <v>28</v>
      </c>
    </row>
    <row r="2246" spans="1:14" ht="14.4" thickBot="1" x14ac:dyDescent="0.35">
      <c r="A2246" s="4" t="s">
        <v>19</v>
      </c>
      <c r="B2246" s="4" t="s">
        <v>246</v>
      </c>
      <c r="C2246" s="4" t="s">
        <v>1710</v>
      </c>
      <c r="D2246" s="4" t="s">
        <v>1711</v>
      </c>
      <c r="E2246" s="4" t="s">
        <v>48</v>
      </c>
      <c r="F2246" s="4" t="s">
        <v>1712</v>
      </c>
      <c r="G2246" s="4" t="s">
        <v>1713</v>
      </c>
      <c r="H2246" s="4" t="s">
        <v>69</v>
      </c>
      <c r="I2246" s="4" t="s">
        <v>38</v>
      </c>
      <c r="J2246" s="4" t="s">
        <v>28</v>
      </c>
      <c r="K2246" s="4" t="s">
        <v>28</v>
      </c>
      <c r="L2246" s="4" t="s">
        <v>27</v>
      </c>
      <c r="M2246" s="4" t="s">
        <v>34</v>
      </c>
      <c r="N2246" s="4" t="s">
        <v>28</v>
      </c>
    </row>
    <row r="2247" spans="1:14" ht="14.4" thickBot="1" x14ac:dyDescent="0.35">
      <c r="A2247" s="4" t="s">
        <v>19</v>
      </c>
      <c r="B2247" s="4" t="s">
        <v>246</v>
      </c>
      <c r="C2247" s="4" t="s">
        <v>1710</v>
      </c>
      <c r="D2247" s="4" t="s">
        <v>1711</v>
      </c>
      <c r="E2247" s="4" t="s">
        <v>48</v>
      </c>
      <c r="F2247" s="4" t="s">
        <v>6071</v>
      </c>
      <c r="G2247" s="4" t="s">
        <v>6072</v>
      </c>
      <c r="H2247" s="4" t="s">
        <v>26</v>
      </c>
      <c r="I2247" s="4" t="s">
        <v>33</v>
      </c>
      <c r="J2247" s="4" t="s">
        <v>27</v>
      </c>
      <c r="K2247" s="4" t="s">
        <v>28</v>
      </c>
      <c r="L2247" s="4" t="s">
        <v>28</v>
      </c>
      <c r="M2247" s="4" t="s">
        <v>34</v>
      </c>
      <c r="N2247" s="4" t="s">
        <v>28</v>
      </c>
    </row>
    <row r="2248" spans="1:14" ht="14.4" thickBot="1" x14ac:dyDescent="0.35">
      <c r="A2248" s="4" t="s">
        <v>19</v>
      </c>
      <c r="B2248" s="4" t="s">
        <v>165</v>
      </c>
      <c r="C2248" s="4" t="s">
        <v>4262</v>
      </c>
      <c r="D2248" s="4" t="s">
        <v>4263</v>
      </c>
      <c r="E2248" s="4" t="s">
        <v>48</v>
      </c>
      <c r="F2248" s="4" t="s">
        <v>4264</v>
      </c>
      <c r="G2248" s="4" t="s">
        <v>4265</v>
      </c>
      <c r="H2248" s="4" t="s">
        <v>26</v>
      </c>
      <c r="I2248" s="4" t="s">
        <v>38</v>
      </c>
      <c r="J2248" s="4" t="s">
        <v>28</v>
      </c>
      <c r="K2248" s="4" t="s">
        <v>28</v>
      </c>
      <c r="L2248" s="4" t="s">
        <v>27</v>
      </c>
      <c r="M2248" s="4" t="s">
        <v>34</v>
      </c>
      <c r="N2248" s="4" t="s">
        <v>28</v>
      </c>
    </row>
    <row r="2249" spans="1:14" ht="14.4" thickBot="1" x14ac:dyDescent="0.35">
      <c r="A2249" s="4" t="s">
        <v>19</v>
      </c>
      <c r="B2249" s="4" t="s">
        <v>165</v>
      </c>
      <c r="C2249" s="4" t="s">
        <v>1117</v>
      </c>
      <c r="D2249" s="4" t="s">
        <v>1118</v>
      </c>
      <c r="E2249" s="4" t="s">
        <v>23</v>
      </c>
      <c r="F2249" s="4" t="s">
        <v>1119</v>
      </c>
      <c r="G2249" s="4" t="s">
        <v>1120</v>
      </c>
      <c r="H2249" s="4" t="s">
        <v>26</v>
      </c>
      <c r="I2249" s="4" t="s">
        <v>26</v>
      </c>
      <c r="J2249" s="4" t="s">
        <v>27</v>
      </c>
      <c r="K2249" s="4" t="s">
        <v>28</v>
      </c>
      <c r="L2249" s="4" t="s">
        <v>28</v>
      </c>
      <c r="M2249" s="4" t="s">
        <v>130</v>
      </c>
      <c r="N2249" s="4" t="s">
        <v>28</v>
      </c>
    </row>
    <row r="2250" spans="1:14" ht="14.4" thickBot="1" x14ac:dyDescent="0.35">
      <c r="A2250" s="4" t="s">
        <v>19</v>
      </c>
      <c r="B2250" s="4" t="s">
        <v>165</v>
      </c>
      <c r="C2250" s="4" t="s">
        <v>1117</v>
      </c>
      <c r="D2250" s="4" t="s">
        <v>1118</v>
      </c>
      <c r="E2250" s="4" t="s">
        <v>23</v>
      </c>
      <c r="F2250" s="4" t="s">
        <v>2601</v>
      </c>
      <c r="G2250" s="4" t="s">
        <v>2602</v>
      </c>
      <c r="H2250" s="4" t="s">
        <v>69</v>
      </c>
      <c r="I2250" s="4" t="s">
        <v>38</v>
      </c>
      <c r="J2250" s="4" t="s">
        <v>28</v>
      </c>
      <c r="K2250" s="4" t="s">
        <v>28</v>
      </c>
      <c r="L2250" s="4" t="s">
        <v>27</v>
      </c>
      <c r="M2250" s="4" t="s">
        <v>34</v>
      </c>
      <c r="N2250" s="4" t="s">
        <v>28</v>
      </c>
    </row>
    <row r="2251" spans="1:14" ht="14.4" thickBot="1" x14ac:dyDescent="0.35">
      <c r="A2251" s="4" t="s">
        <v>19</v>
      </c>
      <c r="B2251" s="4" t="s">
        <v>165</v>
      </c>
      <c r="C2251" s="4" t="s">
        <v>1117</v>
      </c>
      <c r="D2251" s="4" t="s">
        <v>1118</v>
      </c>
      <c r="E2251" s="4" t="s">
        <v>23</v>
      </c>
      <c r="F2251" s="4" t="s">
        <v>2603</v>
      </c>
      <c r="G2251" s="4" t="s">
        <v>2604</v>
      </c>
      <c r="H2251" s="4" t="s">
        <v>135</v>
      </c>
      <c r="I2251" s="4" t="s">
        <v>33</v>
      </c>
      <c r="J2251" s="4" t="s">
        <v>27</v>
      </c>
      <c r="K2251" s="4" t="s">
        <v>28</v>
      </c>
      <c r="L2251" s="4" t="s">
        <v>28</v>
      </c>
      <c r="M2251" s="4" t="s">
        <v>34</v>
      </c>
      <c r="N2251" s="4" t="s">
        <v>28</v>
      </c>
    </row>
    <row r="2252" spans="1:14" ht="14.4" thickBot="1" x14ac:dyDescent="0.35">
      <c r="A2252" s="4" t="s">
        <v>19</v>
      </c>
      <c r="B2252" s="4" t="s">
        <v>165</v>
      </c>
      <c r="C2252" s="4" t="s">
        <v>166</v>
      </c>
      <c r="D2252" s="4" t="s">
        <v>167</v>
      </c>
      <c r="E2252" s="4" t="s">
        <v>48</v>
      </c>
      <c r="F2252" s="4" t="s">
        <v>168</v>
      </c>
      <c r="G2252" s="4" t="s">
        <v>169</v>
      </c>
      <c r="H2252" s="4" t="s">
        <v>26</v>
      </c>
      <c r="I2252" s="4" t="s">
        <v>69</v>
      </c>
      <c r="J2252" s="4" t="s">
        <v>27</v>
      </c>
      <c r="K2252" s="4" t="s">
        <v>28</v>
      </c>
      <c r="L2252" s="4" t="s">
        <v>28</v>
      </c>
      <c r="M2252" s="4" t="s">
        <v>34</v>
      </c>
      <c r="N2252" s="4" t="s">
        <v>28</v>
      </c>
    </row>
    <row r="2253" spans="1:14" ht="14.4" thickBot="1" x14ac:dyDescent="0.35">
      <c r="A2253" s="4" t="s">
        <v>19</v>
      </c>
      <c r="B2253" s="4" t="s">
        <v>165</v>
      </c>
      <c r="C2253" s="4" t="s">
        <v>166</v>
      </c>
      <c r="D2253" s="4" t="s">
        <v>167</v>
      </c>
      <c r="E2253" s="4" t="s">
        <v>48</v>
      </c>
      <c r="F2253" s="4" t="s">
        <v>1121</v>
      </c>
      <c r="G2253" s="4" t="s">
        <v>1122</v>
      </c>
      <c r="H2253" s="4" t="s">
        <v>122</v>
      </c>
      <c r="I2253" s="4" t="s">
        <v>38</v>
      </c>
      <c r="J2253" s="4" t="s">
        <v>28</v>
      </c>
      <c r="K2253" s="4" t="s">
        <v>28</v>
      </c>
      <c r="L2253" s="4" t="s">
        <v>27</v>
      </c>
      <c r="M2253" s="4" t="s">
        <v>34</v>
      </c>
      <c r="N2253" s="4" t="s">
        <v>28</v>
      </c>
    </row>
    <row r="2254" spans="1:14" ht="14.4" thickBot="1" x14ac:dyDescent="0.35">
      <c r="A2254" s="4" t="s">
        <v>19</v>
      </c>
      <c r="B2254" s="4" t="s">
        <v>170</v>
      </c>
      <c r="C2254" s="4" t="s">
        <v>97</v>
      </c>
      <c r="D2254" s="4" t="s">
        <v>171</v>
      </c>
      <c r="E2254" s="4" t="s">
        <v>42</v>
      </c>
      <c r="F2254" s="4" t="s">
        <v>172</v>
      </c>
      <c r="G2254" s="4" t="s">
        <v>173</v>
      </c>
      <c r="H2254" s="4" t="s">
        <v>26</v>
      </c>
      <c r="I2254" s="4" t="s">
        <v>26</v>
      </c>
      <c r="J2254" s="5"/>
      <c r="K2254" s="5"/>
      <c r="L2254" s="5"/>
      <c r="M2254" s="4" t="s">
        <v>130</v>
      </c>
      <c r="N2254" s="5"/>
    </row>
    <row r="2255" spans="1:14" ht="14.4" thickBot="1" x14ac:dyDescent="0.35">
      <c r="A2255" s="4" t="s">
        <v>19</v>
      </c>
      <c r="B2255" s="4" t="s">
        <v>170</v>
      </c>
      <c r="C2255" s="4" t="s">
        <v>97</v>
      </c>
      <c r="D2255" s="4" t="s">
        <v>171</v>
      </c>
      <c r="E2255" s="4" t="s">
        <v>42</v>
      </c>
      <c r="F2255" s="4" t="s">
        <v>174</v>
      </c>
      <c r="G2255" s="4" t="s">
        <v>175</v>
      </c>
      <c r="H2255" s="4" t="s">
        <v>26</v>
      </c>
      <c r="I2255" s="4" t="s">
        <v>26</v>
      </c>
      <c r="J2255" s="4" t="s">
        <v>27</v>
      </c>
      <c r="K2255" s="4" t="s">
        <v>28</v>
      </c>
      <c r="L2255" s="4" t="s">
        <v>28</v>
      </c>
      <c r="M2255" s="4" t="s">
        <v>34</v>
      </c>
      <c r="N2255" s="4" t="s">
        <v>28</v>
      </c>
    </row>
    <row r="2256" spans="1:14" ht="14.4" thickBot="1" x14ac:dyDescent="0.35">
      <c r="A2256" s="4" t="s">
        <v>19</v>
      </c>
      <c r="B2256" s="4" t="s">
        <v>170</v>
      </c>
      <c r="C2256" s="4" t="s">
        <v>97</v>
      </c>
      <c r="D2256" s="4" t="s">
        <v>171</v>
      </c>
      <c r="E2256" s="4" t="s">
        <v>42</v>
      </c>
      <c r="F2256" s="4" t="s">
        <v>1123</v>
      </c>
      <c r="G2256" s="4" t="s">
        <v>1124</v>
      </c>
      <c r="H2256" s="4" t="s">
        <v>26</v>
      </c>
      <c r="I2256" s="4" t="s">
        <v>69</v>
      </c>
      <c r="J2256" s="4" t="s">
        <v>27</v>
      </c>
      <c r="K2256" s="4" t="s">
        <v>28</v>
      </c>
      <c r="L2256" s="4" t="s">
        <v>28</v>
      </c>
      <c r="M2256" s="4" t="s">
        <v>34</v>
      </c>
      <c r="N2256" s="4" t="s">
        <v>28</v>
      </c>
    </row>
    <row r="2257" spans="1:14" ht="14.4" thickBot="1" x14ac:dyDescent="0.35">
      <c r="A2257" s="4" t="s">
        <v>19</v>
      </c>
      <c r="B2257" s="4" t="s">
        <v>170</v>
      </c>
      <c r="C2257" s="4" t="s">
        <v>97</v>
      </c>
      <c r="D2257" s="4" t="s">
        <v>171</v>
      </c>
      <c r="E2257" s="4" t="s">
        <v>42</v>
      </c>
      <c r="F2257" s="4" t="s">
        <v>1125</v>
      </c>
      <c r="G2257" s="4" t="s">
        <v>1126</v>
      </c>
      <c r="H2257" s="4" t="s">
        <v>122</v>
      </c>
      <c r="I2257" s="4" t="s">
        <v>38</v>
      </c>
      <c r="J2257" s="4" t="s">
        <v>28</v>
      </c>
      <c r="K2257" s="4" t="s">
        <v>28</v>
      </c>
      <c r="L2257" s="4" t="s">
        <v>27</v>
      </c>
      <c r="M2257" s="4" t="s">
        <v>34</v>
      </c>
      <c r="N2257" s="4" t="s">
        <v>28</v>
      </c>
    </row>
    <row r="2258" spans="1:14" ht="14.4" thickBot="1" x14ac:dyDescent="0.35">
      <c r="A2258" s="4" t="s">
        <v>19</v>
      </c>
      <c r="B2258" s="4" t="s">
        <v>170</v>
      </c>
      <c r="C2258" s="4" t="s">
        <v>97</v>
      </c>
      <c r="D2258" s="4" t="s">
        <v>171</v>
      </c>
      <c r="E2258" s="4" t="s">
        <v>42</v>
      </c>
      <c r="F2258" s="4" t="s">
        <v>1962</v>
      </c>
      <c r="G2258" s="4" t="s">
        <v>1963</v>
      </c>
      <c r="H2258" s="4" t="s">
        <v>37</v>
      </c>
      <c r="I2258" s="4" t="s">
        <v>38</v>
      </c>
      <c r="J2258" s="4" t="s">
        <v>28</v>
      </c>
      <c r="K2258" s="4" t="s">
        <v>28</v>
      </c>
      <c r="L2258" s="4" t="s">
        <v>27</v>
      </c>
      <c r="M2258" s="4" t="s">
        <v>34</v>
      </c>
      <c r="N2258" s="4" t="s">
        <v>28</v>
      </c>
    </row>
    <row r="2259" spans="1:14" ht="14.4" thickBot="1" x14ac:dyDescent="0.35">
      <c r="A2259" s="4" t="s">
        <v>19</v>
      </c>
      <c r="B2259" s="4" t="s">
        <v>170</v>
      </c>
      <c r="C2259" s="4" t="s">
        <v>97</v>
      </c>
      <c r="D2259" s="4" t="s">
        <v>171</v>
      </c>
      <c r="E2259" s="4" t="s">
        <v>42</v>
      </c>
      <c r="F2259" s="4" t="s">
        <v>1964</v>
      </c>
      <c r="G2259" s="4" t="s">
        <v>1965</v>
      </c>
      <c r="H2259" s="4" t="s">
        <v>69</v>
      </c>
      <c r="I2259" s="4" t="s">
        <v>94</v>
      </c>
      <c r="J2259" s="4" t="s">
        <v>28</v>
      </c>
      <c r="K2259" s="4" t="s">
        <v>27</v>
      </c>
      <c r="L2259" s="4" t="s">
        <v>28</v>
      </c>
      <c r="M2259" s="4" t="s">
        <v>34</v>
      </c>
      <c r="N2259" s="4" t="s">
        <v>28</v>
      </c>
    </row>
    <row r="2260" spans="1:14" ht="14.4" thickBot="1" x14ac:dyDescent="0.35">
      <c r="A2260" s="4" t="s">
        <v>19</v>
      </c>
      <c r="B2260" s="4" t="s">
        <v>170</v>
      </c>
      <c r="C2260" s="4" t="s">
        <v>97</v>
      </c>
      <c r="D2260" s="4" t="s">
        <v>171</v>
      </c>
      <c r="E2260" s="4" t="s">
        <v>42</v>
      </c>
      <c r="F2260" s="4" t="s">
        <v>3406</v>
      </c>
      <c r="G2260" s="4" t="s">
        <v>3407</v>
      </c>
      <c r="H2260" s="4" t="s">
        <v>26</v>
      </c>
      <c r="I2260" s="4" t="s">
        <v>32</v>
      </c>
      <c r="J2260" s="4" t="s">
        <v>27</v>
      </c>
      <c r="K2260" s="4" t="s">
        <v>28</v>
      </c>
      <c r="L2260" s="4" t="s">
        <v>28</v>
      </c>
      <c r="M2260" s="4" t="s">
        <v>29</v>
      </c>
      <c r="N2260" s="4" t="s">
        <v>28</v>
      </c>
    </row>
    <row r="2261" spans="1:14" ht="14.4" thickBot="1" x14ac:dyDescent="0.35">
      <c r="A2261" s="4" t="s">
        <v>19</v>
      </c>
      <c r="B2261" s="4" t="s">
        <v>170</v>
      </c>
      <c r="C2261" s="4" t="s">
        <v>97</v>
      </c>
      <c r="D2261" s="4" t="s">
        <v>171</v>
      </c>
      <c r="E2261" s="4" t="s">
        <v>42</v>
      </c>
      <c r="F2261" s="4" t="s">
        <v>3408</v>
      </c>
      <c r="G2261" s="4" t="s">
        <v>3409</v>
      </c>
      <c r="H2261" s="4" t="s">
        <v>135</v>
      </c>
      <c r="I2261" s="4" t="s">
        <v>61</v>
      </c>
      <c r="J2261" s="4" t="s">
        <v>27</v>
      </c>
      <c r="K2261" s="4" t="s">
        <v>28</v>
      </c>
      <c r="L2261" s="4" t="s">
        <v>28</v>
      </c>
      <c r="M2261" s="4" t="s">
        <v>34</v>
      </c>
      <c r="N2261" s="4" t="s">
        <v>28</v>
      </c>
    </row>
    <row r="2262" spans="1:14" ht="14.4" thickBot="1" x14ac:dyDescent="0.35">
      <c r="A2262" s="4" t="s">
        <v>19</v>
      </c>
      <c r="B2262" s="4" t="s">
        <v>170</v>
      </c>
      <c r="C2262" s="4" t="s">
        <v>97</v>
      </c>
      <c r="D2262" s="4" t="s">
        <v>171</v>
      </c>
      <c r="E2262" s="4" t="s">
        <v>42</v>
      </c>
      <c r="F2262" s="4" t="s">
        <v>3410</v>
      </c>
      <c r="G2262" s="4" t="s">
        <v>321</v>
      </c>
      <c r="H2262" s="4" t="s">
        <v>32</v>
      </c>
      <c r="I2262" s="4" t="s">
        <v>33</v>
      </c>
      <c r="J2262" s="4" t="s">
        <v>27</v>
      </c>
      <c r="K2262" s="4" t="s">
        <v>28</v>
      </c>
      <c r="L2262" s="4" t="s">
        <v>28</v>
      </c>
      <c r="M2262" s="4" t="s">
        <v>34</v>
      </c>
      <c r="N2262" s="4" t="s">
        <v>28</v>
      </c>
    </row>
    <row r="2263" spans="1:14" ht="14.4" thickBot="1" x14ac:dyDescent="0.35">
      <c r="A2263" s="4" t="s">
        <v>19</v>
      </c>
      <c r="B2263" s="4" t="s">
        <v>170</v>
      </c>
      <c r="C2263" s="4" t="s">
        <v>97</v>
      </c>
      <c r="D2263" s="4" t="s">
        <v>171</v>
      </c>
      <c r="E2263" s="4" t="s">
        <v>42</v>
      </c>
      <c r="F2263" s="4" t="s">
        <v>4199</v>
      </c>
      <c r="G2263" s="4" t="s">
        <v>4200</v>
      </c>
      <c r="H2263" s="4" t="s">
        <v>26</v>
      </c>
      <c r="I2263" s="4" t="s">
        <v>26</v>
      </c>
      <c r="J2263" s="4" t="s">
        <v>27</v>
      </c>
      <c r="K2263" s="4" t="s">
        <v>28</v>
      </c>
      <c r="L2263" s="4" t="s">
        <v>28</v>
      </c>
      <c r="M2263" s="4" t="s">
        <v>29</v>
      </c>
      <c r="N2263" s="4" t="s">
        <v>28</v>
      </c>
    </row>
    <row r="2264" spans="1:14" ht="14.4" thickBot="1" x14ac:dyDescent="0.35">
      <c r="A2264" s="4" t="s">
        <v>19</v>
      </c>
      <c r="B2264" s="4" t="s">
        <v>170</v>
      </c>
      <c r="C2264" s="4" t="s">
        <v>1127</v>
      </c>
      <c r="D2264" s="4" t="s">
        <v>1128</v>
      </c>
      <c r="E2264" s="4" t="s">
        <v>48</v>
      </c>
      <c r="F2264" s="4" t="s">
        <v>1129</v>
      </c>
      <c r="G2264" s="4" t="s">
        <v>1130</v>
      </c>
      <c r="H2264" s="4" t="s">
        <v>26</v>
      </c>
      <c r="I2264" s="4" t="s">
        <v>69</v>
      </c>
      <c r="J2264" s="4" t="s">
        <v>27</v>
      </c>
      <c r="K2264" s="4" t="s">
        <v>28</v>
      </c>
      <c r="L2264" s="4" t="s">
        <v>28</v>
      </c>
      <c r="M2264" s="4" t="s">
        <v>34</v>
      </c>
      <c r="N2264" s="4" t="s">
        <v>28</v>
      </c>
    </row>
    <row r="2265" spans="1:14" ht="14.4" thickBot="1" x14ac:dyDescent="0.35">
      <c r="A2265" s="4" t="s">
        <v>19</v>
      </c>
      <c r="B2265" s="4" t="s">
        <v>170</v>
      </c>
      <c r="C2265" s="4" t="s">
        <v>1127</v>
      </c>
      <c r="D2265" s="4" t="s">
        <v>1128</v>
      </c>
      <c r="E2265" s="4" t="s">
        <v>48</v>
      </c>
      <c r="F2265" s="4" t="s">
        <v>3411</v>
      </c>
      <c r="G2265" s="4" t="s">
        <v>3412</v>
      </c>
      <c r="H2265" s="4" t="s">
        <v>122</v>
      </c>
      <c r="I2265" s="4" t="s">
        <v>38</v>
      </c>
      <c r="J2265" s="4" t="s">
        <v>28</v>
      </c>
      <c r="K2265" s="4" t="s">
        <v>28</v>
      </c>
      <c r="L2265" s="4" t="s">
        <v>27</v>
      </c>
      <c r="M2265" s="4" t="s">
        <v>34</v>
      </c>
      <c r="N2265" s="4" t="s">
        <v>28</v>
      </c>
    </row>
    <row r="2266" spans="1:14" ht="14.4" thickBot="1" x14ac:dyDescent="0.35">
      <c r="A2266" s="4" t="s">
        <v>19</v>
      </c>
      <c r="B2266" s="4" t="s">
        <v>170</v>
      </c>
      <c r="C2266" s="4" t="s">
        <v>1966</v>
      </c>
      <c r="D2266" s="4" t="s">
        <v>1967</v>
      </c>
      <c r="E2266" s="4" t="s">
        <v>48</v>
      </c>
      <c r="F2266" s="4" t="s">
        <v>1968</v>
      </c>
      <c r="G2266" s="4" t="s">
        <v>1969</v>
      </c>
      <c r="H2266" s="4" t="s">
        <v>122</v>
      </c>
      <c r="I2266" s="4" t="s">
        <v>38</v>
      </c>
      <c r="J2266" s="4" t="s">
        <v>28</v>
      </c>
      <c r="K2266" s="4" t="s">
        <v>28</v>
      </c>
      <c r="L2266" s="4" t="s">
        <v>27</v>
      </c>
      <c r="M2266" s="4" t="s">
        <v>34</v>
      </c>
      <c r="N2266" s="4" t="s">
        <v>28</v>
      </c>
    </row>
    <row r="2267" spans="1:14" ht="14.4" thickBot="1" x14ac:dyDescent="0.35">
      <c r="A2267" s="4" t="s">
        <v>19</v>
      </c>
      <c r="B2267" s="4" t="s">
        <v>170</v>
      </c>
      <c r="C2267" s="4" t="s">
        <v>1966</v>
      </c>
      <c r="D2267" s="4" t="s">
        <v>1967</v>
      </c>
      <c r="E2267" s="4" t="s">
        <v>48</v>
      </c>
      <c r="F2267" s="4" t="s">
        <v>4201</v>
      </c>
      <c r="G2267" s="4" t="s">
        <v>4202</v>
      </c>
      <c r="H2267" s="4" t="s">
        <v>26</v>
      </c>
      <c r="I2267" s="4" t="s">
        <v>26</v>
      </c>
      <c r="J2267" s="4" t="s">
        <v>27</v>
      </c>
      <c r="K2267" s="4" t="s">
        <v>28</v>
      </c>
      <c r="L2267" s="4" t="s">
        <v>28</v>
      </c>
      <c r="M2267" s="4" t="s">
        <v>29</v>
      </c>
      <c r="N2267" s="4" t="s">
        <v>28</v>
      </c>
    </row>
    <row r="2268" spans="1:14" ht="14.4" thickBot="1" x14ac:dyDescent="0.35">
      <c r="A2268" s="4" t="s">
        <v>19</v>
      </c>
      <c r="B2268" s="4" t="s">
        <v>170</v>
      </c>
      <c r="C2268" s="4" t="s">
        <v>1966</v>
      </c>
      <c r="D2268" s="4" t="s">
        <v>1967</v>
      </c>
      <c r="E2268" s="4" t="s">
        <v>48</v>
      </c>
      <c r="F2268" s="4" t="s">
        <v>5587</v>
      </c>
      <c r="G2268" s="4" t="s">
        <v>5588</v>
      </c>
      <c r="H2268" s="4" t="s">
        <v>135</v>
      </c>
      <c r="I2268" s="4" t="s">
        <v>69</v>
      </c>
      <c r="J2268" s="4" t="s">
        <v>27</v>
      </c>
      <c r="K2268" s="4" t="s">
        <v>28</v>
      </c>
      <c r="L2268" s="4" t="s">
        <v>28</v>
      </c>
      <c r="M2268" s="4" t="s">
        <v>34</v>
      </c>
      <c r="N2268" s="4" t="s">
        <v>28</v>
      </c>
    </row>
    <row r="2269" spans="1:14" ht="14.4" thickBot="1" x14ac:dyDescent="0.35">
      <c r="A2269" s="4" t="s">
        <v>19</v>
      </c>
      <c r="B2269" s="4" t="s">
        <v>170</v>
      </c>
      <c r="C2269" s="4" t="s">
        <v>1578</v>
      </c>
      <c r="D2269" s="4" t="s">
        <v>2605</v>
      </c>
      <c r="E2269" s="4" t="s">
        <v>48</v>
      </c>
      <c r="F2269" s="4" t="s">
        <v>2606</v>
      </c>
      <c r="G2269" s="4" t="s">
        <v>2607</v>
      </c>
      <c r="H2269" s="4" t="s">
        <v>122</v>
      </c>
      <c r="I2269" s="4" t="s">
        <v>38</v>
      </c>
      <c r="J2269" s="4" t="s">
        <v>28</v>
      </c>
      <c r="K2269" s="4" t="s">
        <v>28</v>
      </c>
      <c r="L2269" s="4" t="s">
        <v>27</v>
      </c>
      <c r="M2269" s="4" t="s">
        <v>34</v>
      </c>
      <c r="N2269" s="4" t="s">
        <v>28</v>
      </c>
    </row>
    <row r="2270" spans="1:14" ht="14.4" thickBot="1" x14ac:dyDescent="0.35">
      <c r="A2270" s="4" t="s">
        <v>19</v>
      </c>
      <c r="B2270" s="4" t="s">
        <v>170</v>
      </c>
      <c r="C2270" s="4" t="s">
        <v>1578</v>
      </c>
      <c r="D2270" s="4" t="s">
        <v>2605</v>
      </c>
      <c r="E2270" s="4" t="s">
        <v>48</v>
      </c>
      <c r="F2270" s="4" t="s">
        <v>5589</v>
      </c>
      <c r="G2270" s="4" t="s">
        <v>5590</v>
      </c>
      <c r="H2270" s="4" t="s">
        <v>26</v>
      </c>
      <c r="I2270" s="4" t="s">
        <v>69</v>
      </c>
      <c r="J2270" s="4" t="s">
        <v>27</v>
      </c>
      <c r="K2270" s="4" t="s">
        <v>28</v>
      </c>
      <c r="L2270" s="4" t="s">
        <v>28</v>
      </c>
      <c r="M2270" s="4" t="s">
        <v>34</v>
      </c>
      <c r="N2270" s="4" t="s">
        <v>28</v>
      </c>
    </row>
    <row r="2271" spans="1:14" ht="14.4" thickBot="1" x14ac:dyDescent="0.35">
      <c r="A2271" s="4" t="s">
        <v>19</v>
      </c>
      <c r="B2271" s="4" t="s">
        <v>176</v>
      </c>
      <c r="C2271" s="4" t="s">
        <v>1822</v>
      </c>
      <c r="D2271" s="4" t="s">
        <v>2409</v>
      </c>
      <c r="E2271" s="4" t="s">
        <v>48</v>
      </c>
      <c r="F2271" s="4" t="s">
        <v>2410</v>
      </c>
      <c r="G2271" s="4" t="s">
        <v>2411</v>
      </c>
      <c r="H2271" s="4" t="s">
        <v>26</v>
      </c>
      <c r="I2271" s="4" t="s">
        <v>38</v>
      </c>
      <c r="J2271" s="4" t="s">
        <v>28</v>
      </c>
      <c r="K2271" s="4" t="s">
        <v>28</v>
      </c>
      <c r="L2271" s="4" t="s">
        <v>27</v>
      </c>
      <c r="M2271" s="4" t="s">
        <v>34</v>
      </c>
      <c r="N2271" s="4" t="s">
        <v>28</v>
      </c>
    </row>
    <row r="2272" spans="1:14" ht="14.4" thickBot="1" x14ac:dyDescent="0.35">
      <c r="A2272" s="4" t="s">
        <v>19</v>
      </c>
      <c r="B2272" s="4" t="s">
        <v>176</v>
      </c>
      <c r="C2272" s="4" t="s">
        <v>1131</v>
      </c>
      <c r="D2272" s="4" t="s">
        <v>1132</v>
      </c>
      <c r="E2272" s="4" t="s">
        <v>48</v>
      </c>
      <c r="F2272" s="4" t="s">
        <v>1133</v>
      </c>
      <c r="G2272" s="4" t="s">
        <v>1134</v>
      </c>
      <c r="H2272" s="4" t="s">
        <v>37</v>
      </c>
      <c r="I2272" s="4" t="s">
        <v>38</v>
      </c>
      <c r="J2272" s="4" t="s">
        <v>28</v>
      </c>
      <c r="K2272" s="4" t="s">
        <v>28</v>
      </c>
      <c r="L2272" s="4" t="s">
        <v>27</v>
      </c>
      <c r="M2272" s="4" t="s">
        <v>34</v>
      </c>
      <c r="N2272" s="4" t="s">
        <v>28</v>
      </c>
    </row>
    <row r="2273" spans="1:14" ht="14.4" thickBot="1" x14ac:dyDescent="0.35">
      <c r="A2273" s="4" t="s">
        <v>19</v>
      </c>
      <c r="B2273" s="4" t="s">
        <v>176</v>
      </c>
      <c r="C2273" s="4" t="s">
        <v>1131</v>
      </c>
      <c r="D2273" s="4" t="s">
        <v>1132</v>
      </c>
      <c r="E2273" s="4" t="s">
        <v>48</v>
      </c>
      <c r="F2273" s="4" t="s">
        <v>1135</v>
      </c>
      <c r="G2273" s="4" t="s">
        <v>1136</v>
      </c>
      <c r="H2273" s="4" t="s">
        <v>122</v>
      </c>
      <c r="I2273" s="4" t="s">
        <v>94</v>
      </c>
      <c r="J2273" s="4" t="s">
        <v>28</v>
      </c>
      <c r="K2273" s="4" t="s">
        <v>27</v>
      </c>
      <c r="L2273" s="4" t="s">
        <v>28</v>
      </c>
      <c r="M2273" s="4" t="s">
        <v>34</v>
      </c>
      <c r="N2273" s="4" t="s">
        <v>28</v>
      </c>
    </row>
    <row r="2274" spans="1:14" ht="14.4" thickBot="1" x14ac:dyDescent="0.35">
      <c r="A2274" s="4" t="s">
        <v>19</v>
      </c>
      <c r="B2274" s="4" t="s">
        <v>176</v>
      </c>
      <c r="C2274" s="4" t="s">
        <v>1131</v>
      </c>
      <c r="D2274" s="4" t="s">
        <v>1132</v>
      </c>
      <c r="E2274" s="4" t="s">
        <v>48</v>
      </c>
      <c r="F2274" s="4" t="s">
        <v>2608</v>
      </c>
      <c r="G2274" s="4" t="s">
        <v>2609</v>
      </c>
      <c r="H2274" s="4" t="s">
        <v>26</v>
      </c>
      <c r="I2274" s="4" t="s">
        <v>69</v>
      </c>
      <c r="J2274" s="4" t="s">
        <v>27</v>
      </c>
      <c r="K2274" s="4" t="s">
        <v>28</v>
      </c>
      <c r="L2274" s="4" t="s">
        <v>28</v>
      </c>
      <c r="M2274" s="4" t="s">
        <v>34</v>
      </c>
      <c r="N2274" s="4" t="s">
        <v>28</v>
      </c>
    </row>
    <row r="2275" spans="1:14" ht="14.4" thickBot="1" x14ac:dyDescent="0.35">
      <c r="A2275" s="4" t="s">
        <v>19</v>
      </c>
      <c r="B2275" s="4" t="s">
        <v>176</v>
      </c>
      <c r="C2275" s="4" t="s">
        <v>1131</v>
      </c>
      <c r="D2275" s="4" t="s">
        <v>1132</v>
      </c>
      <c r="E2275" s="4" t="s">
        <v>48</v>
      </c>
      <c r="F2275" s="4" t="s">
        <v>2610</v>
      </c>
      <c r="G2275" s="4" t="s">
        <v>2611</v>
      </c>
      <c r="H2275" s="4" t="s">
        <v>37</v>
      </c>
      <c r="I2275" s="4" t="s">
        <v>38</v>
      </c>
      <c r="J2275" s="4" t="s">
        <v>28</v>
      </c>
      <c r="K2275" s="4" t="s">
        <v>28</v>
      </c>
      <c r="L2275" s="4" t="s">
        <v>27</v>
      </c>
      <c r="M2275" s="4" t="s">
        <v>34</v>
      </c>
      <c r="N2275" s="4" t="s">
        <v>28</v>
      </c>
    </row>
    <row r="2276" spans="1:14" ht="14.4" thickBot="1" x14ac:dyDescent="0.35">
      <c r="A2276" s="4" t="s">
        <v>19</v>
      </c>
      <c r="B2276" s="4" t="s">
        <v>176</v>
      </c>
      <c r="C2276" s="4" t="s">
        <v>177</v>
      </c>
      <c r="D2276" s="4" t="s">
        <v>178</v>
      </c>
      <c r="E2276" s="4" t="s">
        <v>87</v>
      </c>
      <c r="F2276" s="4" t="s">
        <v>179</v>
      </c>
      <c r="G2276" s="4" t="s">
        <v>180</v>
      </c>
      <c r="H2276" s="4" t="s">
        <v>33</v>
      </c>
      <c r="I2276" s="4" t="s">
        <v>38</v>
      </c>
      <c r="J2276" s="4" t="s">
        <v>28</v>
      </c>
      <c r="K2276" s="4" t="s">
        <v>28</v>
      </c>
      <c r="L2276" s="4" t="s">
        <v>27</v>
      </c>
      <c r="M2276" s="4" t="s">
        <v>181</v>
      </c>
      <c r="N2276" s="4" t="s">
        <v>28</v>
      </c>
    </row>
    <row r="2277" spans="1:14" ht="14.4" thickBot="1" x14ac:dyDescent="0.35">
      <c r="A2277" s="4" t="s">
        <v>19</v>
      </c>
      <c r="B2277" s="4" t="s">
        <v>176</v>
      </c>
      <c r="C2277" s="4" t="s">
        <v>177</v>
      </c>
      <c r="D2277" s="4" t="s">
        <v>178</v>
      </c>
      <c r="E2277" s="4" t="s">
        <v>87</v>
      </c>
      <c r="F2277" s="4" t="s">
        <v>182</v>
      </c>
      <c r="G2277" s="4" t="s">
        <v>183</v>
      </c>
      <c r="H2277" s="4" t="s">
        <v>26</v>
      </c>
      <c r="I2277" s="4" t="s">
        <v>26</v>
      </c>
      <c r="J2277" s="4" t="s">
        <v>27</v>
      </c>
      <c r="K2277" s="4" t="s">
        <v>28</v>
      </c>
      <c r="L2277" s="4" t="s">
        <v>28</v>
      </c>
      <c r="M2277" s="4" t="s">
        <v>130</v>
      </c>
      <c r="N2277" s="4" t="s">
        <v>28</v>
      </c>
    </row>
    <row r="2278" spans="1:14" ht="14.4" thickBot="1" x14ac:dyDescent="0.35">
      <c r="A2278" s="4" t="s">
        <v>19</v>
      </c>
      <c r="B2278" s="4" t="s">
        <v>176</v>
      </c>
      <c r="C2278" s="4" t="s">
        <v>177</v>
      </c>
      <c r="D2278" s="4" t="s">
        <v>178</v>
      </c>
      <c r="E2278" s="4" t="s">
        <v>87</v>
      </c>
      <c r="F2278" s="4" t="s">
        <v>184</v>
      </c>
      <c r="G2278" s="4" t="s">
        <v>185</v>
      </c>
      <c r="H2278" s="4" t="s">
        <v>26</v>
      </c>
      <c r="I2278" s="4" t="s">
        <v>26</v>
      </c>
      <c r="J2278" s="4" t="s">
        <v>27</v>
      </c>
      <c r="K2278" s="4" t="s">
        <v>28</v>
      </c>
      <c r="L2278" s="4" t="s">
        <v>28</v>
      </c>
      <c r="M2278" s="4" t="s">
        <v>130</v>
      </c>
      <c r="N2278" s="4" t="s">
        <v>28</v>
      </c>
    </row>
    <row r="2279" spans="1:14" ht="14.4" thickBot="1" x14ac:dyDescent="0.35">
      <c r="A2279" s="4" t="s">
        <v>19</v>
      </c>
      <c r="B2279" s="4" t="s">
        <v>176</v>
      </c>
      <c r="C2279" s="4" t="s">
        <v>177</v>
      </c>
      <c r="D2279" s="4" t="s">
        <v>178</v>
      </c>
      <c r="E2279" s="4" t="s">
        <v>87</v>
      </c>
      <c r="F2279" s="4" t="s">
        <v>186</v>
      </c>
      <c r="G2279" s="4" t="s">
        <v>187</v>
      </c>
      <c r="H2279" s="4" t="s">
        <v>26</v>
      </c>
      <c r="I2279" s="4" t="s">
        <v>26</v>
      </c>
      <c r="J2279" s="4" t="s">
        <v>27</v>
      </c>
      <c r="K2279" s="4" t="s">
        <v>28</v>
      </c>
      <c r="L2279" s="4" t="s">
        <v>28</v>
      </c>
      <c r="M2279" s="4" t="s">
        <v>130</v>
      </c>
      <c r="N2279" s="4" t="s">
        <v>28</v>
      </c>
    </row>
    <row r="2280" spans="1:14" ht="14.4" thickBot="1" x14ac:dyDescent="0.35">
      <c r="A2280" s="4" t="s">
        <v>19</v>
      </c>
      <c r="B2280" s="4" t="s">
        <v>176</v>
      </c>
      <c r="C2280" s="4" t="s">
        <v>177</v>
      </c>
      <c r="D2280" s="4" t="s">
        <v>178</v>
      </c>
      <c r="E2280" s="4" t="s">
        <v>87</v>
      </c>
      <c r="F2280" s="4" t="s">
        <v>188</v>
      </c>
      <c r="G2280" s="4" t="s">
        <v>189</v>
      </c>
      <c r="H2280" s="4" t="s">
        <v>190</v>
      </c>
      <c r="I2280" s="4" t="s">
        <v>26</v>
      </c>
      <c r="J2280" s="5"/>
      <c r="K2280" s="5"/>
      <c r="L2280" s="5"/>
      <c r="M2280" s="4" t="s">
        <v>29</v>
      </c>
      <c r="N2280" s="5"/>
    </row>
    <row r="2281" spans="1:14" ht="14.4" thickBot="1" x14ac:dyDescent="0.35">
      <c r="A2281" s="4" t="s">
        <v>19</v>
      </c>
      <c r="B2281" s="4" t="s">
        <v>176</v>
      </c>
      <c r="C2281" s="4" t="s">
        <v>177</v>
      </c>
      <c r="D2281" s="4" t="s">
        <v>178</v>
      </c>
      <c r="E2281" s="4" t="s">
        <v>87</v>
      </c>
      <c r="F2281" s="4" t="s">
        <v>191</v>
      </c>
      <c r="G2281" s="4" t="s">
        <v>192</v>
      </c>
      <c r="H2281" s="4" t="s">
        <v>190</v>
      </c>
      <c r="I2281" s="4" t="s">
        <v>26</v>
      </c>
      <c r="J2281" s="5"/>
      <c r="K2281" s="5"/>
      <c r="L2281" s="5"/>
      <c r="M2281" s="4" t="s">
        <v>29</v>
      </c>
      <c r="N2281" s="5"/>
    </row>
    <row r="2282" spans="1:14" ht="14.4" thickBot="1" x14ac:dyDescent="0.35">
      <c r="A2282" s="4" t="s">
        <v>19</v>
      </c>
      <c r="B2282" s="4" t="s">
        <v>176</v>
      </c>
      <c r="C2282" s="4" t="s">
        <v>177</v>
      </c>
      <c r="D2282" s="4" t="s">
        <v>178</v>
      </c>
      <c r="E2282" s="4" t="s">
        <v>87</v>
      </c>
      <c r="F2282" s="4" t="s">
        <v>193</v>
      </c>
      <c r="G2282" s="4" t="s">
        <v>194</v>
      </c>
      <c r="H2282" s="4" t="s">
        <v>190</v>
      </c>
      <c r="I2282" s="4" t="s">
        <v>26</v>
      </c>
      <c r="J2282" s="5"/>
      <c r="K2282" s="5"/>
      <c r="L2282" s="5"/>
      <c r="M2282" s="4" t="s">
        <v>29</v>
      </c>
      <c r="N2282" s="5"/>
    </row>
    <row r="2283" spans="1:14" ht="14.4" thickBot="1" x14ac:dyDescent="0.35">
      <c r="A2283" s="4" t="s">
        <v>19</v>
      </c>
      <c r="B2283" s="4" t="s">
        <v>176</v>
      </c>
      <c r="C2283" s="4" t="s">
        <v>177</v>
      </c>
      <c r="D2283" s="4" t="s">
        <v>178</v>
      </c>
      <c r="E2283" s="4" t="s">
        <v>87</v>
      </c>
      <c r="F2283" s="4" t="s">
        <v>195</v>
      </c>
      <c r="G2283" s="4" t="s">
        <v>196</v>
      </c>
      <c r="H2283" s="4" t="s">
        <v>69</v>
      </c>
      <c r="I2283" s="4" t="s">
        <v>94</v>
      </c>
      <c r="J2283" s="4" t="s">
        <v>28</v>
      </c>
      <c r="K2283" s="4" t="s">
        <v>27</v>
      </c>
      <c r="L2283" s="4" t="s">
        <v>28</v>
      </c>
      <c r="M2283" s="4" t="s">
        <v>34</v>
      </c>
      <c r="N2283" s="4" t="s">
        <v>28</v>
      </c>
    </row>
    <row r="2284" spans="1:14" ht="14.4" thickBot="1" x14ac:dyDescent="0.35">
      <c r="A2284" s="4" t="s">
        <v>19</v>
      </c>
      <c r="B2284" s="4" t="s">
        <v>176</v>
      </c>
      <c r="C2284" s="4" t="s">
        <v>177</v>
      </c>
      <c r="D2284" s="4" t="s">
        <v>178</v>
      </c>
      <c r="E2284" s="4" t="s">
        <v>87</v>
      </c>
      <c r="F2284" s="4" t="s">
        <v>197</v>
      </c>
      <c r="G2284" s="4" t="s">
        <v>198</v>
      </c>
      <c r="H2284" s="4" t="s">
        <v>135</v>
      </c>
      <c r="I2284" s="4" t="s">
        <v>33</v>
      </c>
      <c r="J2284" s="4" t="s">
        <v>27</v>
      </c>
      <c r="K2284" s="4" t="s">
        <v>28</v>
      </c>
      <c r="L2284" s="4" t="s">
        <v>28</v>
      </c>
      <c r="M2284" s="4" t="s">
        <v>29</v>
      </c>
      <c r="N2284" s="4" t="s">
        <v>28</v>
      </c>
    </row>
    <row r="2285" spans="1:14" ht="14.4" thickBot="1" x14ac:dyDescent="0.35">
      <c r="A2285" s="4" t="s">
        <v>19</v>
      </c>
      <c r="B2285" s="4" t="s">
        <v>176</v>
      </c>
      <c r="C2285" s="4" t="s">
        <v>177</v>
      </c>
      <c r="D2285" s="4" t="s">
        <v>178</v>
      </c>
      <c r="E2285" s="4" t="s">
        <v>87</v>
      </c>
      <c r="F2285" s="4" t="s">
        <v>199</v>
      </c>
      <c r="G2285" s="4" t="s">
        <v>200</v>
      </c>
      <c r="H2285" s="4" t="s">
        <v>26</v>
      </c>
      <c r="I2285" s="4" t="s">
        <v>33</v>
      </c>
      <c r="J2285" s="4" t="s">
        <v>27</v>
      </c>
      <c r="K2285" s="4" t="s">
        <v>28</v>
      </c>
      <c r="L2285" s="4" t="s">
        <v>28</v>
      </c>
      <c r="M2285" s="4" t="s">
        <v>34</v>
      </c>
      <c r="N2285" s="4" t="s">
        <v>28</v>
      </c>
    </row>
    <row r="2286" spans="1:14" ht="14.4" thickBot="1" x14ac:dyDescent="0.35">
      <c r="A2286" s="4" t="s">
        <v>19</v>
      </c>
      <c r="B2286" s="4" t="s">
        <v>176</v>
      </c>
      <c r="C2286" s="4" t="s">
        <v>177</v>
      </c>
      <c r="D2286" s="4" t="s">
        <v>178</v>
      </c>
      <c r="E2286" s="4" t="s">
        <v>87</v>
      </c>
      <c r="F2286" s="4" t="s">
        <v>201</v>
      </c>
      <c r="G2286" s="4" t="s">
        <v>202</v>
      </c>
      <c r="H2286" s="4" t="s">
        <v>26</v>
      </c>
      <c r="I2286" s="4" t="s">
        <v>33</v>
      </c>
      <c r="J2286" s="4" t="s">
        <v>27</v>
      </c>
      <c r="K2286" s="4" t="s">
        <v>28</v>
      </c>
      <c r="L2286" s="4" t="s">
        <v>28</v>
      </c>
      <c r="M2286" s="4" t="s">
        <v>34</v>
      </c>
      <c r="N2286" s="4" t="s">
        <v>28</v>
      </c>
    </row>
    <row r="2287" spans="1:14" ht="14.4" thickBot="1" x14ac:dyDescent="0.35">
      <c r="A2287" s="4" t="s">
        <v>19</v>
      </c>
      <c r="B2287" s="4" t="s">
        <v>176</v>
      </c>
      <c r="C2287" s="4" t="s">
        <v>177</v>
      </c>
      <c r="D2287" s="4" t="s">
        <v>178</v>
      </c>
      <c r="E2287" s="4" t="s">
        <v>87</v>
      </c>
      <c r="F2287" s="4" t="s">
        <v>1137</v>
      </c>
      <c r="G2287" s="4" t="s">
        <v>1138</v>
      </c>
      <c r="H2287" s="4" t="s">
        <v>26</v>
      </c>
      <c r="I2287" s="4" t="s">
        <v>26</v>
      </c>
      <c r="J2287" s="4" t="s">
        <v>27</v>
      </c>
      <c r="K2287" s="4" t="s">
        <v>28</v>
      </c>
      <c r="L2287" s="4" t="s">
        <v>28</v>
      </c>
      <c r="M2287" s="4" t="s">
        <v>29</v>
      </c>
      <c r="N2287" s="4" t="s">
        <v>28</v>
      </c>
    </row>
    <row r="2288" spans="1:14" ht="14.4" thickBot="1" x14ac:dyDescent="0.35">
      <c r="A2288" s="4" t="s">
        <v>19</v>
      </c>
      <c r="B2288" s="4" t="s">
        <v>176</v>
      </c>
      <c r="C2288" s="4" t="s">
        <v>177</v>
      </c>
      <c r="D2288" s="4" t="s">
        <v>178</v>
      </c>
      <c r="E2288" s="4" t="s">
        <v>87</v>
      </c>
      <c r="F2288" s="4" t="s">
        <v>1139</v>
      </c>
      <c r="G2288" s="4" t="s">
        <v>1140</v>
      </c>
      <c r="H2288" s="4" t="s">
        <v>26</v>
      </c>
      <c r="I2288" s="4" t="s">
        <v>38</v>
      </c>
      <c r="J2288" s="4" t="s">
        <v>28</v>
      </c>
      <c r="K2288" s="4" t="s">
        <v>28</v>
      </c>
      <c r="L2288" s="4" t="s">
        <v>27</v>
      </c>
      <c r="M2288" s="4" t="s">
        <v>29</v>
      </c>
      <c r="N2288" s="4" t="s">
        <v>28</v>
      </c>
    </row>
    <row r="2289" spans="1:14" ht="14.4" thickBot="1" x14ac:dyDescent="0.35">
      <c r="A2289" s="4" t="s">
        <v>19</v>
      </c>
      <c r="B2289" s="4" t="s">
        <v>176</v>
      </c>
      <c r="C2289" s="4" t="s">
        <v>177</v>
      </c>
      <c r="D2289" s="4" t="s">
        <v>178</v>
      </c>
      <c r="E2289" s="4" t="s">
        <v>87</v>
      </c>
      <c r="F2289" s="4" t="s">
        <v>1141</v>
      </c>
      <c r="G2289" s="4" t="s">
        <v>1142</v>
      </c>
      <c r="H2289" s="4" t="s">
        <v>135</v>
      </c>
      <c r="I2289" s="4" t="s">
        <v>94</v>
      </c>
      <c r="J2289" s="4" t="s">
        <v>27</v>
      </c>
      <c r="K2289" s="4" t="s">
        <v>28</v>
      </c>
      <c r="L2289" s="4" t="s">
        <v>28</v>
      </c>
      <c r="M2289" s="4" t="s">
        <v>29</v>
      </c>
      <c r="N2289" s="4" t="s">
        <v>28</v>
      </c>
    </row>
    <row r="2290" spans="1:14" ht="14.4" thickBot="1" x14ac:dyDescent="0.35">
      <c r="A2290" s="4" t="s">
        <v>19</v>
      </c>
      <c r="B2290" s="4" t="s">
        <v>176</v>
      </c>
      <c r="C2290" s="4" t="s">
        <v>177</v>
      </c>
      <c r="D2290" s="4" t="s">
        <v>178</v>
      </c>
      <c r="E2290" s="4" t="s">
        <v>87</v>
      </c>
      <c r="F2290" s="4" t="s">
        <v>1143</v>
      </c>
      <c r="G2290" s="4" t="s">
        <v>1144</v>
      </c>
      <c r="H2290" s="4" t="s">
        <v>135</v>
      </c>
      <c r="I2290" s="4" t="s">
        <v>38</v>
      </c>
      <c r="J2290" s="4" t="s">
        <v>28</v>
      </c>
      <c r="K2290" s="4" t="s">
        <v>28</v>
      </c>
      <c r="L2290" s="4" t="s">
        <v>27</v>
      </c>
      <c r="M2290" s="4" t="s">
        <v>34</v>
      </c>
      <c r="N2290" s="4" t="s">
        <v>28</v>
      </c>
    </row>
    <row r="2291" spans="1:14" ht="14.4" thickBot="1" x14ac:dyDescent="0.35">
      <c r="A2291" s="4" t="s">
        <v>19</v>
      </c>
      <c r="B2291" s="4" t="s">
        <v>176</v>
      </c>
      <c r="C2291" s="4" t="s">
        <v>177</v>
      </c>
      <c r="D2291" s="4" t="s">
        <v>178</v>
      </c>
      <c r="E2291" s="4" t="s">
        <v>87</v>
      </c>
      <c r="F2291" s="4" t="s">
        <v>1145</v>
      </c>
      <c r="G2291" s="4" t="s">
        <v>1146</v>
      </c>
      <c r="H2291" s="4" t="s">
        <v>26</v>
      </c>
      <c r="I2291" s="4" t="s">
        <v>26</v>
      </c>
      <c r="J2291" s="4" t="s">
        <v>27</v>
      </c>
      <c r="K2291" s="4" t="s">
        <v>28</v>
      </c>
      <c r="L2291" s="4" t="s">
        <v>28</v>
      </c>
      <c r="M2291" s="4" t="s">
        <v>130</v>
      </c>
      <c r="N2291" s="4" t="s">
        <v>28</v>
      </c>
    </row>
    <row r="2292" spans="1:14" ht="14.4" thickBot="1" x14ac:dyDescent="0.35">
      <c r="A2292" s="4" t="s">
        <v>19</v>
      </c>
      <c r="B2292" s="4" t="s">
        <v>176</v>
      </c>
      <c r="C2292" s="4" t="s">
        <v>177</v>
      </c>
      <c r="D2292" s="4" t="s">
        <v>178</v>
      </c>
      <c r="E2292" s="4" t="s">
        <v>87</v>
      </c>
      <c r="F2292" s="4" t="s">
        <v>1147</v>
      </c>
      <c r="G2292" s="4" t="s">
        <v>1148</v>
      </c>
      <c r="H2292" s="4" t="s">
        <v>26</v>
      </c>
      <c r="I2292" s="4" t="s">
        <v>26</v>
      </c>
      <c r="J2292" s="4" t="s">
        <v>27</v>
      </c>
      <c r="K2292" s="4" t="s">
        <v>28</v>
      </c>
      <c r="L2292" s="4" t="s">
        <v>28</v>
      </c>
      <c r="M2292" s="4" t="s">
        <v>29</v>
      </c>
      <c r="N2292" s="4" t="s">
        <v>28</v>
      </c>
    </row>
    <row r="2293" spans="1:14" ht="14.4" thickBot="1" x14ac:dyDescent="0.35">
      <c r="A2293" s="4" t="s">
        <v>19</v>
      </c>
      <c r="B2293" s="4" t="s">
        <v>176</v>
      </c>
      <c r="C2293" s="4" t="s">
        <v>177</v>
      </c>
      <c r="D2293" s="4" t="s">
        <v>178</v>
      </c>
      <c r="E2293" s="4" t="s">
        <v>87</v>
      </c>
      <c r="F2293" s="4" t="s">
        <v>1149</v>
      </c>
      <c r="G2293" s="4" t="s">
        <v>1150</v>
      </c>
      <c r="H2293" s="4" t="s">
        <v>26</v>
      </c>
      <c r="I2293" s="4" t="s">
        <v>26</v>
      </c>
      <c r="J2293" s="4" t="s">
        <v>27</v>
      </c>
      <c r="K2293" s="4" t="s">
        <v>28</v>
      </c>
      <c r="L2293" s="4" t="s">
        <v>28</v>
      </c>
      <c r="M2293" s="4" t="s">
        <v>29</v>
      </c>
      <c r="N2293" s="4" t="s">
        <v>28</v>
      </c>
    </row>
    <row r="2294" spans="1:14" ht="14.4" thickBot="1" x14ac:dyDescent="0.35">
      <c r="A2294" s="4" t="s">
        <v>19</v>
      </c>
      <c r="B2294" s="4" t="s">
        <v>176</v>
      </c>
      <c r="C2294" s="4" t="s">
        <v>177</v>
      </c>
      <c r="D2294" s="4" t="s">
        <v>178</v>
      </c>
      <c r="E2294" s="4" t="s">
        <v>87</v>
      </c>
      <c r="F2294" s="4" t="s">
        <v>1151</v>
      </c>
      <c r="G2294" s="4" t="s">
        <v>1152</v>
      </c>
      <c r="H2294" s="4" t="s">
        <v>190</v>
      </c>
      <c r="I2294" s="4" t="s">
        <v>26</v>
      </c>
      <c r="J2294" s="5"/>
      <c r="K2294" s="5"/>
      <c r="L2294" s="5"/>
      <c r="M2294" s="4" t="s">
        <v>29</v>
      </c>
      <c r="N2294" s="5"/>
    </row>
    <row r="2295" spans="1:14" ht="14.4" thickBot="1" x14ac:dyDescent="0.35">
      <c r="A2295" s="4" t="s">
        <v>19</v>
      </c>
      <c r="B2295" s="4" t="s">
        <v>176</v>
      </c>
      <c r="C2295" s="4" t="s">
        <v>177</v>
      </c>
      <c r="D2295" s="4" t="s">
        <v>178</v>
      </c>
      <c r="E2295" s="4" t="s">
        <v>87</v>
      </c>
      <c r="F2295" s="4" t="s">
        <v>1153</v>
      </c>
      <c r="G2295" s="4" t="s">
        <v>1154</v>
      </c>
      <c r="H2295" s="4" t="s">
        <v>135</v>
      </c>
      <c r="I2295" s="4" t="s">
        <v>33</v>
      </c>
      <c r="J2295" s="4" t="s">
        <v>27</v>
      </c>
      <c r="K2295" s="4" t="s">
        <v>28</v>
      </c>
      <c r="L2295" s="4" t="s">
        <v>28</v>
      </c>
      <c r="M2295" s="4" t="s">
        <v>34</v>
      </c>
      <c r="N2295" s="4" t="s">
        <v>28</v>
      </c>
    </row>
    <row r="2296" spans="1:14" ht="14.4" thickBot="1" x14ac:dyDescent="0.35">
      <c r="A2296" s="4" t="s">
        <v>19</v>
      </c>
      <c r="B2296" s="4" t="s">
        <v>176</v>
      </c>
      <c r="C2296" s="4" t="s">
        <v>177</v>
      </c>
      <c r="D2296" s="4" t="s">
        <v>178</v>
      </c>
      <c r="E2296" s="4" t="s">
        <v>87</v>
      </c>
      <c r="F2296" s="4" t="s">
        <v>1155</v>
      </c>
      <c r="G2296" s="4" t="s">
        <v>1156</v>
      </c>
      <c r="H2296" s="4" t="s">
        <v>135</v>
      </c>
      <c r="I2296" s="4" t="s">
        <v>33</v>
      </c>
      <c r="J2296" s="4" t="s">
        <v>27</v>
      </c>
      <c r="K2296" s="4" t="s">
        <v>28</v>
      </c>
      <c r="L2296" s="4" t="s">
        <v>28</v>
      </c>
      <c r="M2296" s="4" t="s">
        <v>34</v>
      </c>
      <c r="N2296" s="4" t="s">
        <v>28</v>
      </c>
    </row>
    <row r="2297" spans="1:14" ht="14.4" thickBot="1" x14ac:dyDescent="0.35">
      <c r="A2297" s="4" t="s">
        <v>19</v>
      </c>
      <c r="B2297" s="4" t="s">
        <v>176</v>
      </c>
      <c r="C2297" s="4" t="s">
        <v>177</v>
      </c>
      <c r="D2297" s="4" t="s">
        <v>178</v>
      </c>
      <c r="E2297" s="4" t="s">
        <v>87</v>
      </c>
      <c r="F2297" s="4" t="s">
        <v>1157</v>
      </c>
      <c r="G2297" s="4" t="s">
        <v>1158</v>
      </c>
      <c r="H2297" s="4" t="s">
        <v>37</v>
      </c>
      <c r="I2297" s="4" t="s">
        <v>38</v>
      </c>
      <c r="J2297" s="4" t="s">
        <v>28</v>
      </c>
      <c r="K2297" s="4" t="s">
        <v>28</v>
      </c>
      <c r="L2297" s="4" t="s">
        <v>27</v>
      </c>
      <c r="M2297" s="4" t="s">
        <v>34</v>
      </c>
      <c r="N2297" s="4" t="s">
        <v>28</v>
      </c>
    </row>
    <row r="2298" spans="1:14" ht="14.4" thickBot="1" x14ac:dyDescent="0.35">
      <c r="A2298" s="4" t="s">
        <v>19</v>
      </c>
      <c r="B2298" s="4" t="s">
        <v>176</v>
      </c>
      <c r="C2298" s="4" t="s">
        <v>177</v>
      </c>
      <c r="D2298" s="4" t="s">
        <v>178</v>
      </c>
      <c r="E2298" s="4" t="s">
        <v>87</v>
      </c>
      <c r="F2298" s="4" t="s">
        <v>1159</v>
      </c>
      <c r="G2298" s="4" t="s">
        <v>1160</v>
      </c>
      <c r="H2298" s="4" t="s">
        <v>26</v>
      </c>
      <c r="I2298" s="4" t="s">
        <v>33</v>
      </c>
      <c r="J2298" s="4" t="s">
        <v>27</v>
      </c>
      <c r="K2298" s="4" t="s">
        <v>28</v>
      </c>
      <c r="L2298" s="4" t="s">
        <v>28</v>
      </c>
      <c r="M2298" s="4" t="s">
        <v>34</v>
      </c>
      <c r="N2298" s="4" t="s">
        <v>28</v>
      </c>
    </row>
    <row r="2299" spans="1:14" ht="14.4" thickBot="1" x14ac:dyDescent="0.35">
      <c r="A2299" s="4" t="s">
        <v>19</v>
      </c>
      <c r="B2299" s="4" t="s">
        <v>176</v>
      </c>
      <c r="C2299" s="4" t="s">
        <v>177</v>
      </c>
      <c r="D2299" s="4" t="s">
        <v>178</v>
      </c>
      <c r="E2299" s="4" t="s">
        <v>87</v>
      </c>
      <c r="F2299" s="4" t="s">
        <v>1161</v>
      </c>
      <c r="G2299" s="4" t="s">
        <v>1162</v>
      </c>
      <c r="H2299" s="4" t="s">
        <v>26</v>
      </c>
      <c r="I2299" s="4" t="s">
        <v>38</v>
      </c>
      <c r="J2299" s="4" t="s">
        <v>28</v>
      </c>
      <c r="K2299" s="4" t="s">
        <v>28</v>
      </c>
      <c r="L2299" s="4" t="s">
        <v>27</v>
      </c>
      <c r="M2299" s="4" t="s">
        <v>34</v>
      </c>
      <c r="N2299" s="4" t="s">
        <v>28</v>
      </c>
    </row>
    <row r="2300" spans="1:14" ht="14.4" thickBot="1" x14ac:dyDescent="0.35">
      <c r="A2300" s="4" t="s">
        <v>19</v>
      </c>
      <c r="B2300" s="4" t="s">
        <v>176</v>
      </c>
      <c r="C2300" s="4" t="s">
        <v>177</v>
      </c>
      <c r="D2300" s="4" t="s">
        <v>178</v>
      </c>
      <c r="E2300" s="4" t="s">
        <v>87</v>
      </c>
      <c r="F2300" s="4" t="s">
        <v>339</v>
      </c>
      <c r="G2300" s="4" t="s">
        <v>1163</v>
      </c>
      <c r="H2300" s="4" t="s">
        <v>26</v>
      </c>
      <c r="I2300" s="4" t="s">
        <v>33</v>
      </c>
      <c r="J2300" s="4" t="s">
        <v>27</v>
      </c>
      <c r="K2300" s="4" t="s">
        <v>28</v>
      </c>
      <c r="L2300" s="4" t="s">
        <v>28</v>
      </c>
      <c r="M2300" s="4" t="s">
        <v>34</v>
      </c>
      <c r="N2300" s="4" t="s">
        <v>28</v>
      </c>
    </row>
    <row r="2301" spans="1:14" ht="14.4" thickBot="1" x14ac:dyDescent="0.35">
      <c r="A2301" s="4" t="s">
        <v>19</v>
      </c>
      <c r="B2301" s="4" t="s">
        <v>176</v>
      </c>
      <c r="C2301" s="4" t="s">
        <v>177</v>
      </c>
      <c r="D2301" s="4" t="s">
        <v>178</v>
      </c>
      <c r="E2301" s="4" t="s">
        <v>87</v>
      </c>
      <c r="F2301" s="4" t="s">
        <v>1970</v>
      </c>
      <c r="G2301" s="4" t="s">
        <v>1971</v>
      </c>
      <c r="H2301" s="4" t="s">
        <v>26</v>
      </c>
      <c r="I2301" s="4" t="s">
        <v>26</v>
      </c>
      <c r="J2301" s="4" t="s">
        <v>27</v>
      </c>
      <c r="K2301" s="4" t="s">
        <v>28</v>
      </c>
      <c r="L2301" s="4" t="s">
        <v>28</v>
      </c>
      <c r="M2301" s="4" t="s">
        <v>29</v>
      </c>
      <c r="N2301" s="4" t="s">
        <v>28</v>
      </c>
    </row>
    <row r="2302" spans="1:14" ht="14.4" thickBot="1" x14ac:dyDescent="0.35">
      <c r="A2302" s="4" t="s">
        <v>19</v>
      </c>
      <c r="B2302" s="4" t="s">
        <v>176</v>
      </c>
      <c r="C2302" s="4" t="s">
        <v>177</v>
      </c>
      <c r="D2302" s="4" t="s">
        <v>178</v>
      </c>
      <c r="E2302" s="4" t="s">
        <v>87</v>
      </c>
      <c r="F2302" s="4" t="s">
        <v>1972</v>
      </c>
      <c r="G2302" s="4" t="s">
        <v>1973</v>
      </c>
      <c r="H2302" s="4" t="s">
        <v>26</v>
      </c>
      <c r="I2302" s="4" t="s">
        <v>26</v>
      </c>
      <c r="J2302" s="4" t="s">
        <v>27</v>
      </c>
      <c r="K2302" s="4" t="s">
        <v>28</v>
      </c>
      <c r="L2302" s="4" t="s">
        <v>28</v>
      </c>
      <c r="M2302" s="4" t="s">
        <v>130</v>
      </c>
      <c r="N2302" s="4" t="s">
        <v>28</v>
      </c>
    </row>
    <row r="2303" spans="1:14" ht="14.4" thickBot="1" x14ac:dyDescent="0.35">
      <c r="A2303" s="4" t="s">
        <v>19</v>
      </c>
      <c r="B2303" s="4" t="s">
        <v>176</v>
      </c>
      <c r="C2303" s="4" t="s">
        <v>177</v>
      </c>
      <c r="D2303" s="4" t="s">
        <v>178</v>
      </c>
      <c r="E2303" s="4" t="s">
        <v>87</v>
      </c>
      <c r="F2303" s="4" t="s">
        <v>1974</v>
      </c>
      <c r="G2303" s="4" t="s">
        <v>1975</v>
      </c>
      <c r="H2303" s="4" t="s">
        <v>26</v>
      </c>
      <c r="I2303" s="4" t="s">
        <v>33</v>
      </c>
      <c r="J2303" s="4" t="s">
        <v>27</v>
      </c>
      <c r="K2303" s="4" t="s">
        <v>28</v>
      </c>
      <c r="L2303" s="4" t="s">
        <v>28</v>
      </c>
      <c r="M2303" s="4" t="s">
        <v>34</v>
      </c>
      <c r="N2303" s="4" t="s">
        <v>28</v>
      </c>
    </row>
    <row r="2304" spans="1:14" ht="14.4" thickBot="1" x14ac:dyDescent="0.35">
      <c r="A2304" s="4" t="s">
        <v>19</v>
      </c>
      <c r="B2304" s="4" t="s">
        <v>176</v>
      </c>
      <c r="C2304" s="4" t="s">
        <v>177</v>
      </c>
      <c r="D2304" s="4" t="s">
        <v>178</v>
      </c>
      <c r="E2304" s="4" t="s">
        <v>87</v>
      </c>
      <c r="F2304" s="4" t="s">
        <v>1976</v>
      </c>
      <c r="G2304" s="4" t="s">
        <v>1977</v>
      </c>
      <c r="H2304" s="4" t="s">
        <v>26</v>
      </c>
      <c r="I2304" s="4" t="s">
        <v>94</v>
      </c>
      <c r="J2304" s="5"/>
      <c r="K2304" s="5"/>
      <c r="L2304" s="5"/>
      <c r="M2304" s="4" t="s">
        <v>29</v>
      </c>
      <c r="N2304" s="5"/>
    </row>
    <row r="2305" spans="1:14" ht="14.4" thickBot="1" x14ac:dyDescent="0.35">
      <c r="A2305" s="4" t="s">
        <v>19</v>
      </c>
      <c r="B2305" s="4" t="s">
        <v>176</v>
      </c>
      <c r="C2305" s="4" t="s">
        <v>177</v>
      </c>
      <c r="D2305" s="4" t="s">
        <v>178</v>
      </c>
      <c r="E2305" s="4" t="s">
        <v>87</v>
      </c>
      <c r="F2305" s="4" t="s">
        <v>1978</v>
      </c>
      <c r="G2305" s="4" t="s">
        <v>1979</v>
      </c>
      <c r="H2305" s="4" t="s">
        <v>26</v>
      </c>
      <c r="I2305" s="4" t="s">
        <v>94</v>
      </c>
      <c r="J2305" s="4" t="s">
        <v>27</v>
      </c>
      <c r="K2305" s="4" t="s">
        <v>28</v>
      </c>
      <c r="L2305" s="4" t="s">
        <v>28</v>
      </c>
      <c r="M2305" s="4" t="s">
        <v>29</v>
      </c>
      <c r="N2305" s="4" t="s">
        <v>28</v>
      </c>
    </row>
    <row r="2306" spans="1:14" ht="14.4" thickBot="1" x14ac:dyDescent="0.35">
      <c r="A2306" s="4" t="s">
        <v>19</v>
      </c>
      <c r="B2306" s="4" t="s">
        <v>176</v>
      </c>
      <c r="C2306" s="4" t="s">
        <v>177</v>
      </c>
      <c r="D2306" s="4" t="s">
        <v>178</v>
      </c>
      <c r="E2306" s="4" t="s">
        <v>87</v>
      </c>
      <c r="F2306" s="4" t="s">
        <v>1980</v>
      </c>
      <c r="G2306" s="4" t="s">
        <v>1981</v>
      </c>
      <c r="H2306" s="4" t="s">
        <v>37</v>
      </c>
      <c r="I2306" s="4" t="s">
        <v>38</v>
      </c>
      <c r="J2306" s="4" t="s">
        <v>28</v>
      </c>
      <c r="K2306" s="4" t="s">
        <v>28</v>
      </c>
      <c r="L2306" s="4" t="s">
        <v>27</v>
      </c>
      <c r="M2306" s="4" t="s">
        <v>34</v>
      </c>
      <c r="N2306" s="4" t="s">
        <v>28</v>
      </c>
    </row>
    <row r="2307" spans="1:14" ht="14.4" thickBot="1" x14ac:dyDescent="0.35">
      <c r="A2307" s="4" t="s">
        <v>19</v>
      </c>
      <c r="B2307" s="4" t="s">
        <v>176</v>
      </c>
      <c r="C2307" s="4" t="s">
        <v>177</v>
      </c>
      <c r="D2307" s="4" t="s">
        <v>178</v>
      </c>
      <c r="E2307" s="4" t="s">
        <v>87</v>
      </c>
      <c r="F2307" s="4" t="s">
        <v>1982</v>
      </c>
      <c r="G2307" s="4" t="s">
        <v>1983</v>
      </c>
      <c r="H2307" s="4" t="s">
        <v>69</v>
      </c>
      <c r="I2307" s="4" t="s">
        <v>94</v>
      </c>
      <c r="J2307" s="4" t="s">
        <v>28</v>
      </c>
      <c r="K2307" s="4" t="s">
        <v>27</v>
      </c>
      <c r="L2307" s="4" t="s">
        <v>28</v>
      </c>
      <c r="M2307" s="4" t="s">
        <v>34</v>
      </c>
      <c r="N2307" s="4" t="s">
        <v>28</v>
      </c>
    </row>
    <row r="2308" spans="1:14" ht="14.4" thickBot="1" x14ac:dyDescent="0.35">
      <c r="A2308" s="4" t="s">
        <v>19</v>
      </c>
      <c r="B2308" s="4" t="s">
        <v>176</v>
      </c>
      <c r="C2308" s="4" t="s">
        <v>177</v>
      </c>
      <c r="D2308" s="4" t="s">
        <v>178</v>
      </c>
      <c r="E2308" s="4" t="s">
        <v>87</v>
      </c>
      <c r="F2308" s="4" t="s">
        <v>1984</v>
      </c>
      <c r="G2308" s="4" t="s">
        <v>1985</v>
      </c>
      <c r="H2308" s="4" t="s">
        <v>69</v>
      </c>
      <c r="I2308" s="4" t="s">
        <v>94</v>
      </c>
      <c r="J2308" s="4" t="s">
        <v>28</v>
      </c>
      <c r="K2308" s="4" t="s">
        <v>27</v>
      </c>
      <c r="L2308" s="4" t="s">
        <v>28</v>
      </c>
      <c r="M2308" s="4" t="s">
        <v>34</v>
      </c>
      <c r="N2308" s="4" t="s">
        <v>28</v>
      </c>
    </row>
    <row r="2309" spans="1:14" ht="14.4" thickBot="1" x14ac:dyDescent="0.35">
      <c r="A2309" s="4" t="s">
        <v>19</v>
      </c>
      <c r="B2309" s="4" t="s">
        <v>176</v>
      </c>
      <c r="C2309" s="4" t="s">
        <v>177</v>
      </c>
      <c r="D2309" s="4" t="s">
        <v>178</v>
      </c>
      <c r="E2309" s="4" t="s">
        <v>87</v>
      </c>
      <c r="F2309" s="4" t="s">
        <v>2612</v>
      </c>
      <c r="G2309" s="4" t="s">
        <v>2613</v>
      </c>
      <c r="H2309" s="4" t="s">
        <v>26</v>
      </c>
      <c r="I2309" s="4" t="s">
        <v>26</v>
      </c>
      <c r="J2309" s="4" t="s">
        <v>27</v>
      </c>
      <c r="K2309" s="4" t="s">
        <v>28</v>
      </c>
      <c r="L2309" s="4" t="s">
        <v>28</v>
      </c>
      <c r="M2309" s="4" t="s">
        <v>130</v>
      </c>
      <c r="N2309" s="4" t="s">
        <v>28</v>
      </c>
    </row>
    <row r="2310" spans="1:14" ht="14.4" thickBot="1" x14ac:dyDescent="0.35">
      <c r="A2310" s="4" t="s">
        <v>19</v>
      </c>
      <c r="B2310" s="4" t="s">
        <v>176</v>
      </c>
      <c r="C2310" s="4" t="s">
        <v>177</v>
      </c>
      <c r="D2310" s="4" t="s">
        <v>178</v>
      </c>
      <c r="E2310" s="4" t="s">
        <v>87</v>
      </c>
      <c r="F2310" s="4" t="s">
        <v>2614</v>
      </c>
      <c r="G2310" s="4" t="s">
        <v>2615</v>
      </c>
      <c r="H2310" s="4" t="s">
        <v>26</v>
      </c>
      <c r="I2310" s="4" t="s">
        <v>26</v>
      </c>
      <c r="J2310" s="4" t="s">
        <v>27</v>
      </c>
      <c r="K2310" s="4" t="s">
        <v>28</v>
      </c>
      <c r="L2310" s="4" t="s">
        <v>28</v>
      </c>
      <c r="M2310" s="4" t="s">
        <v>29</v>
      </c>
      <c r="N2310" s="4" t="s">
        <v>28</v>
      </c>
    </row>
    <row r="2311" spans="1:14" ht="14.4" thickBot="1" x14ac:dyDescent="0.35">
      <c r="A2311" s="4" t="s">
        <v>19</v>
      </c>
      <c r="B2311" s="4" t="s">
        <v>176</v>
      </c>
      <c r="C2311" s="4" t="s">
        <v>177</v>
      </c>
      <c r="D2311" s="4" t="s">
        <v>178</v>
      </c>
      <c r="E2311" s="4" t="s">
        <v>87</v>
      </c>
      <c r="F2311" s="4" t="s">
        <v>2616</v>
      </c>
      <c r="G2311" s="4" t="s">
        <v>2617</v>
      </c>
      <c r="H2311" s="4" t="s">
        <v>26</v>
      </c>
      <c r="I2311" s="4" t="s">
        <v>26</v>
      </c>
      <c r="J2311" s="4" t="s">
        <v>27</v>
      </c>
      <c r="K2311" s="4" t="s">
        <v>28</v>
      </c>
      <c r="L2311" s="4" t="s">
        <v>28</v>
      </c>
      <c r="M2311" s="4" t="s">
        <v>29</v>
      </c>
      <c r="N2311" s="4" t="s">
        <v>28</v>
      </c>
    </row>
    <row r="2312" spans="1:14" ht="14.4" thickBot="1" x14ac:dyDescent="0.35">
      <c r="A2312" s="4" t="s">
        <v>19</v>
      </c>
      <c r="B2312" s="4" t="s">
        <v>176</v>
      </c>
      <c r="C2312" s="4" t="s">
        <v>177</v>
      </c>
      <c r="D2312" s="4" t="s">
        <v>178</v>
      </c>
      <c r="E2312" s="4" t="s">
        <v>87</v>
      </c>
      <c r="F2312" s="4" t="s">
        <v>2618</v>
      </c>
      <c r="G2312" s="4" t="s">
        <v>2619</v>
      </c>
      <c r="H2312" s="4" t="s">
        <v>26</v>
      </c>
      <c r="I2312" s="4" t="s">
        <v>26</v>
      </c>
      <c r="J2312" s="4" t="s">
        <v>27</v>
      </c>
      <c r="K2312" s="4" t="s">
        <v>28</v>
      </c>
      <c r="L2312" s="4" t="s">
        <v>28</v>
      </c>
      <c r="M2312" s="4" t="s">
        <v>34</v>
      </c>
      <c r="N2312" s="4" t="s">
        <v>28</v>
      </c>
    </row>
    <row r="2313" spans="1:14" ht="14.4" thickBot="1" x14ac:dyDescent="0.35">
      <c r="A2313" s="4" t="s">
        <v>19</v>
      </c>
      <c r="B2313" s="4" t="s">
        <v>176</v>
      </c>
      <c r="C2313" s="4" t="s">
        <v>177</v>
      </c>
      <c r="D2313" s="4" t="s">
        <v>178</v>
      </c>
      <c r="E2313" s="4" t="s">
        <v>87</v>
      </c>
      <c r="F2313" s="4" t="s">
        <v>2620</v>
      </c>
      <c r="G2313" s="4" t="s">
        <v>2621</v>
      </c>
      <c r="H2313" s="4" t="s">
        <v>26</v>
      </c>
      <c r="I2313" s="4" t="s">
        <v>38</v>
      </c>
      <c r="J2313" s="4" t="s">
        <v>28</v>
      </c>
      <c r="K2313" s="4" t="s">
        <v>28</v>
      </c>
      <c r="L2313" s="4" t="s">
        <v>27</v>
      </c>
      <c r="M2313" s="4" t="s">
        <v>29</v>
      </c>
      <c r="N2313" s="4" t="s">
        <v>28</v>
      </c>
    </row>
    <row r="2314" spans="1:14" ht="14.4" thickBot="1" x14ac:dyDescent="0.35">
      <c r="A2314" s="4" t="s">
        <v>19</v>
      </c>
      <c r="B2314" s="4" t="s">
        <v>176</v>
      </c>
      <c r="C2314" s="4" t="s">
        <v>177</v>
      </c>
      <c r="D2314" s="4" t="s">
        <v>178</v>
      </c>
      <c r="E2314" s="4" t="s">
        <v>87</v>
      </c>
      <c r="F2314" s="4" t="s">
        <v>2622</v>
      </c>
      <c r="G2314" s="4" t="s">
        <v>2623</v>
      </c>
      <c r="H2314" s="4" t="s">
        <v>26</v>
      </c>
      <c r="I2314" s="4" t="s">
        <v>38</v>
      </c>
      <c r="J2314" s="4" t="s">
        <v>28</v>
      </c>
      <c r="K2314" s="4" t="s">
        <v>28</v>
      </c>
      <c r="L2314" s="4" t="s">
        <v>27</v>
      </c>
      <c r="M2314" s="4" t="s">
        <v>29</v>
      </c>
      <c r="N2314" s="4" t="s">
        <v>28</v>
      </c>
    </row>
    <row r="2315" spans="1:14" ht="14.4" thickBot="1" x14ac:dyDescent="0.35">
      <c r="A2315" s="4" t="s">
        <v>19</v>
      </c>
      <c r="B2315" s="4" t="s">
        <v>176</v>
      </c>
      <c r="C2315" s="4" t="s">
        <v>177</v>
      </c>
      <c r="D2315" s="4" t="s">
        <v>178</v>
      </c>
      <c r="E2315" s="4" t="s">
        <v>87</v>
      </c>
      <c r="F2315" s="4" t="s">
        <v>2624</v>
      </c>
      <c r="G2315" s="4" t="s">
        <v>2625</v>
      </c>
      <c r="H2315" s="4" t="s">
        <v>26</v>
      </c>
      <c r="I2315" s="4" t="s">
        <v>26</v>
      </c>
      <c r="J2315" s="5"/>
      <c r="K2315" s="5"/>
      <c r="L2315" s="5"/>
      <c r="M2315" s="4" t="s">
        <v>130</v>
      </c>
      <c r="N2315" s="5"/>
    </row>
    <row r="2316" spans="1:14" ht="14.4" thickBot="1" x14ac:dyDescent="0.35">
      <c r="A2316" s="4" t="s">
        <v>19</v>
      </c>
      <c r="B2316" s="4" t="s">
        <v>176</v>
      </c>
      <c r="C2316" s="4" t="s">
        <v>177</v>
      </c>
      <c r="D2316" s="4" t="s">
        <v>178</v>
      </c>
      <c r="E2316" s="4" t="s">
        <v>87</v>
      </c>
      <c r="F2316" s="4" t="s">
        <v>2626</v>
      </c>
      <c r="G2316" s="4" t="s">
        <v>2627</v>
      </c>
      <c r="H2316" s="4" t="s">
        <v>26</v>
      </c>
      <c r="I2316" s="4" t="s">
        <v>33</v>
      </c>
      <c r="J2316" s="4" t="s">
        <v>27</v>
      </c>
      <c r="K2316" s="4" t="s">
        <v>28</v>
      </c>
      <c r="L2316" s="4" t="s">
        <v>28</v>
      </c>
      <c r="M2316" s="4" t="s">
        <v>34</v>
      </c>
      <c r="N2316" s="4" t="s">
        <v>28</v>
      </c>
    </row>
    <row r="2317" spans="1:14" ht="14.4" thickBot="1" x14ac:dyDescent="0.35">
      <c r="A2317" s="4" t="s">
        <v>19</v>
      </c>
      <c r="B2317" s="4" t="s">
        <v>176</v>
      </c>
      <c r="C2317" s="4" t="s">
        <v>177</v>
      </c>
      <c r="D2317" s="4" t="s">
        <v>178</v>
      </c>
      <c r="E2317" s="4" t="s">
        <v>87</v>
      </c>
      <c r="F2317" s="4" t="s">
        <v>2628</v>
      </c>
      <c r="G2317" s="4" t="s">
        <v>1345</v>
      </c>
      <c r="H2317" s="4" t="s">
        <v>69</v>
      </c>
      <c r="I2317" s="4" t="s">
        <v>94</v>
      </c>
      <c r="J2317" s="4" t="s">
        <v>28</v>
      </c>
      <c r="K2317" s="4" t="s">
        <v>27</v>
      </c>
      <c r="L2317" s="4" t="s">
        <v>28</v>
      </c>
      <c r="M2317" s="4" t="s">
        <v>34</v>
      </c>
      <c r="N2317" s="4" t="s">
        <v>28</v>
      </c>
    </row>
    <row r="2318" spans="1:14" ht="14.4" thickBot="1" x14ac:dyDescent="0.35">
      <c r="A2318" s="4" t="s">
        <v>19</v>
      </c>
      <c r="B2318" s="4" t="s">
        <v>176</v>
      </c>
      <c r="C2318" s="4" t="s">
        <v>177</v>
      </c>
      <c r="D2318" s="4" t="s">
        <v>178</v>
      </c>
      <c r="E2318" s="4" t="s">
        <v>87</v>
      </c>
      <c r="F2318" s="4" t="s">
        <v>2629</v>
      </c>
      <c r="G2318" s="4" t="s">
        <v>2630</v>
      </c>
      <c r="H2318" s="4" t="s">
        <v>26</v>
      </c>
      <c r="I2318" s="4" t="s">
        <v>33</v>
      </c>
      <c r="J2318" s="4" t="s">
        <v>27</v>
      </c>
      <c r="K2318" s="4" t="s">
        <v>28</v>
      </c>
      <c r="L2318" s="4" t="s">
        <v>28</v>
      </c>
      <c r="M2318" s="4" t="s">
        <v>34</v>
      </c>
      <c r="N2318" s="4" t="s">
        <v>28</v>
      </c>
    </row>
    <row r="2319" spans="1:14" ht="14.4" thickBot="1" x14ac:dyDescent="0.35">
      <c r="A2319" s="4" t="s">
        <v>19</v>
      </c>
      <c r="B2319" s="4" t="s">
        <v>176</v>
      </c>
      <c r="C2319" s="4" t="s">
        <v>177</v>
      </c>
      <c r="D2319" s="4" t="s">
        <v>178</v>
      </c>
      <c r="E2319" s="4" t="s">
        <v>87</v>
      </c>
      <c r="F2319" s="4" t="s">
        <v>2631</v>
      </c>
      <c r="G2319" s="4" t="s">
        <v>2632</v>
      </c>
      <c r="H2319" s="4" t="s">
        <v>37</v>
      </c>
      <c r="I2319" s="4" t="s">
        <v>38</v>
      </c>
      <c r="J2319" s="4" t="s">
        <v>28</v>
      </c>
      <c r="K2319" s="4" t="s">
        <v>28</v>
      </c>
      <c r="L2319" s="4" t="s">
        <v>27</v>
      </c>
      <c r="M2319" s="4" t="s">
        <v>34</v>
      </c>
      <c r="N2319" s="4" t="s">
        <v>28</v>
      </c>
    </row>
    <row r="2320" spans="1:14" ht="14.4" thickBot="1" x14ac:dyDescent="0.35">
      <c r="A2320" s="4" t="s">
        <v>19</v>
      </c>
      <c r="B2320" s="4" t="s">
        <v>176</v>
      </c>
      <c r="C2320" s="4" t="s">
        <v>177</v>
      </c>
      <c r="D2320" s="4" t="s">
        <v>178</v>
      </c>
      <c r="E2320" s="4" t="s">
        <v>87</v>
      </c>
      <c r="F2320" s="4" t="s">
        <v>3413</v>
      </c>
      <c r="G2320" s="4" t="s">
        <v>3414</v>
      </c>
      <c r="H2320" s="4" t="s">
        <v>26</v>
      </c>
      <c r="I2320" s="4" t="s">
        <v>26</v>
      </c>
      <c r="J2320" s="4" t="s">
        <v>27</v>
      </c>
      <c r="K2320" s="4" t="s">
        <v>28</v>
      </c>
      <c r="L2320" s="4" t="s">
        <v>28</v>
      </c>
      <c r="M2320" s="4" t="s">
        <v>29</v>
      </c>
      <c r="N2320" s="4" t="s">
        <v>28</v>
      </c>
    </row>
    <row r="2321" spans="1:14" ht="14.4" thickBot="1" x14ac:dyDescent="0.35">
      <c r="A2321" s="4" t="s">
        <v>19</v>
      </c>
      <c r="B2321" s="4" t="s">
        <v>176</v>
      </c>
      <c r="C2321" s="4" t="s">
        <v>177</v>
      </c>
      <c r="D2321" s="4" t="s">
        <v>178</v>
      </c>
      <c r="E2321" s="4" t="s">
        <v>87</v>
      </c>
      <c r="F2321" s="4" t="s">
        <v>3415</v>
      </c>
      <c r="G2321" s="4" t="s">
        <v>3416</v>
      </c>
      <c r="H2321" s="4" t="s">
        <v>135</v>
      </c>
      <c r="I2321" s="4" t="s">
        <v>94</v>
      </c>
      <c r="J2321" s="4" t="s">
        <v>27</v>
      </c>
      <c r="K2321" s="4" t="s">
        <v>28</v>
      </c>
      <c r="L2321" s="4" t="s">
        <v>28</v>
      </c>
      <c r="M2321" s="4" t="s">
        <v>34</v>
      </c>
      <c r="N2321" s="4" t="s">
        <v>27</v>
      </c>
    </row>
    <row r="2322" spans="1:14" ht="14.4" thickBot="1" x14ac:dyDescent="0.35">
      <c r="A2322" s="4" t="s">
        <v>19</v>
      </c>
      <c r="B2322" s="4" t="s">
        <v>176</v>
      </c>
      <c r="C2322" s="4" t="s">
        <v>177</v>
      </c>
      <c r="D2322" s="4" t="s">
        <v>178</v>
      </c>
      <c r="E2322" s="4" t="s">
        <v>87</v>
      </c>
      <c r="F2322" s="4" t="s">
        <v>3417</v>
      </c>
      <c r="G2322" s="4" t="s">
        <v>3418</v>
      </c>
      <c r="H2322" s="4" t="s">
        <v>135</v>
      </c>
      <c r="I2322" s="4" t="s">
        <v>1005</v>
      </c>
      <c r="J2322" s="5"/>
      <c r="K2322" s="5"/>
      <c r="L2322" s="5"/>
      <c r="M2322" s="4" t="s">
        <v>29</v>
      </c>
      <c r="N2322" s="5"/>
    </row>
    <row r="2323" spans="1:14" ht="14.4" thickBot="1" x14ac:dyDescent="0.35">
      <c r="A2323" s="4" t="s">
        <v>19</v>
      </c>
      <c r="B2323" s="4" t="s">
        <v>176</v>
      </c>
      <c r="C2323" s="4" t="s">
        <v>177</v>
      </c>
      <c r="D2323" s="4" t="s">
        <v>178</v>
      </c>
      <c r="E2323" s="4" t="s">
        <v>87</v>
      </c>
      <c r="F2323" s="4" t="s">
        <v>3419</v>
      </c>
      <c r="G2323" s="4" t="s">
        <v>3420</v>
      </c>
      <c r="H2323" s="4" t="s">
        <v>26</v>
      </c>
      <c r="I2323" s="4" t="s">
        <v>33</v>
      </c>
      <c r="J2323" s="4" t="s">
        <v>27</v>
      </c>
      <c r="K2323" s="4" t="s">
        <v>28</v>
      </c>
      <c r="L2323" s="4" t="s">
        <v>28</v>
      </c>
      <c r="M2323" s="4" t="s">
        <v>34</v>
      </c>
      <c r="N2323" s="4" t="s">
        <v>28</v>
      </c>
    </row>
    <row r="2324" spans="1:14" ht="14.4" thickBot="1" x14ac:dyDescent="0.35">
      <c r="A2324" s="4" t="s">
        <v>19</v>
      </c>
      <c r="B2324" s="4" t="s">
        <v>176</v>
      </c>
      <c r="C2324" s="4" t="s">
        <v>177</v>
      </c>
      <c r="D2324" s="4" t="s">
        <v>178</v>
      </c>
      <c r="E2324" s="4" t="s">
        <v>87</v>
      </c>
      <c r="F2324" s="4" t="s">
        <v>3421</v>
      </c>
      <c r="G2324" s="4" t="s">
        <v>3422</v>
      </c>
      <c r="H2324" s="4" t="s">
        <v>26</v>
      </c>
      <c r="I2324" s="4" t="s">
        <v>33</v>
      </c>
      <c r="J2324" s="4" t="s">
        <v>27</v>
      </c>
      <c r="K2324" s="4" t="s">
        <v>28</v>
      </c>
      <c r="L2324" s="4" t="s">
        <v>28</v>
      </c>
      <c r="M2324" s="4" t="s">
        <v>34</v>
      </c>
      <c r="N2324" s="4" t="s">
        <v>28</v>
      </c>
    </row>
    <row r="2325" spans="1:14" ht="14.4" thickBot="1" x14ac:dyDescent="0.35">
      <c r="A2325" s="4" t="s">
        <v>19</v>
      </c>
      <c r="B2325" s="4" t="s">
        <v>176</v>
      </c>
      <c r="C2325" s="4" t="s">
        <v>177</v>
      </c>
      <c r="D2325" s="4" t="s">
        <v>178</v>
      </c>
      <c r="E2325" s="4" t="s">
        <v>87</v>
      </c>
      <c r="F2325" s="4" t="s">
        <v>4203</v>
      </c>
      <c r="G2325" s="4" t="s">
        <v>4204</v>
      </c>
      <c r="H2325" s="4" t="s">
        <v>26</v>
      </c>
      <c r="I2325" s="4" t="s">
        <v>26</v>
      </c>
      <c r="J2325" s="4" t="s">
        <v>27</v>
      </c>
      <c r="K2325" s="4" t="s">
        <v>28</v>
      </c>
      <c r="L2325" s="4" t="s">
        <v>28</v>
      </c>
      <c r="M2325" s="4" t="s">
        <v>29</v>
      </c>
      <c r="N2325" s="4" t="s">
        <v>28</v>
      </c>
    </row>
    <row r="2326" spans="1:14" ht="14.4" thickBot="1" x14ac:dyDescent="0.35">
      <c r="A2326" s="4" t="s">
        <v>19</v>
      </c>
      <c r="B2326" s="4" t="s">
        <v>176</v>
      </c>
      <c r="C2326" s="4" t="s">
        <v>177</v>
      </c>
      <c r="D2326" s="4" t="s">
        <v>178</v>
      </c>
      <c r="E2326" s="4" t="s">
        <v>87</v>
      </c>
      <c r="F2326" s="4" t="s">
        <v>4205</v>
      </c>
      <c r="G2326" s="4" t="s">
        <v>4206</v>
      </c>
      <c r="H2326" s="4" t="s">
        <v>26</v>
      </c>
      <c r="I2326" s="4" t="s">
        <v>26</v>
      </c>
      <c r="J2326" s="4" t="s">
        <v>27</v>
      </c>
      <c r="K2326" s="4" t="s">
        <v>28</v>
      </c>
      <c r="L2326" s="4" t="s">
        <v>28</v>
      </c>
      <c r="M2326" s="4" t="s">
        <v>29</v>
      </c>
      <c r="N2326" s="4" t="s">
        <v>28</v>
      </c>
    </row>
    <row r="2327" spans="1:14" ht="14.4" thickBot="1" x14ac:dyDescent="0.35">
      <c r="A2327" s="4" t="s">
        <v>19</v>
      </c>
      <c r="B2327" s="4" t="s">
        <v>176</v>
      </c>
      <c r="C2327" s="4" t="s">
        <v>177</v>
      </c>
      <c r="D2327" s="4" t="s">
        <v>178</v>
      </c>
      <c r="E2327" s="4" t="s">
        <v>87</v>
      </c>
      <c r="F2327" s="4" t="s">
        <v>4207</v>
      </c>
      <c r="G2327" s="4" t="s">
        <v>4208</v>
      </c>
      <c r="H2327" s="4" t="s">
        <v>26</v>
      </c>
      <c r="I2327" s="4" t="s">
        <v>26</v>
      </c>
      <c r="J2327" s="4" t="s">
        <v>27</v>
      </c>
      <c r="K2327" s="4" t="s">
        <v>28</v>
      </c>
      <c r="L2327" s="4" t="s">
        <v>28</v>
      </c>
      <c r="M2327" s="4" t="s">
        <v>34</v>
      </c>
      <c r="N2327" s="4" t="s">
        <v>28</v>
      </c>
    </row>
    <row r="2328" spans="1:14" ht="14.4" thickBot="1" x14ac:dyDescent="0.35">
      <c r="A2328" s="4" t="s">
        <v>19</v>
      </c>
      <c r="B2328" s="4" t="s">
        <v>176</v>
      </c>
      <c r="C2328" s="4" t="s">
        <v>177</v>
      </c>
      <c r="D2328" s="4" t="s">
        <v>178</v>
      </c>
      <c r="E2328" s="4" t="s">
        <v>87</v>
      </c>
      <c r="F2328" s="4" t="s">
        <v>4209</v>
      </c>
      <c r="G2328" s="4" t="s">
        <v>4210</v>
      </c>
      <c r="H2328" s="4" t="s">
        <v>26</v>
      </c>
      <c r="I2328" s="4" t="s">
        <v>26</v>
      </c>
      <c r="J2328" s="4" t="s">
        <v>27</v>
      </c>
      <c r="K2328" s="4" t="s">
        <v>28</v>
      </c>
      <c r="L2328" s="4" t="s">
        <v>28</v>
      </c>
      <c r="M2328" s="4" t="s">
        <v>130</v>
      </c>
      <c r="N2328" s="4" t="s">
        <v>28</v>
      </c>
    </row>
    <row r="2329" spans="1:14" ht="14.4" thickBot="1" x14ac:dyDescent="0.35">
      <c r="A2329" s="4" t="s">
        <v>19</v>
      </c>
      <c r="B2329" s="4" t="s">
        <v>176</v>
      </c>
      <c r="C2329" s="4" t="s">
        <v>177</v>
      </c>
      <c r="D2329" s="4" t="s">
        <v>178</v>
      </c>
      <c r="E2329" s="4" t="s">
        <v>87</v>
      </c>
      <c r="F2329" s="4" t="s">
        <v>4211</v>
      </c>
      <c r="G2329" s="4" t="s">
        <v>4212</v>
      </c>
      <c r="H2329" s="4" t="s">
        <v>190</v>
      </c>
      <c r="I2329" s="4" t="s">
        <v>26</v>
      </c>
      <c r="J2329" s="5"/>
      <c r="K2329" s="5"/>
      <c r="L2329" s="5"/>
      <c r="M2329" s="4" t="s">
        <v>29</v>
      </c>
      <c r="N2329" s="5"/>
    </row>
    <row r="2330" spans="1:14" ht="14.4" thickBot="1" x14ac:dyDescent="0.35">
      <c r="A2330" s="4" t="s">
        <v>19</v>
      </c>
      <c r="B2330" s="4" t="s">
        <v>176</v>
      </c>
      <c r="C2330" s="4" t="s">
        <v>177</v>
      </c>
      <c r="D2330" s="4" t="s">
        <v>178</v>
      </c>
      <c r="E2330" s="4" t="s">
        <v>87</v>
      </c>
      <c r="F2330" s="4" t="s">
        <v>4213</v>
      </c>
      <c r="G2330" s="4" t="s">
        <v>4214</v>
      </c>
      <c r="H2330" s="4" t="s">
        <v>135</v>
      </c>
      <c r="I2330" s="4" t="s">
        <v>94</v>
      </c>
      <c r="J2330" s="5"/>
      <c r="K2330" s="5"/>
      <c r="L2330" s="5"/>
      <c r="M2330" s="4" t="s">
        <v>29</v>
      </c>
      <c r="N2330" s="5"/>
    </row>
    <row r="2331" spans="1:14" ht="14.4" thickBot="1" x14ac:dyDescent="0.35">
      <c r="A2331" s="4" t="s">
        <v>19</v>
      </c>
      <c r="B2331" s="4" t="s">
        <v>176</v>
      </c>
      <c r="C2331" s="4" t="s">
        <v>177</v>
      </c>
      <c r="D2331" s="4" t="s">
        <v>178</v>
      </c>
      <c r="E2331" s="4" t="s">
        <v>87</v>
      </c>
      <c r="F2331" s="4" t="s">
        <v>4215</v>
      </c>
      <c r="G2331" s="4" t="s">
        <v>4216</v>
      </c>
      <c r="H2331" s="4" t="s">
        <v>26</v>
      </c>
      <c r="I2331" s="4" t="s">
        <v>94</v>
      </c>
      <c r="J2331" s="4" t="s">
        <v>27</v>
      </c>
      <c r="K2331" s="4" t="s">
        <v>28</v>
      </c>
      <c r="L2331" s="4" t="s">
        <v>28</v>
      </c>
      <c r="M2331" s="4" t="s">
        <v>34</v>
      </c>
      <c r="N2331" s="4" t="s">
        <v>27</v>
      </c>
    </row>
    <row r="2332" spans="1:14" ht="14.4" thickBot="1" x14ac:dyDescent="0.35">
      <c r="A2332" s="4" t="s">
        <v>19</v>
      </c>
      <c r="B2332" s="4" t="s">
        <v>176</v>
      </c>
      <c r="C2332" s="4" t="s">
        <v>177</v>
      </c>
      <c r="D2332" s="4" t="s">
        <v>178</v>
      </c>
      <c r="E2332" s="4" t="s">
        <v>87</v>
      </c>
      <c r="F2332" s="4" t="s">
        <v>4217</v>
      </c>
      <c r="G2332" s="4" t="s">
        <v>4159</v>
      </c>
      <c r="H2332" s="4" t="s">
        <v>37</v>
      </c>
      <c r="I2332" s="4" t="s">
        <v>38</v>
      </c>
      <c r="J2332" s="4" t="s">
        <v>28</v>
      </c>
      <c r="K2332" s="4" t="s">
        <v>28</v>
      </c>
      <c r="L2332" s="4" t="s">
        <v>27</v>
      </c>
      <c r="M2332" s="4" t="s">
        <v>34</v>
      </c>
      <c r="N2332" s="4" t="s">
        <v>28</v>
      </c>
    </row>
    <row r="2333" spans="1:14" ht="14.4" thickBot="1" x14ac:dyDescent="0.35">
      <c r="A2333" s="4" t="s">
        <v>19</v>
      </c>
      <c r="B2333" s="4" t="s">
        <v>176</v>
      </c>
      <c r="C2333" s="4" t="s">
        <v>177</v>
      </c>
      <c r="D2333" s="4" t="s">
        <v>178</v>
      </c>
      <c r="E2333" s="4" t="s">
        <v>87</v>
      </c>
      <c r="F2333" s="4" t="s">
        <v>4218</v>
      </c>
      <c r="G2333" s="4" t="s">
        <v>4219</v>
      </c>
      <c r="H2333" s="4" t="s">
        <v>26</v>
      </c>
      <c r="I2333" s="4" t="s">
        <v>33</v>
      </c>
      <c r="J2333" s="4" t="s">
        <v>27</v>
      </c>
      <c r="K2333" s="4" t="s">
        <v>28</v>
      </c>
      <c r="L2333" s="4" t="s">
        <v>28</v>
      </c>
      <c r="M2333" s="4" t="s">
        <v>34</v>
      </c>
      <c r="N2333" s="4" t="s">
        <v>28</v>
      </c>
    </row>
    <row r="2334" spans="1:14" ht="14.4" thickBot="1" x14ac:dyDescent="0.35">
      <c r="A2334" s="4" t="s">
        <v>19</v>
      </c>
      <c r="B2334" s="4" t="s">
        <v>176</v>
      </c>
      <c r="C2334" s="4" t="s">
        <v>177</v>
      </c>
      <c r="D2334" s="4" t="s">
        <v>178</v>
      </c>
      <c r="E2334" s="4" t="s">
        <v>87</v>
      </c>
      <c r="F2334" s="4" t="s">
        <v>4220</v>
      </c>
      <c r="G2334" s="4" t="s">
        <v>2293</v>
      </c>
      <c r="H2334" s="4" t="s">
        <v>26</v>
      </c>
      <c r="I2334" s="4" t="s">
        <v>33</v>
      </c>
      <c r="J2334" s="4" t="s">
        <v>27</v>
      </c>
      <c r="K2334" s="4" t="s">
        <v>28</v>
      </c>
      <c r="L2334" s="4" t="s">
        <v>28</v>
      </c>
      <c r="M2334" s="4" t="s">
        <v>34</v>
      </c>
      <c r="N2334" s="4" t="s">
        <v>28</v>
      </c>
    </row>
    <row r="2335" spans="1:14" ht="14.4" thickBot="1" x14ac:dyDescent="0.35">
      <c r="A2335" s="4" t="s">
        <v>19</v>
      </c>
      <c r="B2335" s="4" t="s">
        <v>176</v>
      </c>
      <c r="C2335" s="4" t="s">
        <v>177</v>
      </c>
      <c r="D2335" s="4" t="s">
        <v>178</v>
      </c>
      <c r="E2335" s="4" t="s">
        <v>87</v>
      </c>
      <c r="F2335" s="4" t="s">
        <v>4221</v>
      </c>
      <c r="G2335" s="4" t="s">
        <v>4222</v>
      </c>
      <c r="H2335" s="4" t="s">
        <v>1005</v>
      </c>
      <c r="I2335" s="4" t="s">
        <v>38</v>
      </c>
      <c r="J2335" s="4" t="s">
        <v>28</v>
      </c>
      <c r="K2335" s="4" t="s">
        <v>28</v>
      </c>
      <c r="L2335" s="4" t="s">
        <v>27</v>
      </c>
      <c r="M2335" s="4" t="s">
        <v>34</v>
      </c>
      <c r="N2335" s="4" t="s">
        <v>28</v>
      </c>
    </row>
    <row r="2336" spans="1:14" ht="14.4" thickBot="1" x14ac:dyDescent="0.35">
      <c r="A2336" s="4" t="s">
        <v>19</v>
      </c>
      <c r="B2336" s="4" t="s">
        <v>176</v>
      </c>
      <c r="C2336" s="4" t="s">
        <v>177</v>
      </c>
      <c r="D2336" s="4" t="s">
        <v>178</v>
      </c>
      <c r="E2336" s="4" t="s">
        <v>87</v>
      </c>
      <c r="F2336" s="4" t="s">
        <v>4223</v>
      </c>
      <c r="G2336" s="4" t="s">
        <v>4224</v>
      </c>
      <c r="H2336" s="4" t="s">
        <v>69</v>
      </c>
      <c r="I2336" s="4" t="s">
        <v>122</v>
      </c>
      <c r="J2336" s="4" t="s">
        <v>28</v>
      </c>
      <c r="K2336" s="4" t="s">
        <v>27</v>
      </c>
      <c r="L2336" s="4" t="s">
        <v>28</v>
      </c>
      <c r="M2336" s="4" t="s">
        <v>34</v>
      </c>
      <c r="N2336" s="4" t="s">
        <v>28</v>
      </c>
    </row>
    <row r="2337" spans="1:14" ht="14.4" thickBot="1" x14ac:dyDescent="0.35">
      <c r="A2337" s="4" t="s">
        <v>19</v>
      </c>
      <c r="B2337" s="4" t="s">
        <v>176</v>
      </c>
      <c r="C2337" s="4" t="s">
        <v>177</v>
      </c>
      <c r="D2337" s="4" t="s">
        <v>178</v>
      </c>
      <c r="E2337" s="4" t="s">
        <v>87</v>
      </c>
      <c r="F2337" s="4" t="s">
        <v>4874</v>
      </c>
      <c r="G2337" s="4" t="s">
        <v>4875</v>
      </c>
      <c r="H2337" s="4" t="s">
        <v>26</v>
      </c>
      <c r="I2337" s="4" t="s">
        <v>26</v>
      </c>
      <c r="J2337" s="4" t="s">
        <v>27</v>
      </c>
      <c r="K2337" s="4" t="s">
        <v>28</v>
      </c>
      <c r="L2337" s="4" t="s">
        <v>28</v>
      </c>
      <c r="M2337" s="4" t="s">
        <v>29</v>
      </c>
      <c r="N2337" s="4" t="s">
        <v>28</v>
      </c>
    </row>
    <row r="2338" spans="1:14" ht="14.4" thickBot="1" x14ac:dyDescent="0.35">
      <c r="A2338" s="4" t="s">
        <v>19</v>
      </c>
      <c r="B2338" s="4" t="s">
        <v>176</v>
      </c>
      <c r="C2338" s="4" t="s">
        <v>177</v>
      </c>
      <c r="D2338" s="4" t="s">
        <v>178</v>
      </c>
      <c r="E2338" s="4" t="s">
        <v>87</v>
      </c>
      <c r="F2338" s="4" t="s">
        <v>4876</v>
      </c>
      <c r="G2338" s="4" t="s">
        <v>4877</v>
      </c>
      <c r="H2338" s="4" t="s">
        <v>135</v>
      </c>
      <c r="I2338" s="4" t="s">
        <v>38</v>
      </c>
      <c r="J2338" s="4" t="s">
        <v>28</v>
      </c>
      <c r="K2338" s="4" t="s">
        <v>28</v>
      </c>
      <c r="L2338" s="4" t="s">
        <v>27</v>
      </c>
      <c r="M2338" s="4" t="s">
        <v>375</v>
      </c>
      <c r="N2338" s="4" t="s">
        <v>28</v>
      </c>
    </row>
    <row r="2339" spans="1:14" ht="14.4" thickBot="1" x14ac:dyDescent="0.35">
      <c r="A2339" s="4" t="s">
        <v>19</v>
      </c>
      <c r="B2339" s="4" t="s">
        <v>176</v>
      </c>
      <c r="C2339" s="4" t="s">
        <v>177</v>
      </c>
      <c r="D2339" s="4" t="s">
        <v>178</v>
      </c>
      <c r="E2339" s="4" t="s">
        <v>87</v>
      </c>
      <c r="F2339" s="4" t="s">
        <v>4878</v>
      </c>
      <c r="G2339" s="4" t="s">
        <v>4879</v>
      </c>
      <c r="H2339" s="4" t="s">
        <v>26</v>
      </c>
      <c r="I2339" s="4" t="s">
        <v>33</v>
      </c>
      <c r="J2339" s="4" t="s">
        <v>27</v>
      </c>
      <c r="K2339" s="4" t="s">
        <v>28</v>
      </c>
      <c r="L2339" s="4" t="s">
        <v>28</v>
      </c>
      <c r="M2339" s="4" t="s">
        <v>34</v>
      </c>
      <c r="N2339" s="4" t="s">
        <v>28</v>
      </c>
    </row>
    <row r="2340" spans="1:14" ht="14.4" thickBot="1" x14ac:dyDescent="0.35">
      <c r="A2340" s="4" t="s">
        <v>19</v>
      </c>
      <c r="B2340" s="4" t="s">
        <v>176</v>
      </c>
      <c r="C2340" s="4" t="s">
        <v>177</v>
      </c>
      <c r="D2340" s="4" t="s">
        <v>178</v>
      </c>
      <c r="E2340" s="4" t="s">
        <v>87</v>
      </c>
      <c r="F2340" s="4" t="s">
        <v>4880</v>
      </c>
      <c r="G2340" s="4" t="s">
        <v>4554</v>
      </c>
      <c r="H2340" s="4" t="s">
        <v>26</v>
      </c>
      <c r="I2340" s="4" t="s">
        <v>33</v>
      </c>
      <c r="J2340" s="4" t="s">
        <v>27</v>
      </c>
      <c r="K2340" s="4" t="s">
        <v>28</v>
      </c>
      <c r="L2340" s="4" t="s">
        <v>28</v>
      </c>
      <c r="M2340" s="4" t="s">
        <v>34</v>
      </c>
      <c r="N2340" s="4" t="s">
        <v>28</v>
      </c>
    </row>
    <row r="2341" spans="1:14" ht="14.4" thickBot="1" x14ac:dyDescent="0.35">
      <c r="A2341" s="4" t="s">
        <v>19</v>
      </c>
      <c r="B2341" s="4" t="s">
        <v>176</v>
      </c>
      <c r="C2341" s="4" t="s">
        <v>177</v>
      </c>
      <c r="D2341" s="4" t="s">
        <v>178</v>
      </c>
      <c r="E2341" s="4" t="s">
        <v>87</v>
      </c>
      <c r="F2341" s="4" t="s">
        <v>4881</v>
      </c>
      <c r="G2341" s="4" t="s">
        <v>4882</v>
      </c>
      <c r="H2341" s="4" t="s">
        <v>94</v>
      </c>
      <c r="I2341" s="4" t="s">
        <v>37</v>
      </c>
      <c r="J2341" s="4" t="s">
        <v>28</v>
      </c>
      <c r="K2341" s="4" t="s">
        <v>27</v>
      </c>
      <c r="L2341" s="4" t="s">
        <v>28</v>
      </c>
      <c r="M2341" s="4" t="s">
        <v>34</v>
      </c>
      <c r="N2341" s="4" t="s">
        <v>28</v>
      </c>
    </row>
    <row r="2342" spans="1:14" ht="14.4" thickBot="1" x14ac:dyDescent="0.35">
      <c r="A2342" s="4" t="s">
        <v>19</v>
      </c>
      <c r="B2342" s="4" t="s">
        <v>176</v>
      </c>
      <c r="C2342" s="4" t="s">
        <v>177</v>
      </c>
      <c r="D2342" s="4" t="s">
        <v>178</v>
      </c>
      <c r="E2342" s="4" t="s">
        <v>87</v>
      </c>
      <c r="F2342" s="4" t="s">
        <v>4883</v>
      </c>
      <c r="G2342" s="4" t="s">
        <v>4884</v>
      </c>
      <c r="H2342" s="4" t="s">
        <v>26</v>
      </c>
      <c r="I2342" s="4" t="s">
        <v>26</v>
      </c>
      <c r="J2342" s="4" t="s">
        <v>27</v>
      </c>
      <c r="K2342" s="4" t="s">
        <v>28</v>
      </c>
      <c r="L2342" s="4" t="s">
        <v>28</v>
      </c>
      <c r="M2342" s="4" t="s">
        <v>130</v>
      </c>
      <c r="N2342" s="4" t="s">
        <v>28</v>
      </c>
    </row>
    <row r="2343" spans="1:14" ht="14.4" thickBot="1" x14ac:dyDescent="0.35">
      <c r="A2343" s="4" t="s">
        <v>19</v>
      </c>
      <c r="B2343" s="4" t="s">
        <v>176</v>
      </c>
      <c r="C2343" s="4" t="s">
        <v>177</v>
      </c>
      <c r="D2343" s="4" t="s">
        <v>178</v>
      </c>
      <c r="E2343" s="4" t="s">
        <v>87</v>
      </c>
      <c r="F2343" s="4" t="s">
        <v>4885</v>
      </c>
      <c r="G2343" s="4" t="s">
        <v>4886</v>
      </c>
      <c r="H2343" s="4" t="s">
        <v>26</v>
      </c>
      <c r="I2343" s="4" t="s">
        <v>26</v>
      </c>
      <c r="J2343" s="4" t="s">
        <v>27</v>
      </c>
      <c r="K2343" s="4" t="s">
        <v>28</v>
      </c>
      <c r="L2343" s="4" t="s">
        <v>28</v>
      </c>
      <c r="M2343" s="4" t="s">
        <v>130</v>
      </c>
      <c r="N2343" s="4" t="s">
        <v>28</v>
      </c>
    </row>
    <row r="2344" spans="1:14" ht="14.4" thickBot="1" x14ac:dyDescent="0.35">
      <c r="A2344" s="4" t="s">
        <v>19</v>
      </c>
      <c r="B2344" s="4" t="s">
        <v>176</v>
      </c>
      <c r="C2344" s="4" t="s">
        <v>177</v>
      </c>
      <c r="D2344" s="4" t="s">
        <v>178</v>
      </c>
      <c r="E2344" s="4" t="s">
        <v>87</v>
      </c>
      <c r="F2344" s="4" t="s">
        <v>4887</v>
      </c>
      <c r="G2344" s="4" t="s">
        <v>4888</v>
      </c>
      <c r="H2344" s="4" t="s">
        <v>26</v>
      </c>
      <c r="I2344" s="4" t="s">
        <v>33</v>
      </c>
      <c r="J2344" s="4" t="s">
        <v>27</v>
      </c>
      <c r="K2344" s="4" t="s">
        <v>28</v>
      </c>
      <c r="L2344" s="4" t="s">
        <v>28</v>
      </c>
      <c r="M2344" s="4" t="s">
        <v>34</v>
      </c>
      <c r="N2344" s="4" t="s">
        <v>28</v>
      </c>
    </row>
    <row r="2345" spans="1:14" ht="14.4" thickBot="1" x14ac:dyDescent="0.35">
      <c r="A2345" s="4" t="s">
        <v>19</v>
      </c>
      <c r="B2345" s="4" t="s">
        <v>176</v>
      </c>
      <c r="C2345" s="4" t="s">
        <v>177</v>
      </c>
      <c r="D2345" s="4" t="s">
        <v>178</v>
      </c>
      <c r="E2345" s="4" t="s">
        <v>87</v>
      </c>
      <c r="F2345" s="4" t="s">
        <v>4889</v>
      </c>
      <c r="G2345" s="4" t="s">
        <v>4890</v>
      </c>
      <c r="H2345" s="4" t="s">
        <v>26</v>
      </c>
      <c r="I2345" s="4" t="s">
        <v>33</v>
      </c>
      <c r="J2345" s="4" t="s">
        <v>27</v>
      </c>
      <c r="K2345" s="4" t="s">
        <v>28</v>
      </c>
      <c r="L2345" s="4" t="s">
        <v>28</v>
      </c>
      <c r="M2345" s="4" t="s">
        <v>34</v>
      </c>
      <c r="N2345" s="4" t="s">
        <v>28</v>
      </c>
    </row>
    <row r="2346" spans="1:14" ht="14.4" thickBot="1" x14ac:dyDescent="0.35">
      <c r="A2346" s="4" t="s">
        <v>19</v>
      </c>
      <c r="B2346" s="4" t="s">
        <v>176</v>
      </c>
      <c r="C2346" s="4" t="s">
        <v>177</v>
      </c>
      <c r="D2346" s="4" t="s">
        <v>178</v>
      </c>
      <c r="E2346" s="4" t="s">
        <v>87</v>
      </c>
      <c r="F2346" s="4" t="s">
        <v>4891</v>
      </c>
      <c r="G2346" s="4" t="s">
        <v>4892</v>
      </c>
      <c r="H2346" s="4" t="s">
        <v>135</v>
      </c>
      <c r="I2346" s="4" t="s">
        <v>33</v>
      </c>
      <c r="J2346" s="4" t="s">
        <v>27</v>
      </c>
      <c r="K2346" s="4" t="s">
        <v>28</v>
      </c>
      <c r="L2346" s="4" t="s">
        <v>28</v>
      </c>
      <c r="M2346" s="4" t="s">
        <v>34</v>
      </c>
      <c r="N2346" s="4" t="s">
        <v>28</v>
      </c>
    </row>
    <row r="2347" spans="1:14" ht="14.4" thickBot="1" x14ac:dyDescent="0.35">
      <c r="A2347" s="4" t="s">
        <v>19</v>
      </c>
      <c r="B2347" s="4" t="s">
        <v>176</v>
      </c>
      <c r="C2347" s="4" t="s">
        <v>177</v>
      </c>
      <c r="D2347" s="4" t="s">
        <v>178</v>
      </c>
      <c r="E2347" s="4" t="s">
        <v>87</v>
      </c>
      <c r="F2347" s="4" t="s">
        <v>4893</v>
      </c>
      <c r="G2347" s="4" t="s">
        <v>4894</v>
      </c>
      <c r="H2347" s="4" t="s">
        <v>26</v>
      </c>
      <c r="I2347" s="4" t="s">
        <v>33</v>
      </c>
      <c r="J2347" s="4" t="s">
        <v>27</v>
      </c>
      <c r="K2347" s="4" t="s">
        <v>28</v>
      </c>
      <c r="L2347" s="4" t="s">
        <v>28</v>
      </c>
      <c r="M2347" s="4" t="s">
        <v>34</v>
      </c>
      <c r="N2347" s="4" t="s">
        <v>28</v>
      </c>
    </row>
    <row r="2348" spans="1:14" ht="14.4" thickBot="1" x14ac:dyDescent="0.35">
      <c r="A2348" s="4" t="s">
        <v>19</v>
      </c>
      <c r="B2348" s="4" t="s">
        <v>176</v>
      </c>
      <c r="C2348" s="4" t="s">
        <v>177</v>
      </c>
      <c r="D2348" s="4" t="s">
        <v>178</v>
      </c>
      <c r="E2348" s="4" t="s">
        <v>87</v>
      </c>
      <c r="F2348" s="4" t="s">
        <v>783</v>
      </c>
      <c r="G2348" s="4" t="s">
        <v>4895</v>
      </c>
      <c r="H2348" s="4" t="s">
        <v>69</v>
      </c>
      <c r="I2348" s="4" t="s">
        <v>94</v>
      </c>
      <c r="J2348" s="4" t="s">
        <v>28</v>
      </c>
      <c r="K2348" s="4" t="s">
        <v>27</v>
      </c>
      <c r="L2348" s="4" t="s">
        <v>28</v>
      </c>
      <c r="M2348" s="4" t="s">
        <v>34</v>
      </c>
      <c r="N2348" s="4" t="s">
        <v>28</v>
      </c>
    </row>
    <row r="2349" spans="1:14" ht="14.4" thickBot="1" x14ac:dyDescent="0.35">
      <c r="A2349" s="4" t="s">
        <v>19</v>
      </c>
      <c r="B2349" s="4" t="s">
        <v>176</v>
      </c>
      <c r="C2349" s="4" t="s">
        <v>177</v>
      </c>
      <c r="D2349" s="4" t="s">
        <v>178</v>
      </c>
      <c r="E2349" s="4" t="s">
        <v>87</v>
      </c>
      <c r="F2349" s="4" t="s">
        <v>4896</v>
      </c>
      <c r="G2349" s="4" t="s">
        <v>2905</v>
      </c>
      <c r="H2349" s="4" t="s">
        <v>26</v>
      </c>
      <c r="I2349" s="4" t="s">
        <v>33</v>
      </c>
      <c r="J2349" s="4" t="s">
        <v>27</v>
      </c>
      <c r="K2349" s="4" t="s">
        <v>28</v>
      </c>
      <c r="L2349" s="4" t="s">
        <v>28</v>
      </c>
      <c r="M2349" s="4" t="s">
        <v>34</v>
      </c>
      <c r="N2349" s="4" t="s">
        <v>28</v>
      </c>
    </row>
    <row r="2350" spans="1:14" ht="14.4" thickBot="1" x14ac:dyDescent="0.35">
      <c r="A2350" s="4" t="s">
        <v>19</v>
      </c>
      <c r="B2350" s="4" t="s">
        <v>176</v>
      </c>
      <c r="C2350" s="4" t="s">
        <v>177</v>
      </c>
      <c r="D2350" s="4" t="s">
        <v>178</v>
      </c>
      <c r="E2350" s="4" t="s">
        <v>87</v>
      </c>
      <c r="F2350" s="4" t="s">
        <v>4897</v>
      </c>
      <c r="G2350" s="4" t="s">
        <v>3175</v>
      </c>
      <c r="H2350" s="4" t="s">
        <v>26</v>
      </c>
      <c r="I2350" s="4" t="s">
        <v>33</v>
      </c>
      <c r="J2350" s="4" t="s">
        <v>27</v>
      </c>
      <c r="K2350" s="4" t="s">
        <v>28</v>
      </c>
      <c r="L2350" s="4" t="s">
        <v>28</v>
      </c>
      <c r="M2350" s="4" t="s">
        <v>34</v>
      </c>
      <c r="N2350" s="4" t="s">
        <v>28</v>
      </c>
    </row>
    <row r="2351" spans="1:14" ht="14.4" thickBot="1" x14ac:dyDescent="0.35">
      <c r="A2351" s="4" t="s">
        <v>19</v>
      </c>
      <c r="B2351" s="4" t="s">
        <v>176</v>
      </c>
      <c r="C2351" s="4" t="s">
        <v>177</v>
      </c>
      <c r="D2351" s="4" t="s">
        <v>178</v>
      </c>
      <c r="E2351" s="4" t="s">
        <v>87</v>
      </c>
      <c r="F2351" s="4" t="s">
        <v>5591</v>
      </c>
      <c r="G2351" s="4" t="s">
        <v>5592</v>
      </c>
      <c r="H2351" s="4" t="s">
        <v>26</v>
      </c>
      <c r="I2351" s="4" t="s">
        <v>26</v>
      </c>
      <c r="J2351" s="4" t="s">
        <v>27</v>
      </c>
      <c r="K2351" s="4" t="s">
        <v>28</v>
      </c>
      <c r="L2351" s="4" t="s">
        <v>28</v>
      </c>
      <c r="M2351" s="4" t="s">
        <v>29</v>
      </c>
      <c r="N2351" s="4" t="s">
        <v>28</v>
      </c>
    </row>
    <row r="2352" spans="1:14" ht="14.4" thickBot="1" x14ac:dyDescent="0.35">
      <c r="A2352" s="4" t="s">
        <v>19</v>
      </c>
      <c r="B2352" s="4" t="s">
        <v>176</v>
      </c>
      <c r="C2352" s="4" t="s">
        <v>177</v>
      </c>
      <c r="D2352" s="4" t="s">
        <v>178</v>
      </c>
      <c r="E2352" s="4" t="s">
        <v>87</v>
      </c>
      <c r="F2352" s="4" t="s">
        <v>5593</v>
      </c>
      <c r="G2352" s="4" t="s">
        <v>5594</v>
      </c>
      <c r="H2352" s="4" t="s">
        <v>26</v>
      </c>
      <c r="I2352" s="4" t="s">
        <v>33</v>
      </c>
      <c r="J2352" s="4" t="s">
        <v>27</v>
      </c>
      <c r="K2352" s="4" t="s">
        <v>28</v>
      </c>
      <c r="L2352" s="4" t="s">
        <v>28</v>
      </c>
      <c r="M2352" s="4" t="s">
        <v>34</v>
      </c>
      <c r="N2352" s="4" t="s">
        <v>28</v>
      </c>
    </row>
    <row r="2353" spans="1:14" ht="14.4" thickBot="1" x14ac:dyDescent="0.35">
      <c r="A2353" s="4" t="s">
        <v>19</v>
      </c>
      <c r="B2353" s="4" t="s">
        <v>176</v>
      </c>
      <c r="C2353" s="4" t="s">
        <v>177</v>
      </c>
      <c r="D2353" s="4" t="s">
        <v>178</v>
      </c>
      <c r="E2353" s="4" t="s">
        <v>87</v>
      </c>
      <c r="F2353" s="4" t="s">
        <v>5595</v>
      </c>
      <c r="G2353" s="4" t="s">
        <v>5596</v>
      </c>
      <c r="H2353" s="4" t="s">
        <v>26</v>
      </c>
      <c r="I2353" s="4" t="s">
        <v>33</v>
      </c>
      <c r="J2353" s="4" t="s">
        <v>27</v>
      </c>
      <c r="K2353" s="4" t="s">
        <v>28</v>
      </c>
      <c r="L2353" s="4" t="s">
        <v>28</v>
      </c>
      <c r="M2353" s="4" t="s">
        <v>34</v>
      </c>
      <c r="N2353" s="4" t="s">
        <v>28</v>
      </c>
    </row>
    <row r="2354" spans="1:14" ht="14.4" thickBot="1" x14ac:dyDescent="0.35">
      <c r="A2354" s="4" t="s">
        <v>19</v>
      </c>
      <c r="B2354" s="4" t="s">
        <v>176</v>
      </c>
      <c r="C2354" s="4" t="s">
        <v>177</v>
      </c>
      <c r="D2354" s="4" t="s">
        <v>178</v>
      </c>
      <c r="E2354" s="4" t="s">
        <v>87</v>
      </c>
      <c r="F2354" s="4" t="s">
        <v>5597</v>
      </c>
      <c r="G2354" s="4" t="s">
        <v>5598</v>
      </c>
      <c r="H2354" s="4" t="s">
        <v>26</v>
      </c>
      <c r="I2354" s="4" t="s">
        <v>26</v>
      </c>
      <c r="J2354" s="4" t="s">
        <v>27</v>
      </c>
      <c r="K2354" s="4" t="s">
        <v>28</v>
      </c>
      <c r="L2354" s="4" t="s">
        <v>28</v>
      </c>
      <c r="M2354" s="4" t="s">
        <v>29</v>
      </c>
      <c r="N2354" s="4" t="s">
        <v>28</v>
      </c>
    </row>
    <row r="2355" spans="1:14" ht="14.4" thickBot="1" x14ac:dyDescent="0.35">
      <c r="A2355" s="4" t="s">
        <v>19</v>
      </c>
      <c r="B2355" s="4" t="s">
        <v>176</v>
      </c>
      <c r="C2355" s="4" t="s">
        <v>177</v>
      </c>
      <c r="D2355" s="4" t="s">
        <v>178</v>
      </c>
      <c r="E2355" s="4" t="s">
        <v>87</v>
      </c>
      <c r="F2355" s="4" t="s">
        <v>5599</v>
      </c>
      <c r="G2355" s="4" t="s">
        <v>5600</v>
      </c>
      <c r="H2355" s="4" t="s">
        <v>135</v>
      </c>
      <c r="I2355" s="4" t="s">
        <v>38</v>
      </c>
      <c r="J2355" s="4" t="s">
        <v>28</v>
      </c>
      <c r="K2355" s="4" t="s">
        <v>28</v>
      </c>
      <c r="L2355" s="4" t="s">
        <v>27</v>
      </c>
      <c r="M2355" s="4" t="s">
        <v>34</v>
      </c>
      <c r="N2355" s="4" t="s">
        <v>27</v>
      </c>
    </row>
    <row r="2356" spans="1:14" ht="14.4" thickBot="1" x14ac:dyDescent="0.35">
      <c r="A2356" s="4" t="s">
        <v>19</v>
      </c>
      <c r="B2356" s="4" t="s">
        <v>176</v>
      </c>
      <c r="C2356" s="4" t="s">
        <v>177</v>
      </c>
      <c r="D2356" s="4" t="s">
        <v>178</v>
      </c>
      <c r="E2356" s="4" t="s">
        <v>87</v>
      </c>
      <c r="F2356" s="4" t="s">
        <v>5601</v>
      </c>
      <c r="G2356" s="4" t="s">
        <v>5602</v>
      </c>
      <c r="H2356" s="4" t="s">
        <v>69</v>
      </c>
      <c r="I2356" s="4" t="s">
        <v>94</v>
      </c>
      <c r="J2356" s="4" t="s">
        <v>28</v>
      </c>
      <c r="K2356" s="4" t="s">
        <v>27</v>
      </c>
      <c r="L2356" s="4" t="s">
        <v>28</v>
      </c>
      <c r="M2356" s="4" t="s">
        <v>34</v>
      </c>
      <c r="N2356" s="4" t="s">
        <v>28</v>
      </c>
    </row>
    <row r="2357" spans="1:14" ht="14.4" thickBot="1" x14ac:dyDescent="0.35">
      <c r="A2357" s="4" t="s">
        <v>19</v>
      </c>
      <c r="B2357" s="4" t="s">
        <v>176</v>
      </c>
      <c r="C2357" s="4" t="s">
        <v>177</v>
      </c>
      <c r="D2357" s="4" t="s">
        <v>178</v>
      </c>
      <c r="E2357" s="4" t="s">
        <v>87</v>
      </c>
      <c r="F2357" s="4" t="s">
        <v>5603</v>
      </c>
      <c r="G2357" s="4" t="s">
        <v>5604</v>
      </c>
      <c r="H2357" s="4" t="s">
        <v>69</v>
      </c>
      <c r="I2357" s="4" t="s">
        <v>94</v>
      </c>
      <c r="J2357" s="4" t="s">
        <v>28</v>
      </c>
      <c r="K2357" s="4" t="s">
        <v>27</v>
      </c>
      <c r="L2357" s="4" t="s">
        <v>28</v>
      </c>
      <c r="M2357" s="4" t="s">
        <v>34</v>
      </c>
      <c r="N2357" s="4" t="s">
        <v>28</v>
      </c>
    </row>
    <row r="2358" spans="1:14" ht="14.4" thickBot="1" x14ac:dyDescent="0.35">
      <c r="A2358" s="4" t="s">
        <v>19</v>
      </c>
      <c r="B2358" s="4" t="s">
        <v>176</v>
      </c>
      <c r="C2358" s="4" t="s">
        <v>177</v>
      </c>
      <c r="D2358" s="4" t="s">
        <v>178</v>
      </c>
      <c r="E2358" s="4" t="s">
        <v>87</v>
      </c>
      <c r="F2358" s="4" t="s">
        <v>5605</v>
      </c>
      <c r="G2358" s="4" t="s">
        <v>5606</v>
      </c>
      <c r="H2358" s="4" t="s">
        <v>26</v>
      </c>
      <c r="I2358" s="4" t="s">
        <v>33</v>
      </c>
      <c r="J2358" s="4" t="s">
        <v>27</v>
      </c>
      <c r="K2358" s="4" t="s">
        <v>28</v>
      </c>
      <c r="L2358" s="4" t="s">
        <v>28</v>
      </c>
      <c r="M2358" s="4" t="s">
        <v>34</v>
      </c>
      <c r="N2358" s="4" t="s">
        <v>28</v>
      </c>
    </row>
    <row r="2359" spans="1:14" ht="14.4" thickBot="1" x14ac:dyDescent="0.35">
      <c r="A2359" s="4" t="s">
        <v>19</v>
      </c>
      <c r="B2359" s="4" t="s">
        <v>176</v>
      </c>
      <c r="C2359" s="4" t="s">
        <v>177</v>
      </c>
      <c r="D2359" s="4" t="s">
        <v>178</v>
      </c>
      <c r="E2359" s="4" t="s">
        <v>87</v>
      </c>
      <c r="F2359" s="4" t="s">
        <v>5607</v>
      </c>
      <c r="G2359" s="4" t="s">
        <v>5608</v>
      </c>
      <c r="H2359" s="4" t="s">
        <v>26</v>
      </c>
      <c r="I2359" s="4" t="s">
        <v>33</v>
      </c>
      <c r="J2359" s="4" t="s">
        <v>27</v>
      </c>
      <c r="K2359" s="4" t="s">
        <v>28</v>
      </c>
      <c r="L2359" s="4" t="s">
        <v>28</v>
      </c>
      <c r="M2359" s="4" t="s">
        <v>34</v>
      </c>
      <c r="N2359" s="4" t="s">
        <v>28</v>
      </c>
    </row>
    <row r="2360" spans="1:14" ht="14.4" thickBot="1" x14ac:dyDescent="0.35">
      <c r="A2360" s="4" t="s">
        <v>19</v>
      </c>
      <c r="B2360" s="4" t="s">
        <v>2496</v>
      </c>
      <c r="C2360" s="4" t="s">
        <v>2497</v>
      </c>
      <c r="D2360" s="4" t="s">
        <v>2498</v>
      </c>
      <c r="E2360" s="4" t="s">
        <v>48</v>
      </c>
      <c r="F2360" s="4" t="s">
        <v>2499</v>
      </c>
      <c r="G2360" s="4" t="s">
        <v>2500</v>
      </c>
      <c r="H2360" s="4" t="s">
        <v>26</v>
      </c>
      <c r="I2360" s="4" t="s">
        <v>26</v>
      </c>
      <c r="J2360" s="5"/>
      <c r="K2360" s="5"/>
      <c r="L2360" s="5"/>
      <c r="M2360" s="4" t="s">
        <v>29</v>
      </c>
      <c r="N2360" s="5"/>
    </row>
    <row r="2361" spans="1:14" ht="14.4" thickBot="1" x14ac:dyDescent="0.35">
      <c r="A2361" s="4" t="s">
        <v>19</v>
      </c>
      <c r="B2361" s="4" t="s">
        <v>2496</v>
      </c>
      <c r="C2361" s="4" t="s">
        <v>2497</v>
      </c>
      <c r="D2361" s="4" t="s">
        <v>2498</v>
      </c>
      <c r="E2361" s="4" t="s">
        <v>48</v>
      </c>
      <c r="F2361" s="4" t="s">
        <v>3987</v>
      </c>
      <c r="G2361" s="4" t="s">
        <v>3988</v>
      </c>
      <c r="H2361" s="4" t="s">
        <v>26</v>
      </c>
      <c r="I2361" s="4" t="s">
        <v>38</v>
      </c>
      <c r="J2361" s="4" t="s">
        <v>28</v>
      </c>
      <c r="K2361" s="4" t="s">
        <v>28</v>
      </c>
      <c r="L2361" s="4" t="s">
        <v>27</v>
      </c>
      <c r="M2361" s="4" t="s">
        <v>34</v>
      </c>
      <c r="N2361" s="4" t="s">
        <v>28</v>
      </c>
    </row>
    <row r="2362" spans="1:14" ht="14.4" thickBot="1" x14ac:dyDescent="0.35">
      <c r="A2362" s="4" t="s">
        <v>19</v>
      </c>
      <c r="B2362" s="4" t="s">
        <v>203</v>
      </c>
      <c r="C2362" s="4" t="s">
        <v>204</v>
      </c>
      <c r="D2362" s="4" t="s">
        <v>205</v>
      </c>
      <c r="E2362" s="4" t="s">
        <v>42</v>
      </c>
      <c r="F2362" s="4" t="s">
        <v>206</v>
      </c>
      <c r="G2362" s="4" t="s">
        <v>207</v>
      </c>
      <c r="H2362" s="4" t="s">
        <v>135</v>
      </c>
      <c r="I2362" s="4" t="s">
        <v>69</v>
      </c>
      <c r="J2362" s="4" t="s">
        <v>27</v>
      </c>
      <c r="K2362" s="4" t="s">
        <v>28</v>
      </c>
      <c r="L2362" s="4" t="s">
        <v>28</v>
      </c>
      <c r="M2362" s="4" t="s">
        <v>34</v>
      </c>
      <c r="N2362" s="4" t="s">
        <v>28</v>
      </c>
    </row>
    <row r="2363" spans="1:14" ht="14.4" thickBot="1" x14ac:dyDescent="0.35">
      <c r="A2363" s="4" t="s">
        <v>19</v>
      </c>
      <c r="B2363" s="4" t="s">
        <v>203</v>
      </c>
      <c r="C2363" s="4" t="s">
        <v>204</v>
      </c>
      <c r="D2363" s="4" t="s">
        <v>205</v>
      </c>
      <c r="E2363" s="4" t="s">
        <v>42</v>
      </c>
      <c r="F2363" s="4" t="s">
        <v>1164</v>
      </c>
      <c r="G2363" s="4" t="s">
        <v>1165</v>
      </c>
      <c r="H2363" s="4" t="s">
        <v>37</v>
      </c>
      <c r="I2363" s="4" t="s">
        <v>38</v>
      </c>
      <c r="J2363" s="4" t="s">
        <v>28</v>
      </c>
      <c r="K2363" s="4" t="s">
        <v>28</v>
      </c>
      <c r="L2363" s="4" t="s">
        <v>27</v>
      </c>
      <c r="M2363" s="4" t="s">
        <v>34</v>
      </c>
      <c r="N2363" s="4" t="s">
        <v>28</v>
      </c>
    </row>
    <row r="2364" spans="1:14" ht="14.4" thickBot="1" x14ac:dyDescent="0.35">
      <c r="A2364" s="4" t="s">
        <v>19</v>
      </c>
      <c r="B2364" s="4" t="s">
        <v>203</v>
      </c>
      <c r="C2364" s="4" t="s">
        <v>204</v>
      </c>
      <c r="D2364" s="4" t="s">
        <v>205</v>
      </c>
      <c r="E2364" s="4" t="s">
        <v>42</v>
      </c>
      <c r="F2364" s="4" t="s">
        <v>1986</v>
      </c>
      <c r="G2364" s="4" t="s">
        <v>1105</v>
      </c>
      <c r="H2364" s="4" t="s">
        <v>26</v>
      </c>
      <c r="I2364" s="4" t="s">
        <v>26</v>
      </c>
      <c r="J2364" s="4" t="s">
        <v>27</v>
      </c>
      <c r="K2364" s="4" t="s">
        <v>28</v>
      </c>
      <c r="L2364" s="4" t="s">
        <v>28</v>
      </c>
      <c r="M2364" s="4" t="s">
        <v>34</v>
      </c>
      <c r="N2364" s="4" t="s">
        <v>28</v>
      </c>
    </row>
    <row r="2365" spans="1:14" ht="14.4" thickBot="1" x14ac:dyDescent="0.35">
      <c r="A2365" s="4" t="s">
        <v>19</v>
      </c>
      <c r="B2365" s="4" t="s">
        <v>203</v>
      </c>
      <c r="C2365" s="4" t="s">
        <v>204</v>
      </c>
      <c r="D2365" s="4" t="s">
        <v>205</v>
      </c>
      <c r="E2365" s="4" t="s">
        <v>42</v>
      </c>
      <c r="F2365" s="4" t="s">
        <v>2633</v>
      </c>
      <c r="G2365" s="4" t="s">
        <v>2634</v>
      </c>
      <c r="H2365" s="4" t="s">
        <v>122</v>
      </c>
      <c r="I2365" s="4" t="s">
        <v>38</v>
      </c>
      <c r="J2365" s="4" t="s">
        <v>28</v>
      </c>
      <c r="K2365" s="4" t="s">
        <v>28</v>
      </c>
      <c r="L2365" s="4" t="s">
        <v>27</v>
      </c>
      <c r="M2365" s="4" t="s">
        <v>29</v>
      </c>
      <c r="N2365" s="4" t="s">
        <v>28</v>
      </c>
    </row>
    <row r="2366" spans="1:14" ht="14.4" thickBot="1" x14ac:dyDescent="0.35">
      <c r="A2366" s="4" t="s">
        <v>19</v>
      </c>
      <c r="B2366" s="4" t="s">
        <v>203</v>
      </c>
      <c r="C2366" s="4" t="s">
        <v>204</v>
      </c>
      <c r="D2366" s="4" t="s">
        <v>205</v>
      </c>
      <c r="E2366" s="4" t="s">
        <v>42</v>
      </c>
      <c r="F2366" s="4" t="s">
        <v>2635</v>
      </c>
      <c r="G2366" s="4" t="s">
        <v>2636</v>
      </c>
      <c r="H2366" s="4" t="s">
        <v>135</v>
      </c>
      <c r="I2366" s="4" t="s">
        <v>33</v>
      </c>
      <c r="J2366" s="4" t="s">
        <v>27</v>
      </c>
      <c r="K2366" s="4" t="s">
        <v>28</v>
      </c>
      <c r="L2366" s="4" t="s">
        <v>28</v>
      </c>
      <c r="M2366" s="4" t="s">
        <v>34</v>
      </c>
      <c r="N2366" s="4" t="s">
        <v>28</v>
      </c>
    </row>
    <row r="2367" spans="1:14" ht="14.4" thickBot="1" x14ac:dyDescent="0.35">
      <c r="A2367" s="4" t="s">
        <v>19</v>
      </c>
      <c r="B2367" s="4" t="s">
        <v>203</v>
      </c>
      <c r="C2367" s="4" t="s">
        <v>204</v>
      </c>
      <c r="D2367" s="4" t="s">
        <v>205</v>
      </c>
      <c r="E2367" s="4" t="s">
        <v>42</v>
      </c>
      <c r="F2367" s="4" t="s">
        <v>3423</v>
      </c>
      <c r="G2367" s="4" t="s">
        <v>3424</v>
      </c>
      <c r="H2367" s="4" t="s">
        <v>135</v>
      </c>
      <c r="I2367" s="4" t="s">
        <v>33</v>
      </c>
      <c r="J2367" s="4" t="s">
        <v>27</v>
      </c>
      <c r="K2367" s="4" t="s">
        <v>28</v>
      </c>
      <c r="L2367" s="4" t="s">
        <v>28</v>
      </c>
      <c r="M2367" s="4" t="s">
        <v>34</v>
      </c>
      <c r="N2367" s="4" t="s">
        <v>28</v>
      </c>
    </row>
    <row r="2368" spans="1:14" ht="14.4" thickBot="1" x14ac:dyDescent="0.35">
      <c r="A2368" s="4" t="s">
        <v>19</v>
      </c>
      <c r="B2368" s="4" t="s">
        <v>203</v>
      </c>
      <c r="C2368" s="4" t="s">
        <v>204</v>
      </c>
      <c r="D2368" s="4" t="s">
        <v>205</v>
      </c>
      <c r="E2368" s="4" t="s">
        <v>42</v>
      </c>
      <c r="F2368" s="4" t="s">
        <v>4898</v>
      </c>
      <c r="G2368" s="4" t="s">
        <v>4899</v>
      </c>
      <c r="H2368" s="4" t="s">
        <v>26</v>
      </c>
      <c r="I2368" s="4" t="s">
        <v>26</v>
      </c>
      <c r="J2368" s="4" t="s">
        <v>27</v>
      </c>
      <c r="K2368" s="4" t="s">
        <v>28</v>
      </c>
      <c r="L2368" s="4" t="s">
        <v>28</v>
      </c>
      <c r="M2368" s="4" t="s">
        <v>29</v>
      </c>
      <c r="N2368" s="4" t="s">
        <v>28</v>
      </c>
    </row>
    <row r="2369" spans="1:14" ht="14.4" thickBot="1" x14ac:dyDescent="0.35">
      <c r="A2369" s="4" t="s">
        <v>19</v>
      </c>
      <c r="B2369" s="4" t="s">
        <v>203</v>
      </c>
      <c r="C2369" s="4" t="s">
        <v>204</v>
      </c>
      <c r="D2369" s="4" t="s">
        <v>205</v>
      </c>
      <c r="E2369" s="4" t="s">
        <v>42</v>
      </c>
      <c r="F2369" s="4" t="s">
        <v>5609</v>
      </c>
      <c r="G2369" s="4" t="s">
        <v>5610</v>
      </c>
      <c r="H2369" s="4" t="s">
        <v>26</v>
      </c>
      <c r="I2369" s="4" t="s">
        <v>26</v>
      </c>
      <c r="J2369" s="4" t="s">
        <v>27</v>
      </c>
      <c r="K2369" s="4" t="s">
        <v>28</v>
      </c>
      <c r="L2369" s="4" t="s">
        <v>28</v>
      </c>
      <c r="M2369" s="4" t="s">
        <v>130</v>
      </c>
      <c r="N2369" s="4" t="s">
        <v>28</v>
      </c>
    </row>
    <row r="2370" spans="1:14" ht="14.4" thickBot="1" x14ac:dyDescent="0.35">
      <c r="A2370" s="4" t="s">
        <v>19</v>
      </c>
      <c r="B2370" s="4" t="s">
        <v>203</v>
      </c>
      <c r="C2370" s="4" t="s">
        <v>204</v>
      </c>
      <c r="D2370" s="4" t="s">
        <v>205</v>
      </c>
      <c r="E2370" s="4" t="s">
        <v>42</v>
      </c>
      <c r="F2370" s="4" t="s">
        <v>5611</v>
      </c>
      <c r="G2370" s="4" t="s">
        <v>5612</v>
      </c>
      <c r="H2370" s="4" t="s">
        <v>26</v>
      </c>
      <c r="I2370" s="4" t="s">
        <v>33</v>
      </c>
      <c r="J2370" s="4" t="s">
        <v>27</v>
      </c>
      <c r="K2370" s="4" t="s">
        <v>28</v>
      </c>
      <c r="L2370" s="4" t="s">
        <v>28</v>
      </c>
      <c r="M2370" s="4" t="s">
        <v>34</v>
      </c>
      <c r="N2370" s="4" t="s">
        <v>28</v>
      </c>
    </row>
    <row r="2371" spans="1:14" ht="14.4" thickBot="1" x14ac:dyDescent="0.35">
      <c r="A2371" s="4" t="s">
        <v>19</v>
      </c>
      <c r="B2371" s="4" t="s">
        <v>203</v>
      </c>
      <c r="C2371" s="4" t="s">
        <v>204</v>
      </c>
      <c r="D2371" s="4" t="s">
        <v>205</v>
      </c>
      <c r="E2371" s="4" t="s">
        <v>42</v>
      </c>
      <c r="F2371" s="4" t="s">
        <v>5613</v>
      </c>
      <c r="G2371" s="4" t="s">
        <v>5614</v>
      </c>
      <c r="H2371" s="4" t="s">
        <v>69</v>
      </c>
      <c r="I2371" s="4" t="s">
        <v>94</v>
      </c>
      <c r="J2371" s="4" t="s">
        <v>28</v>
      </c>
      <c r="K2371" s="4" t="s">
        <v>27</v>
      </c>
      <c r="L2371" s="4" t="s">
        <v>28</v>
      </c>
      <c r="M2371" s="4" t="s">
        <v>34</v>
      </c>
      <c r="N2371" s="4" t="s">
        <v>28</v>
      </c>
    </row>
    <row r="2372" spans="1:14" ht="14.4" thickBot="1" x14ac:dyDescent="0.35">
      <c r="A2372" s="4" t="s">
        <v>19</v>
      </c>
      <c r="B2372" s="4" t="s">
        <v>123</v>
      </c>
      <c r="C2372" s="4" t="s">
        <v>124</v>
      </c>
      <c r="D2372" s="4" t="s">
        <v>125</v>
      </c>
      <c r="E2372" s="4" t="s">
        <v>42</v>
      </c>
      <c r="F2372" s="4" t="s">
        <v>126</v>
      </c>
      <c r="G2372" s="4" t="s">
        <v>127</v>
      </c>
      <c r="H2372" s="4" t="s">
        <v>26</v>
      </c>
      <c r="I2372" s="4" t="s">
        <v>26</v>
      </c>
      <c r="J2372" s="5"/>
      <c r="K2372" s="5"/>
      <c r="L2372" s="5"/>
      <c r="M2372" s="4" t="s">
        <v>29</v>
      </c>
      <c r="N2372" s="5"/>
    </row>
    <row r="2373" spans="1:14" ht="14.4" thickBot="1" x14ac:dyDescent="0.35">
      <c r="A2373" s="4" t="s">
        <v>19</v>
      </c>
      <c r="B2373" s="4" t="s">
        <v>123</v>
      </c>
      <c r="C2373" s="4" t="s">
        <v>124</v>
      </c>
      <c r="D2373" s="4" t="s">
        <v>125</v>
      </c>
      <c r="E2373" s="4" t="s">
        <v>42</v>
      </c>
      <c r="F2373" s="4" t="s">
        <v>128</v>
      </c>
      <c r="G2373" s="4" t="s">
        <v>129</v>
      </c>
      <c r="H2373" s="4" t="s">
        <v>26</v>
      </c>
      <c r="I2373" s="4" t="s">
        <v>26</v>
      </c>
      <c r="J2373" s="5"/>
      <c r="K2373" s="5"/>
      <c r="L2373" s="5"/>
      <c r="M2373" s="4" t="s">
        <v>130</v>
      </c>
      <c r="N2373" s="5"/>
    </row>
    <row r="2374" spans="1:14" ht="14.4" thickBot="1" x14ac:dyDescent="0.35">
      <c r="A2374" s="4" t="s">
        <v>19</v>
      </c>
      <c r="B2374" s="4" t="s">
        <v>123</v>
      </c>
      <c r="C2374" s="4" t="s">
        <v>124</v>
      </c>
      <c r="D2374" s="4" t="s">
        <v>125</v>
      </c>
      <c r="E2374" s="4" t="s">
        <v>42</v>
      </c>
      <c r="F2374" s="4" t="s">
        <v>131</v>
      </c>
      <c r="G2374" s="4" t="s">
        <v>132</v>
      </c>
      <c r="H2374" s="4" t="s">
        <v>69</v>
      </c>
      <c r="I2374" s="4" t="s">
        <v>94</v>
      </c>
      <c r="J2374" s="4" t="s">
        <v>28</v>
      </c>
      <c r="K2374" s="4" t="s">
        <v>27</v>
      </c>
      <c r="L2374" s="4" t="s">
        <v>28</v>
      </c>
      <c r="M2374" s="4" t="s">
        <v>34</v>
      </c>
      <c r="N2374" s="4" t="s">
        <v>28</v>
      </c>
    </row>
    <row r="2375" spans="1:14" ht="14.4" thickBot="1" x14ac:dyDescent="0.35">
      <c r="A2375" s="4" t="s">
        <v>19</v>
      </c>
      <c r="B2375" s="4" t="s">
        <v>123</v>
      </c>
      <c r="C2375" s="4" t="s">
        <v>124</v>
      </c>
      <c r="D2375" s="4" t="s">
        <v>125</v>
      </c>
      <c r="E2375" s="4" t="s">
        <v>42</v>
      </c>
      <c r="F2375" s="4" t="s">
        <v>133</v>
      </c>
      <c r="G2375" s="4" t="s">
        <v>134</v>
      </c>
      <c r="H2375" s="4" t="s">
        <v>135</v>
      </c>
      <c r="I2375" s="4" t="s">
        <v>69</v>
      </c>
      <c r="J2375" s="4" t="s">
        <v>27</v>
      </c>
      <c r="K2375" s="4" t="s">
        <v>28</v>
      </c>
      <c r="L2375" s="4" t="s">
        <v>28</v>
      </c>
      <c r="M2375" s="4" t="s">
        <v>34</v>
      </c>
      <c r="N2375" s="4" t="s">
        <v>27</v>
      </c>
    </row>
    <row r="2376" spans="1:14" ht="14.4" thickBot="1" x14ac:dyDescent="0.35">
      <c r="A2376" s="4" t="s">
        <v>19</v>
      </c>
      <c r="B2376" s="4" t="s">
        <v>123</v>
      </c>
      <c r="C2376" s="4" t="s">
        <v>124</v>
      </c>
      <c r="D2376" s="4" t="s">
        <v>125</v>
      </c>
      <c r="E2376" s="4" t="s">
        <v>42</v>
      </c>
      <c r="F2376" s="4" t="s">
        <v>1092</v>
      </c>
      <c r="G2376" s="4" t="s">
        <v>1093</v>
      </c>
      <c r="H2376" s="4" t="s">
        <v>135</v>
      </c>
      <c r="I2376" s="4" t="s">
        <v>33</v>
      </c>
      <c r="J2376" s="4" t="s">
        <v>27</v>
      </c>
      <c r="K2376" s="4" t="s">
        <v>28</v>
      </c>
      <c r="L2376" s="4" t="s">
        <v>28</v>
      </c>
      <c r="M2376" s="4" t="s">
        <v>34</v>
      </c>
      <c r="N2376" s="4" t="s">
        <v>28</v>
      </c>
    </row>
    <row r="2377" spans="1:14" ht="14.4" thickBot="1" x14ac:dyDescent="0.35">
      <c r="A2377" s="4" t="s">
        <v>19</v>
      </c>
      <c r="B2377" s="4" t="s">
        <v>123</v>
      </c>
      <c r="C2377" s="4" t="s">
        <v>124</v>
      </c>
      <c r="D2377" s="4" t="s">
        <v>125</v>
      </c>
      <c r="E2377" s="4" t="s">
        <v>42</v>
      </c>
      <c r="F2377" s="4" t="s">
        <v>1937</v>
      </c>
      <c r="G2377" s="4" t="s">
        <v>1938</v>
      </c>
      <c r="H2377" s="4" t="s">
        <v>135</v>
      </c>
      <c r="I2377" s="4" t="s">
        <v>94</v>
      </c>
      <c r="J2377" s="4" t="s">
        <v>27</v>
      </c>
      <c r="K2377" s="4" t="s">
        <v>28</v>
      </c>
      <c r="L2377" s="4" t="s">
        <v>28</v>
      </c>
      <c r="M2377" s="4" t="s">
        <v>34</v>
      </c>
      <c r="N2377" s="4" t="s">
        <v>27</v>
      </c>
    </row>
    <row r="2378" spans="1:14" ht="14.4" thickBot="1" x14ac:dyDescent="0.35">
      <c r="A2378" s="4" t="s">
        <v>19</v>
      </c>
      <c r="B2378" s="4" t="s">
        <v>123</v>
      </c>
      <c r="C2378" s="4" t="s">
        <v>124</v>
      </c>
      <c r="D2378" s="4" t="s">
        <v>125</v>
      </c>
      <c r="E2378" s="4" t="s">
        <v>42</v>
      </c>
      <c r="F2378" s="4" t="s">
        <v>1939</v>
      </c>
      <c r="G2378" s="4" t="s">
        <v>1940</v>
      </c>
      <c r="H2378" s="4" t="s">
        <v>26</v>
      </c>
      <c r="I2378" s="4" t="s">
        <v>26</v>
      </c>
      <c r="J2378" s="5"/>
      <c r="K2378" s="5"/>
      <c r="L2378" s="5"/>
      <c r="M2378" s="4" t="s">
        <v>29</v>
      </c>
      <c r="N2378" s="5"/>
    </row>
    <row r="2379" spans="1:14" ht="14.4" thickBot="1" x14ac:dyDescent="0.35">
      <c r="A2379" s="4" t="s">
        <v>19</v>
      </c>
      <c r="B2379" s="4" t="s">
        <v>123</v>
      </c>
      <c r="C2379" s="4" t="s">
        <v>124</v>
      </c>
      <c r="D2379" s="4" t="s">
        <v>125</v>
      </c>
      <c r="E2379" s="4" t="s">
        <v>42</v>
      </c>
      <c r="F2379" s="4" t="s">
        <v>1941</v>
      </c>
      <c r="G2379" s="4" t="s">
        <v>1942</v>
      </c>
      <c r="H2379" s="4" t="s">
        <v>135</v>
      </c>
      <c r="I2379" s="4" t="s">
        <v>33</v>
      </c>
      <c r="J2379" s="4" t="s">
        <v>27</v>
      </c>
      <c r="K2379" s="4" t="s">
        <v>28</v>
      </c>
      <c r="L2379" s="4" t="s">
        <v>28</v>
      </c>
      <c r="M2379" s="4" t="s">
        <v>34</v>
      </c>
      <c r="N2379" s="4" t="s">
        <v>28</v>
      </c>
    </row>
    <row r="2380" spans="1:14" ht="14.4" thickBot="1" x14ac:dyDescent="0.35">
      <c r="A2380" s="4" t="s">
        <v>19</v>
      </c>
      <c r="B2380" s="4" t="s">
        <v>123</v>
      </c>
      <c r="C2380" s="4" t="s">
        <v>124</v>
      </c>
      <c r="D2380" s="4" t="s">
        <v>125</v>
      </c>
      <c r="E2380" s="4" t="s">
        <v>42</v>
      </c>
      <c r="F2380" s="4" t="s">
        <v>2586</v>
      </c>
      <c r="G2380" s="4" t="s">
        <v>2587</v>
      </c>
      <c r="H2380" s="4" t="s">
        <v>26</v>
      </c>
      <c r="I2380" s="4" t="s">
        <v>116</v>
      </c>
      <c r="J2380" s="4" t="s">
        <v>27</v>
      </c>
      <c r="K2380" s="4" t="s">
        <v>28</v>
      </c>
      <c r="L2380" s="4" t="s">
        <v>28</v>
      </c>
      <c r="M2380" s="4" t="s">
        <v>29</v>
      </c>
      <c r="N2380" s="4" t="s">
        <v>28</v>
      </c>
    </row>
    <row r="2381" spans="1:14" ht="14.4" thickBot="1" x14ac:dyDescent="0.35">
      <c r="A2381" s="4" t="s">
        <v>19</v>
      </c>
      <c r="B2381" s="4" t="s">
        <v>123</v>
      </c>
      <c r="C2381" s="4" t="s">
        <v>124</v>
      </c>
      <c r="D2381" s="4" t="s">
        <v>125</v>
      </c>
      <c r="E2381" s="4" t="s">
        <v>42</v>
      </c>
      <c r="F2381" s="4" t="s">
        <v>2588</v>
      </c>
      <c r="G2381" s="4" t="s">
        <v>762</v>
      </c>
      <c r="H2381" s="4" t="s">
        <v>135</v>
      </c>
      <c r="I2381" s="4" t="s">
        <v>33</v>
      </c>
      <c r="J2381" s="4" t="s">
        <v>27</v>
      </c>
      <c r="K2381" s="4" t="s">
        <v>28</v>
      </c>
      <c r="L2381" s="4" t="s">
        <v>28</v>
      </c>
      <c r="M2381" s="4" t="s">
        <v>34</v>
      </c>
      <c r="N2381" s="4" t="s">
        <v>28</v>
      </c>
    </row>
    <row r="2382" spans="1:14" ht="14.4" thickBot="1" x14ac:dyDescent="0.35">
      <c r="A2382" s="4" t="s">
        <v>19</v>
      </c>
      <c r="B2382" s="4" t="s">
        <v>123</v>
      </c>
      <c r="C2382" s="4" t="s">
        <v>124</v>
      </c>
      <c r="D2382" s="4" t="s">
        <v>125</v>
      </c>
      <c r="E2382" s="4" t="s">
        <v>42</v>
      </c>
      <c r="F2382" s="4" t="s">
        <v>3376</v>
      </c>
      <c r="G2382" s="4" t="s">
        <v>3377</v>
      </c>
      <c r="H2382" s="4" t="s">
        <v>135</v>
      </c>
      <c r="I2382" s="4" t="s">
        <v>38</v>
      </c>
      <c r="J2382" s="5"/>
      <c r="K2382" s="5"/>
      <c r="L2382" s="5"/>
      <c r="M2382" s="4" t="s">
        <v>29</v>
      </c>
      <c r="N2382" s="5"/>
    </row>
    <row r="2383" spans="1:14" ht="14.4" thickBot="1" x14ac:dyDescent="0.35">
      <c r="A2383" s="4" t="s">
        <v>19</v>
      </c>
      <c r="B2383" s="4" t="s">
        <v>123</v>
      </c>
      <c r="C2383" s="4" t="s">
        <v>124</v>
      </c>
      <c r="D2383" s="4" t="s">
        <v>125</v>
      </c>
      <c r="E2383" s="4" t="s">
        <v>42</v>
      </c>
      <c r="F2383" s="4" t="s">
        <v>3378</v>
      </c>
      <c r="G2383" s="4" t="s">
        <v>3379</v>
      </c>
      <c r="H2383" s="4" t="s">
        <v>26</v>
      </c>
      <c r="I2383" s="4" t="s">
        <v>26</v>
      </c>
      <c r="J2383" s="4" t="s">
        <v>27</v>
      </c>
      <c r="K2383" s="4" t="s">
        <v>28</v>
      </c>
      <c r="L2383" s="4" t="s">
        <v>28</v>
      </c>
      <c r="M2383" s="4" t="s">
        <v>29</v>
      </c>
      <c r="N2383" s="4" t="s">
        <v>28</v>
      </c>
    </row>
    <row r="2384" spans="1:14" ht="14.4" thickBot="1" x14ac:dyDescent="0.35">
      <c r="A2384" s="4" t="s">
        <v>19</v>
      </c>
      <c r="B2384" s="4" t="s">
        <v>123</v>
      </c>
      <c r="C2384" s="4" t="s">
        <v>124</v>
      </c>
      <c r="D2384" s="4" t="s">
        <v>125</v>
      </c>
      <c r="E2384" s="4" t="s">
        <v>42</v>
      </c>
      <c r="F2384" s="4" t="s">
        <v>3380</v>
      </c>
      <c r="G2384" s="4" t="s">
        <v>3381</v>
      </c>
      <c r="H2384" s="4" t="s">
        <v>37</v>
      </c>
      <c r="I2384" s="4" t="s">
        <v>38</v>
      </c>
      <c r="J2384" s="4" t="s">
        <v>28</v>
      </c>
      <c r="K2384" s="4" t="s">
        <v>28</v>
      </c>
      <c r="L2384" s="4" t="s">
        <v>27</v>
      </c>
      <c r="M2384" s="4" t="s">
        <v>34</v>
      </c>
      <c r="N2384" s="4" t="s">
        <v>28</v>
      </c>
    </row>
    <row r="2385" spans="1:14" ht="14.4" thickBot="1" x14ac:dyDescent="0.35">
      <c r="A2385" s="4" t="s">
        <v>19</v>
      </c>
      <c r="B2385" s="4" t="s">
        <v>123</v>
      </c>
      <c r="C2385" s="4" t="s">
        <v>124</v>
      </c>
      <c r="D2385" s="4" t="s">
        <v>125</v>
      </c>
      <c r="E2385" s="4" t="s">
        <v>42</v>
      </c>
      <c r="F2385" s="4" t="s">
        <v>4170</v>
      </c>
      <c r="G2385" s="4" t="s">
        <v>4171</v>
      </c>
      <c r="H2385" s="4" t="s">
        <v>135</v>
      </c>
      <c r="I2385" s="4" t="s">
        <v>38</v>
      </c>
      <c r="J2385" s="4" t="s">
        <v>28</v>
      </c>
      <c r="K2385" s="4" t="s">
        <v>28</v>
      </c>
      <c r="L2385" s="4" t="s">
        <v>27</v>
      </c>
      <c r="M2385" s="4" t="s">
        <v>29</v>
      </c>
      <c r="N2385" s="4" t="s">
        <v>28</v>
      </c>
    </row>
    <row r="2386" spans="1:14" ht="14.4" thickBot="1" x14ac:dyDescent="0.35">
      <c r="A2386" s="4" t="s">
        <v>19</v>
      </c>
      <c r="B2386" s="4" t="s">
        <v>123</v>
      </c>
      <c r="C2386" s="4" t="s">
        <v>124</v>
      </c>
      <c r="D2386" s="4" t="s">
        <v>125</v>
      </c>
      <c r="E2386" s="4" t="s">
        <v>42</v>
      </c>
      <c r="F2386" s="4" t="s">
        <v>4172</v>
      </c>
      <c r="G2386" s="4" t="s">
        <v>4173</v>
      </c>
      <c r="H2386" s="4" t="s">
        <v>190</v>
      </c>
      <c r="I2386" s="4" t="s">
        <v>26</v>
      </c>
      <c r="J2386" s="4" t="s">
        <v>27</v>
      </c>
      <c r="K2386" s="4" t="s">
        <v>28</v>
      </c>
      <c r="L2386" s="4" t="s">
        <v>28</v>
      </c>
      <c r="M2386" s="4" t="s">
        <v>130</v>
      </c>
      <c r="N2386" s="4" t="s">
        <v>28</v>
      </c>
    </row>
    <row r="2387" spans="1:14" ht="14.4" thickBot="1" x14ac:dyDescent="0.35">
      <c r="A2387" s="4" t="s">
        <v>19</v>
      </c>
      <c r="B2387" s="4" t="s">
        <v>123</v>
      </c>
      <c r="C2387" s="4" t="s">
        <v>124</v>
      </c>
      <c r="D2387" s="4" t="s">
        <v>125</v>
      </c>
      <c r="E2387" s="4" t="s">
        <v>42</v>
      </c>
      <c r="F2387" s="4" t="s">
        <v>4174</v>
      </c>
      <c r="G2387" s="4" t="s">
        <v>4175</v>
      </c>
      <c r="H2387" s="4" t="s">
        <v>135</v>
      </c>
      <c r="I2387" s="4" t="s">
        <v>33</v>
      </c>
      <c r="J2387" s="4" t="s">
        <v>27</v>
      </c>
      <c r="K2387" s="4" t="s">
        <v>28</v>
      </c>
      <c r="L2387" s="4" t="s">
        <v>28</v>
      </c>
      <c r="M2387" s="4" t="s">
        <v>34</v>
      </c>
      <c r="N2387" s="4" t="s">
        <v>28</v>
      </c>
    </row>
    <row r="2388" spans="1:14" ht="14.4" thickBot="1" x14ac:dyDescent="0.35">
      <c r="A2388" s="4" t="s">
        <v>19</v>
      </c>
      <c r="B2388" s="4" t="s">
        <v>123</v>
      </c>
      <c r="C2388" s="4" t="s">
        <v>124</v>
      </c>
      <c r="D2388" s="4" t="s">
        <v>125</v>
      </c>
      <c r="E2388" s="4" t="s">
        <v>42</v>
      </c>
      <c r="F2388" s="4" t="s">
        <v>4176</v>
      </c>
      <c r="G2388" s="4" t="s">
        <v>4177</v>
      </c>
      <c r="H2388" s="4" t="s">
        <v>26</v>
      </c>
      <c r="I2388" s="4" t="s">
        <v>26</v>
      </c>
      <c r="J2388" s="5"/>
      <c r="K2388" s="5"/>
      <c r="L2388" s="5"/>
      <c r="M2388" s="4" t="s">
        <v>29</v>
      </c>
      <c r="N2388" s="5"/>
    </row>
    <row r="2389" spans="1:14" ht="14.4" thickBot="1" x14ac:dyDescent="0.35">
      <c r="A2389" s="4" t="s">
        <v>19</v>
      </c>
      <c r="B2389" s="4" t="s">
        <v>123</v>
      </c>
      <c r="C2389" s="4" t="s">
        <v>124</v>
      </c>
      <c r="D2389" s="4" t="s">
        <v>125</v>
      </c>
      <c r="E2389" s="4" t="s">
        <v>42</v>
      </c>
      <c r="F2389" s="4" t="s">
        <v>4178</v>
      </c>
      <c r="G2389" s="4" t="s">
        <v>4179</v>
      </c>
      <c r="H2389" s="4" t="s">
        <v>37</v>
      </c>
      <c r="I2389" s="4" t="s">
        <v>38</v>
      </c>
      <c r="J2389" s="4" t="s">
        <v>28</v>
      </c>
      <c r="K2389" s="4" t="s">
        <v>28</v>
      </c>
      <c r="L2389" s="4" t="s">
        <v>27</v>
      </c>
      <c r="M2389" s="4" t="s">
        <v>34</v>
      </c>
      <c r="N2389" s="4" t="s">
        <v>27</v>
      </c>
    </row>
    <row r="2390" spans="1:14" ht="14.4" thickBot="1" x14ac:dyDescent="0.35">
      <c r="A2390" s="4" t="s">
        <v>19</v>
      </c>
      <c r="B2390" s="4" t="s">
        <v>123</v>
      </c>
      <c r="C2390" s="4" t="s">
        <v>124</v>
      </c>
      <c r="D2390" s="4" t="s">
        <v>125</v>
      </c>
      <c r="E2390" s="4" t="s">
        <v>42</v>
      </c>
      <c r="F2390" s="4" t="s">
        <v>4180</v>
      </c>
      <c r="G2390" s="4" t="s">
        <v>4181</v>
      </c>
      <c r="H2390" s="4" t="s">
        <v>26</v>
      </c>
      <c r="I2390" s="4" t="s">
        <v>26</v>
      </c>
      <c r="J2390" s="4" t="s">
        <v>27</v>
      </c>
      <c r="K2390" s="4" t="s">
        <v>28</v>
      </c>
      <c r="L2390" s="4" t="s">
        <v>28</v>
      </c>
      <c r="M2390" s="4" t="s">
        <v>34</v>
      </c>
      <c r="N2390" s="4" t="s">
        <v>28</v>
      </c>
    </row>
    <row r="2391" spans="1:14" ht="14.4" thickBot="1" x14ac:dyDescent="0.35">
      <c r="A2391" s="4" t="s">
        <v>19</v>
      </c>
      <c r="B2391" s="4" t="s">
        <v>123</v>
      </c>
      <c r="C2391" s="4" t="s">
        <v>124</v>
      </c>
      <c r="D2391" s="4" t="s">
        <v>125</v>
      </c>
      <c r="E2391" s="4" t="s">
        <v>42</v>
      </c>
      <c r="F2391" s="4" t="s">
        <v>5575</v>
      </c>
      <c r="G2391" s="4" t="s">
        <v>5576</v>
      </c>
      <c r="H2391" s="4" t="s">
        <v>26</v>
      </c>
      <c r="I2391" s="4" t="s">
        <v>26</v>
      </c>
      <c r="J2391" s="5"/>
      <c r="K2391" s="5"/>
      <c r="L2391" s="5"/>
      <c r="M2391" s="4" t="s">
        <v>130</v>
      </c>
      <c r="N2391" s="5"/>
    </row>
    <row r="2392" spans="1:14" ht="14.4" thickBot="1" x14ac:dyDescent="0.35">
      <c r="A2392" s="4" t="s">
        <v>19</v>
      </c>
      <c r="B2392" s="4" t="s">
        <v>123</v>
      </c>
      <c r="C2392" s="4" t="s">
        <v>124</v>
      </c>
      <c r="D2392" s="4" t="s">
        <v>125</v>
      </c>
      <c r="E2392" s="4" t="s">
        <v>42</v>
      </c>
      <c r="F2392" s="4" t="s">
        <v>5577</v>
      </c>
      <c r="G2392" s="4" t="s">
        <v>5578</v>
      </c>
      <c r="H2392" s="4" t="s">
        <v>135</v>
      </c>
      <c r="I2392" s="4" t="s">
        <v>33</v>
      </c>
      <c r="J2392" s="4" t="s">
        <v>27</v>
      </c>
      <c r="K2392" s="4" t="s">
        <v>28</v>
      </c>
      <c r="L2392" s="4" t="s">
        <v>28</v>
      </c>
      <c r="M2392" s="4" t="s">
        <v>34</v>
      </c>
      <c r="N2392" s="4" t="s">
        <v>28</v>
      </c>
    </row>
    <row r="2393" spans="1:14" ht="14.4" thickBot="1" x14ac:dyDescent="0.35">
      <c r="A2393" s="4" t="s">
        <v>19</v>
      </c>
      <c r="B2393" s="4" t="s">
        <v>123</v>
      </c>
      <c r="C2393" s="4" t="s">
        <v>136</v>
      </c>
      <c r="D2393" s="4" t="s">
        <v>137</v>
      </c>
      <c r="E2393" s="4" t="s">
        <v>48</v>
      </c>
      <c r="F2393" s="4" t="s">
        <v>138</v>
      </c>
      <c r="G2393" s="4" t="s">
        <v>139</v>
      </c>
      <c r="H2393" s="4" t="s">
        <v>116</v>
      </c>
      <c r="I2393" s="4" t="s">
        <v>33</v>
      </c>
      <c r="J2393" s="4" t="s">
        <v>27</v>
      </c>
      <c r="K2393" s="4" t="s">
        <v>28</v>
      </c>
      <c r="L2393" s="4" t="s">
        <v>28</v>
      </c>
      <c r="M2393" s="4" t="s">
        <v>34</v>
      </c>
      <c r="N2393" s="4" t="s">
        <v>28</v>
      </c>
    </row>
    <row r="2394" spans="1:14" ht="14.4" thickBot="1" x14ac:dyDescent="0.35">
      <c r="A2394" s="4" t="s">
        <v>19</v>
      </c>
      <c r="B2394" s="4" t="s">
        <v>123</v>
      </c>
      <c r="C2394" s="4" t="s">
        <v>136</v>
      </c>
      <c r="D2394" s="4" t="s">
        <v>137</v>
      </c>
      <c r="E2394" s="4" t="s">
        <v>48</v>
      </c>
      <c r="F2394" s="4" t="s">
        <v>1094</v>
      </c>
      <c r="G2394" s="4" t="s">
        <v>1095</v>
      </c>
      <c r="H2394" s="4" t="s">
        <v>69</v>
      </c>
      <c r="I2394" s="4" t="s">
        <v>38</v>
      </c>
      <c r="J2394" s="4" t="s">
        <v>28</v>
      </c>
      <c r="K2394" s="4" t="s">
        <v>28</v>
      </c>
      <c r="L2394" s="4" t="s">
        <v>27</v>
      </c>
      <c r="M2394" s="4" t="s">
        <v>34</v>
      </c>
      <c r="N2394" s="4" t="s">
        <v>28</v>
      </c>
    </row>
    <row r="2395" spans="1:14" ht="14.4" thickBot="1" x14ac:dyDescent="0.35">
      <c r="A2395" s="4" t="s">
        <v>19</v>
      </c>
      <c r="B2395" s="4" t="s">
        <v>123</v>
      </c>
      <c r="C2395" s="4" t="s">
        <v>136</v>
      </c>
      <c r="D2395" s="4" t="s">
        <v>137</v>
      </c>
      <c r="E2395" s="4" t="s">
        <v>48</v>
      </c>
      <c r="F2395" s="4" t="s">
        <v>1943</v>
      </c>
      <c r="G2395" s="4" t="s">
        <v>1944</v>
      </c>
      <c r="H2395" s="4" t="s">
        <v>26</v>
      </c>
      <c r="I2395" s="4" t="s">
        <v>26</v>
      </c>
      <c r="J2395" s="4" t="s">
        <v>27</v>
      </c>
      <c r="K2395" s="4" t="s">
        <v>28</v>
      </c>
      <c r="L2395" s="4" t="s">
        <v>28</v>
      </c>
      <c r="M2395" s="4" t="s">
        <v>34</v>
      </c>
      <c r="N2395" s="4" t="s">
        <v>28</v>
      </c>
    </row>
    <row r="2396" spans="1:14" ht="14.4" thickBot="1" x14ac:dyDescent="0.35">
      <c r="A2396" s="4" t="s">
        <v>19</v>
      </c>
      <c r="B2396" s="4" t="s">
        <v>123</v>
      </c>
      <c r="C2396" s="4" t="s">
        <v>140</v>
      </c>
      <c r="D2396" s="4" t="s">
        <v>141</v>
      </c>
      <c r="E2396" s="4" t="s">
        <v>48</v>
      </c>
      <c r="F2396" s="4" t="s">
        <v>142</v>
      </c>
      <c r="G2396" s="4" t="s">
        <v>143</v>
      </c>
      <c r="H2396" s="4" t="s">
        <v>26</v>
      </c>
      <c r="I2396" s="4" t="s">
        <v>26</v>
      </c>
      <c r="J2396" s="4" t="s">
        <v>27</v>
      </c>
      <c r="K2396" s="4" t="s">
        <v>28</v>
      </c>
      <c r="L2396" s="4" t="s">
        <v>28</v>
      </c>
      <c r="M2396" s="4" t="s">
        <v>29</v>
      </c>
      <c r="N2396" s="4" t="s">
        <v>28</v>
      </c>
    </row>
    <row r="2397" spans="1:14" ht="14.4" thickBot="1" x14ac:dyDescent="0.35">
      <c r="A2397" s="4" t="s">
        <v>19</v>
      </c>
      <c r="B2397" s="4" t="s">
        <v>123</v>
      </c>
      <c r="C2397" s="4" t="s">
        <v>140</v>
      </c>
      <c r="D2397" s="4" t="s">
        <v>141</v>
      </c>
      <c r="E2397" s="4" t="s">
        <v>48</v>
      </c>
      <c r="F2397" s="4" t="s">
        <v>1096</v>
      </c>
      <c r="G2397" s="4" t="s">
        <v>1097</v>
      </c>
      <c r="H2397" s="4" t="s">
        <v>26</v>
      </c>
      <c r="I2397" s="4" t="s">
        <v>26</v>
      </c>
      <c r="J2397" s="5"/>
      <c r="K2397" s="5"/>
      <c r="L2397" s="5"/>
      <c r="M2397" s="4" t="s">
        <v>130</v>
      </c>
      <c r="N2397" s="5"/>
    </row>
    <row r="2398" spans="1:14" ht="14.4" thickBot="1" x14ac:dyDescent="0.35">
      <c r="A2398" s="4" t="s">
        <v>19</v>
      </c>
      <c r="B2398" s="4" t="s">
        <v>123</v>
      </c>
      <c r="C2398" s="4" t="s">
        <v>140</v>
      </c>
      <c r="D2398" s="4" t="s">
        <v>141</v>
      </c>
      <c r="E2398" s="4" t="s">
        <v>48</v>
      </c>
      <c r="F2398" s="4" t="s">
        <v>2589</v>
      </c>
      <c r="G2398" s="4" t="s">
        <v>2590</v>
      </c>
      <c r="H2398" s="4" t="s">
        <v>26</v>
      </c>
      <c r="I2398" s="4" t="s">
        <v>26</v>
      </c>
      <c r="J2398" s="4" t="s">
        <v>27</v>
      </c>
      <c r="K2398" s="4" t="s">
        <v>28</v>
      </c>
      <c r="L2398" s="4" t="s">
        <v>28</v>
      </c>
      <c r="M2398" s="4" t="s">
        <v>29</v>
      </c>
      <c r="N2398" s="4" t="s">
        <v>28</v>
      </c>
    </row>
    <row r="2399" spans="1:14" ht="14.4" thickBot="1" x14ac:dyDescent="0.35">
      <c r="A2399" s="4" t="s">
        <v>19</v>
      </c>
      <c r="B2399" s="4" t="s">
        <v>123</v>
      </c>
      <c r="C2399" s="4" t="s">
        <v>140</v>
      </c>
      <c r="D2399" s="4" t="s">
        <v>141</v>
      </c>
      <c r="E2399" s="4" t="s">
        <v>48</v>
      </c>
      <c r="F2399" s="4" t="s">
        <v>3382</v>
      </c>
      <c r="G2399" s="4" t="s">
        <v>3383</v>
      </c>
      <c r="H2399" s="4" t="s">
        <v>69</v>
      </c>
      <c r="I2399" s="4" t="s">
        <v>94</v>
      </c>
      <c r="J2399" s="4" t="s">
        <v>28</v>
      </c>
      <c r="K2399" s="4" t="s">
        <v>27</v>
      </c>
      <c r="L2399" s="4" t="s">
        <v>28</v>
      </c>
      <c r="M2399" s="4" t="s">
        <v>34</v>
      </c>
      <c r="N2399" s="4" t="s">
        <v>28</v>
      </c>
    </row>
    <row r="2400" spans="1:14" ht="14.4" thickBot="1" x14ac:dyDescent="0.35">
      <c r="A2400" s="4" t="s">
        <v>19</v>
      </c>
      <c r="B2400" s="4" t="s">
        <v>123</v>
      </c>
      <c r="C2400" s="4" t="s">
        <v>140</v>
      </c>
      <c r="D2400" s="4" t="s">
        <v>141</v>
      </c>
      <c r="E2400" s="4" t="s">
        <v>48</v>
      </c>
      <c r="F2400" s="4" t="s">
        <v>3384</v>
      </c>
      <c r="G2400" s="4" t="s">
        <v>3385</v>
      </c>
      <c r="H2400" s="4" t="s">
        <v>37</v>
      </c>
      <c r="I2400" s="4" t="s">
        <v>38</v>
      </c>
      <c r="J2400" s="4" t="s">
        <v>28</v>
      </c>
      <c r="K2400" s="4" t="s">
        <v>28</v>
      </c>
      <c r="L2400" s="4" t="s">
        <v>27</v>
      </c>
      <c r="M2400" s="4" t="s">
        <v>34</v>
      </c>
      <c r="N2400" s="4" t="s">
        <v>28</v>
      </c>
    </row>
    <row r="2401" spans="1:14" ht="14.4" thickBot="1" x14ac:dyDescent="0.35">
      <c r="A2401" s="4" t="s">
        <v>19</v>
      </c>
      <c r="B2401" s="4" t="s">
        <v>123</v>
      </c>
      <c r="C2401" s="4" t="s">
        <v>140</v>
      </c>
      <c r="D2401" s="4" t="s">
        <v>141</v>
      </c>
      <c r="E2401" s="4" t="s">
        <v>48</v>
      </c>
      <c r="F2401" s="4" t="s">
        <v>4182</v>
      </c>
      <c r="G2401" s="4" t="s">
        <v>4183</v>
      </c>
      <c r="H2401" s="4" t="s">
        <v>135</v>
      </c>
      <c r="I2401" s="4" t="s">
        <v>33</v>
      </c>
      <c r="J2401" s="4" t="s">
        <v>27</v>
      </c>
      <c r="K2401" s="4" t="s">
        <v>28</v>
      </c>
      <c r="L2401" s="4" t="s">
        <v>28</v>
      </c>
      <c r="M2401" s="4" t="s">
        <v>34</v>
      </c>
      <c r="N2401" s="4" t="s">
        <v>28</v>
      </c>
    </row>
    <row r="2402" spans="1:14" ht="14.4" thickBot="1" x14ac:dyDescent="0.35">
      <c r="A2402" s="4" t="s">
        <v>19</v>
      </c>
      <c r="B2402" s="4" t="s">
        <v>123</v>
      </c>
      <c r="C2402" s="4" t="s">
        <v>140</v>
      </c>
      <c r="D2402" s="4" t="s">
        <v>141</v>
      </c>
      <c r="E2402" s="4" t="s">
        <v>48</v>
      </c>
      <c r="F2402" s="4" t="s">
        <v>4862</v>
      </c>
      <c r="G2402" s="4" t="s">
        <v>4863</v>
      </c>
      <c r="H2402" s="4" t="s">
        <v>26</v>
      </c>
      <c r="I2402" s="4" t="s">
        <v>26</v>
      </c>
      <c r="J2402" s="4" t="s">
        <v>27</v>
      </c>
      <c r="K2402" s="4" t="s">
        <v>28</v>
      </c>
      <c r="L2402" s="4" t="s">
        <v>28</v>
      </c>
      <c r="M2402" s="4" t="s">
        <v>34</v>
      </c>
      <c r="N2402" s="4" t="s">
        <v>28</v>
      </c>
    </row>
    <row r="2403" spans="1:14" ht="14.4" thickBot="1" x14ac:dyDescent="0.35">
      <c r="A2403" s="4" t="s">
        <v>19</v>
      </c>
      <c r="B2403" s="4" t="s">
        <v>144</v>
      </c>
      <c r="C2403" s="4" t="s">
        <v>145</v>
      </c>
      <c r="D2403" s="4" t="s">
        <v>146</v>
      </c>
      <c r="E2403" s="4" t="s">
        <v>42</v>
      </c>
      <c r="F2403" s="4" t="s">
        <v>147</v>
      </c>
      <c r="G2403" s="4" t="s">
        <v>148</v>
      </c>
      <c r="H2403" s="4" t="s">
        <v>26</v>
      </c>
      <c r="I2403" s="4" t="s">
        <v>26</v>
      </c>
      <c r="J2403" s="4" t="s">
        <v>27</v>
      </c>
      <c r="K2403" s="4" t="s">
        <v>28</v>
      </c>
      <c r="L2403" s="4" t="s">
        <v>28</v>
      </c>
      <c r="M2403" s="4" t="s">
        <v>130</v>
      </c>
      <c r="N2403" s="4" t="s">
        <v>28</v>
      </c>
    </row>
    <row r="2404" spans="1:14" ht="14.4" thickBot="1" x14ac:dyDescent="0.35">
      <c r="A2404" s="4" t="s">
        <v>19</v>
      </c>
      <c r="B2404" s="4" t="s">
        <v>144</v>
      </c>
      <c r="C2404" s="4" t="s">
        <v>145</v>
      </c>
      <c r="D2404" s="4" t="s">
        <v>146</v>
      </c>
      <c r="E2404" s="4" t="s">
        <v>42</v>
      </c>
      <c r="F2404" s="4" t="s">
        <v>1098</v>
      </c>
      <c r="G2404" s="4" t="s">
        <v>1099</v>
      </c>
      <c r="H2404" s="4" t="s">
        <v>26</v>
      </c>
      <c r="I2404" s="4" t="s">
        <v>94</v>
      </c>
      <c r="J2404" s="4" t="s">
        <v>27</v>
      </c>
      <c r="K2404" s="4" t="s">
        <v>28</v>
      </c>
      <c r="L2404" s="4" t="s">
        <v>28</v>
      </c>
      <c r="M2404" s="4" t="s">
        <v>29</v>
      </c>
      <c r="N2404" s="4" t="s">
        <v>28</v>
      </c>
    </row>
    <row r="2405" spans="1:14" ht="14.4" thickBot="1" x14ac:dyDescent="0.35">
      <c r="A2405" s="4" t="s">
        <v>19</v>
      </c>
      <c r="B2405" s="4" t="s">
        <v>144</v>
      </c>
      <c r="C2405" s="4" t="s">
        <v>145</v>
      </c>
      <c r="D2405" s="4" t="s">
        <v>146</v>
      </c>
      <c r="E2405" s="4" t="s">
        <v>42</v>
      </c>
      <c r="F2405" s="4" t="s">
        <v>1100</v>
      </c>
      <c r="G2405" s="4" t="s">
        <v>1101</v>
      </c>
      <c r="H2405" s="4" t="s">
        <v>37</v>
      </c>
      <c r="I2405" s="4" t="s">
        <v>38</v>
      </c>
      <c r="J2405" s="4" t="s">
        <v>28</v>
      </c>
      <c r="K2405" s="4" t="s">
        <v>28</v>
      </c>
      <c r="L2405" s="4" t="s">
        <v>27</v>
      </c>
      <c r="M2405" s="4" t="s">
        <v>34</v>
      </c>
      <c r="N2405" s="4" t="s">
        <v>28</v>
      </c>
    </row>
    <row r="2406" spans="1:14" ht="14.4" thickBot="1" x14ac:dyDescent="0.35">
      <c r="A2406" s="4" t="s">
        <v>19</v>
      </c>
      <c r="B2406" s="4" t="s">
        <v>144</v>
      </c>
      <c r="C2406" s="4" t="s">
        <v>145</v>
      </c>
      <c r="D2406" s="4" t="s">
        <v>146</v>
      </c>
      <c r="E2406" s="4" t="s">
        <v>42</v>
      </c>
      <c r="F2406" s="4" t="s">
        <v>1102</v>
      </c>
      <c r="G2406" s="4" t="s">
        <v>1103</v>
      </c>
      <c r="H2406" s="4" t="s">
        <v>135</v>
      </c>
      <c r="I2406" s="4" t="s">
        <v>33</v>
      </c>
      <c r="J2406" s="4" t="s">
        <v>27</v>
      </c>
      <c r="K2406" s="4" t="s">
        <v>28</v>
      </c>
      <c r="L2406" s="4" t="s">
        <v>28</v>
      </c>
      <c r="M2406" s="4" t="s">
        <v>34</v>
      </c>
      <c r="N2406" s="4" t="s">
        <v>28</v>
      </c>
    </row>
    <row r="2407" spans="1:14" ht="14.4" thickBot="1" x14ac:dyDescent="0.35">
      <c r="A2407" s="4" t="s">
        <v>19</v>
      </c>
      <c r="B2407" s="4" t="s">
        <v>144</v>
      </c>
      <c r="C2407" s="4" t="s">
        <v>145</v>
      </c>
      <c r="D2407" s="4" t="s">
        <v>146</v>
      </c>
      <c r="E2407" s="4" t="s">
        <v>42</v>
      </c>
      <c r="F2407" s="4" t="s">
        <v>1104</v>
      </c>
      <c r="G2407" s="4" t="s">
        <v>1105</v>
      </c>
      <c r="H2407" s="4" t="s">
        <v>26</v>
      </c>
      <c r="I2407" s="4" t="s">
        <v>26</v>
      </c>
      <c r="J2407" s="4" t="s">
        <v>27</v>
      </c>
      <c r="K2407" s="4" t="s">
        <v>28</v>
      </c>
      <c r="L2407" s="4" t="s">
        <v>28</v>
      </c>
      <c r="M2407" s="4" t="s">
        <v>34</v>
      </c>
      <c r="N2407" s="4" t="s">
        <v>28</v>
      </c>
    </row>
    <row r="2408" spans="1:14" ht="14.4" thickBot="1" x14ac:dyDescent="0.35">
      <c r="A2408" s="4" t="s">
        <v>19</v>
      </c>
      <c r="B2408" s="4" t="s">
        <v>144</v>
      </c>
      <c r="C2408" s="4" t="s">
        <v>145</v>
      </c>
      <c r="D2408" s="4" t="s">
        <v>146</v>
      </c>
      <c r="E2408" s="4" t="s">
        <v>42</v>
      </c>
      <c r="F2408" s="4" t="s">
        <v>1945</v>
      </c>
      <c r="G2408" s="4" t="s">
        <v>1946</v>
      </c>
      <c r="H2408" s="4" t="s">
        <v>135</v>
      </c>
      <c r="I2408" s="4" t="s">
        <v>38</v>
      </c>
      <c r="J2408" s="4" t="s">
        <v>28</v>
      </c>
      <c r="K2408" s="4" t="s">
        <v>28</v>
      </c>
      <c r="L2408" s="4" t="s">
        <v>27</v>
      </c>
      <c r="M2408" s="4" t="s">
        <v>34</v>
      </c>
      <c r="N2408" s="4" t="s">
        <v>28</v>
      </c>
    </row>
    <row r="2409" spans="1:14" ht="14.4" thickBot="1" x14ac:dyDescent="0.35">
      <c r="A2409" s="4" t="s">
        <v>19</v>
      </c>
      <c r="B2409" s="4" t="s">
        <v>144</v>
      </c>
      <c r="C2409" s="4" t="s">
        <v>145</v>
      </c>
      <c r="D2409" s="4" t="s">
        <v>146</v>
      </c>
      <c r="E2409" s="4" t="s">
        <v>42</v>
      </c>
      <c r="F2409" s="4" t="s">
        <v>1947</v>
      </c>
      <c r="G2409" s="4" t="s">
        <v>1948</v>
      </c>
      <c r="H2409" s="4" t="s">
        <v>37</v>
      </c>
      <c r="I2409" s="4" t="s">
        <v>38</v>
      </c>
      <c r="J2409" s="4" t="s">
        <v>28</v>
      </c>
      <c r="K2409" s="4" t="s">
        <v>28</v>
      </c>
      <c r="L2409" s="4" t="s">
        <v>27</v>
      </c>
      <c r="M2409" s="4" t="s">
        <v>34</v>
      </c>
      <c r="N2409" s="4" t="s">
        <v>27</v>
      </c>
    </row>
    <row r="2410" spans="1:14" ht="14.4" thickBot="1" x14ac:dyDescent="0.35">
      <c r="A2410" s="4" t="s">
        <v>19</v>
      </c>
      <c r="B2410" s="4" t="s">
        <v>144</v>
      </c>
      <c r="C2410" s="4" t="s">
        <v>145</v>
      </c>
      <c r="D2410" s="4" t="s">
        <v>146</v>
      </c>
      <c r="E2410" s="4" t="s">
        <v>42</v>
      </c>
      <c r="F2410" s="4" t="s">
        <v>1949</v>
      </c>
      <c r="G2410" s="4" t="s">
        <v>1154</v>
      </c>
      <c r="H2410" s="4" t="s">
        <v>135</v>
      </c>
      <c r="I2410" s="4" t="s">
        <v>33</v>
      </c>
      <c r="J2410" s="4" t="s">
        <v>27</v>
      </c>
      <c r="K2410" s="4" t="s">
        <v>28</v>
      </c>
      <c r="L2410" s="4" t="s">
        <v>28</v>
      </c>
      <c r="M2410" s="4" t="s">
        <v>34</v>
      </c>
      <c r="N2410" s="4" t="s">
        <v>28</v>
      </c>
    </row>
    <row r="2411" spans="1:14" ht="14.4" thickBot="1" x14ac:dyDescent="0.35">
      <c r="A2411" s="4" t="s">
        <v>19</v>
      </c>
      <c r="B2411" s="4" t="s">
        <v>144</v>
      </c>
      <c r="C2411" s="4" t="s">
        <v>145</v>
      </c>
      <c r="D2411" s="4" t="s">
        <v>146</v>
      </c>
      <c r="E2411" s="4" t="s">
        <v>42</v>
      </c>
      <c r="F2411" s="4" t="s">
        <v>1950</v>
      </c>
      <c r="G2411" s="4" t="s">
        <v>1951</v>
      </c>
      <c r="H2411" s="4" t="s">
        <v>69</v>
      </c>
      <c r="I2411" s="4" t="s">
        <v>94</v>
      </c>
      <c r="J2411" s="4" t="s">
        <v>28</v>
      </c>
      <c r="K2411" s="4" t="s">
        <v>27</v>
      </c>
      <c r="L2411" s="4" t="s">
        <v>28</v>
      </c>
      <c r="M2411" s="4" t="s">
        <v>34</v>
      </c>
      <c r="N2411" s="4" t="s">
        <v>28</v>
      </c>
    </row>
    <row r="2412" spans="1:14" ht="14.4" thickBot="1" x14ac:dyDescent="0.35">
      <c r="A2412" s="4" t="s">
        <v>19</v>
      </c>
      <c r="B2412" s="4" t="s">
        <v>144</v>
      </c>
      <c r="C2412" s="4" t="s">
        <v>145</v>
      </c>
      <c r="D2412" s="4" t="s">
        <v>146</v>
      </c>
      <c r="E2412" s="4" t="s">
        <v>42</v>
      </c>
      <c r="F2412" s="4" t="s">
        <v>2591</v>
      </c>
      <c r="G2412" s="4" t="s">
        <v>2592</v>
      </c>
      <c r="H2412" s="4" t="s">
        <v>135</v>
      </c>
      <c r="I2412" s="4" t="s">
        <v>33</v>
      </c>
      <c r="J2412" s="4" t="s">
        <v>27</v>
      </c>
      <c r="K2412" s="4" t="s">
        <v>28</v>
      </c>
      <c r="L2412" s="4" t="s">
        <v>28</v>
      </c>
      <c r="M2412" s="4" t="s">
        <v>34</v>
      </c>
      <c r="N2412" s="4" t="s">
        <v>28</v>
      </c>
    </row>
    <row r="2413" spans="1:14" ht="14.4" thickBot="1" x14ac:dyDescent="0.35">
      <c r="A2413" s="4" t="s">
        <v>19</v>
      </c>
      <c r="B2413" s="4" t="s">
        <v>144</v>
      </c>
      <c r="C2413" s="4" t="s">
        <v>145</v>
      </c>
      <c r="D2413" s="4" t="s">
        <v>146</v>
      </c>
      <c r="E2413" s="4" t="s">
        <v>42</v>
      </c>
      <c r="F2413" s="4" t="s">
        <v>2593</v>
      </c>
      <c r="G2413" s="4" t="s">
        <v>2594</v>
      </c>
      <c r="H2413" s="4" t="s">
        <v>69</v>
      </c>
      <c r="I2413" s="4" t="s">
        <v>94</v>
      </c>
      <c r="J2413" s="4" t="s">
        <v>28</v>
      </c>
      <c r="K2413" s="4" t="s">
        <v>27</v>
      </c>
      <c r="L2413" s="4" t="s">
        <v>28</v>
      </c>
      <c r="M2413" s="4" t="s">
        <v>34</v>
      </c>
      <c r="N2413" s="4" t="s">
        <v>28</v>
      </c>
    </row>
    <row r="2414" spans="1:14" ht="14.4" thickBot="1" x14ac:dyDescent="0.35">
      <c r="A2414" s="4" t="s">
        <v>19</v>
      </c>
      <c r="B2414" s="4" t="s">
        <v>144</v>
      </c>
      <c r="C2414" s="4" t="s">
        <v>145</v>
      </c>
      <c r="D2414" s="4" t="s">
        <v>146</v>
      </c>
      <c r="E2414" s="4" t="s">
        <v>42</v>
      </c>
      <c r="F2414" s="4" t="s">
        <v>3386</v>
      </c>
      <c r="G2414" s="4" t="s">
        <v>228</v>
      </c>
      <c r="H2414" s="4" t="s">
        <v>26</v>
      </c>
      <c r="I2414" s="4" t="s">
        <v>33</v>
      </c>
      <c r="J2414" s="4" t="s">
        <v>27</v>
      </c>
      <c r="K2414" s="4" t="s">
        <v>28</v>
      </c>
      <c r="L2414" s="4" t="s">
        <v>28</v>
      </c>
      <c r="M2414" s="4" t="s">
        <v>34</v>
      </c>
      <c r="N2414" s="4" t="s">
        <v>28</v>
      </c>
    </row>
    <row r="2415" spans="1:14" ht="14.4" thickBot="1" x14ac:dyDescent="0.35">
      <c r="A2415" s="4" t="s">
        <v>19</v>
      </c>
      <c r="B2415" s="4" t="s">
        <v>144</v>
      </c>
      <c r="C2415" s="4" t="s">
        <v>145</v>
      </c>
      <c r="D2415" s="4" t="s">
        <v>146</v>
      </c>
      <c r="E2415" s="4" t="s">
        <v>42</v>
      </c>
      <c r="F2415" s="4" t="s">
        <v>3387</v>
      </c>
      <c r="G2415" s="4" t="s">
        <v>3388</v>
      </c>
      <c r="H2415" s="4" t="s">
        <v>26</v>
      </c>
      <c r="I2415" s="4" t="s">
        <v>38</v>
      </c>
      <c r="J2415" s="4" t="s">
        <v>28</v>
      </c>
      <c r="K2415" s="4" t="s">
        <v>28</v>
      </c>
      <c r="L2415" s="4" t="s">
        <v>27</v>
      </c>
      <c r="M2415" s="4" t="s">
        <v>29</v>
      </c>
      <c r="N2415" s="4" t="s">
        <v>28</v>
      </c>
    </row>
    <row r="2416" spans="1:14" ht="14.4" thickBot="1" x14ac:dyDescent="0.35">
      <c r="A2416" s="4" t="s">
        <v>19</v>
      </c>
      <c r="B2416" s="4" t="s">
        <v>144</v>
      </c>
      <c r="C2416" s="4" t="s">
        <v>145</v>
      </c>
      <c r="D2416" s="4" t="s">
        <v>146</v>
      </c>
      <c r="E2416" s="4" t="s">
        <v>42</v>
      </c>
      <c r="F2416" s="4" t="s">
        <v>3389</v>
      </c>
      <c r="G2416" s="4" t="s">
        <v>1105</v>
      </c>
      <c r="H2416" s="4" t="s">
        <v>26</v>
      </c>
      <c r="I2416" s="4" t="s">
        <v>26</v>
      </c>
      <c r="J2416" s="4" t="s">
        <v>27</v>
      </c>
      <c r="K2416" s="4" t="s">
        <v>28</v>
      </c>
      <c r="L2416" s="4" t="s">
        <v>28</v>
      </c>
      <c r="M2416" s="4" t="s">
        <v>130</v>
      </c>
      <c r="N2416" s="4" t="s">
        <v>28</v>
      </c>
    </row>
    <row r="2417" spans="1:14" ht="14.4" thickBot="1" x14ac:dyDescent="0.35">
      <c r="A2417" s="4" t="s">
        <v>19</v>
      </c>
      <c r="B2417" s="4" t="s">
        <v>144</v>
      </c>
      <c r="C2417" s="4" t="s">
        <v>145</v>
      </c>
      <c r="D2417" s="4" t="s">
        <v>146</v>
      </c>
      <c r="E2417" s="4" t="s">
        <v>42</v>
      </c>
      <c r="F2417" s="4" t="s">
        <v>3390</v>
      </c>
      <c r="G2417" s="4" t="s">
        <v>3391</v>
      </c>
      <c r="H2417" s="4" t="s">
        <v>37</v>
      </c>
      <c r="I2417" s="4" t="s">
        <v>38</v>
      </c>
      <c r="J2417" s="4" t="s">
        <v>28</v>
      </c>
      <c r="K2417" s="4" t="s">
        <v>28</v>
      </c>
      <c r="L2417" s="4" t="s">
        <v>27</v>
      </c>
      <c r="M2417" s="4" t="s">
        <v>34</v>
      </c>
      <c r="N2417" s="4" t="s">
        <v>28</v>
      </c>
    </row>
    <row r="2418" spans="1:14" ht="14.4" thickBot="1" x14ac:dyDescent="0.35">
      <c r="A2418" s="4" t="s">
        <v>19</v>
      </c>
      <c r="B2418" s="4" t="s">
        <v>144</v>
      </c>
      <c r="C2418" s="4" t="s">
        <v>145</v>
      </c>
      <c r="D2418" s="4" t="s">
        <v>146</v>
      </c>
      <c r="E2418" s="4" t="s">
        <v>42</v>
      </c>
      <c r="F2418" s="4" t="s">
        <v>3392</v>
      </c>
      <c r="G2418" s="4" t="s">
        <v>3393</v>
      </c>
      <c r="H2418" s="4" t="s">
        <v>26</v>
      </c>
      <c r="I2418" s="4" t="s">
        <v>33</v>
      </c>
      <c r="J2418" s="4" t="s">
        <v>27</v>
      </c>
      <c r="K2418" s="4" t="s">
        <v>28</v>
      </c>
      <c r="L2418" s="4" t="s">
        <v>28</v>
      </c>
      <c r="M2418" s="4" t="s">
        <v>34</v>
      </c>
      <c r="N2418" s="4" t="s">
        <v>28</v>
      </c>
    </row>
    <row r="2419" spans="1:14" ht="14.4" thickBot="1" x14ac:dyDescent="0.35">
      <c r="A2419" s="4" t="s">
        <v>19</v>
      </c>
      <c r="B2419" s="4" t="s">
        <v>144</v>
      </c>
      <c r="C2419" s="4" t="s">
        <v>145</v>
      </c>
      <c r="D2419" s="4" t="s">
        <v>146</v>
      </c>
      <c r="E2419" s="4" t="s">
        <v>42</v>
      </c>
      <c r="F2419" s="4" t="s">
        <v>4184</v>
      </c>
      <c r="G2419" s="4" t="s">
        <v>4185</v>
      </c>
      <c r="H2419" s="4" t="s">
        <v>69</v>
      </c>
      <c r="I2419" s="4" t="s">
        <v>94</v>
      </c>
      <c r="J2419" s="4" t="s">
        <v>28</v>
      </c>
      <c r="K2419" s="4" t="s">
        <v>27</v>
      </c>
      <c r="L2419" s="4" t="s">
        <v>28</v>
      </c>
      <c r="M2419" s="4" t="s">
        <v>34</v>
      </c>
      <c r="N2419" s="4" t="s">
        <v>28</v>
      </c>
    </row>
    <row r="2420" spans="1:14" ht="14.4" thickBot="1" x14ac:dyDescent="0.35">
      <c r="A2420" s="4" t="s">
        <v>19</v>
      </c>
      <c r="B2420" s="4" t="s">
        <v>144</v>
      </c>
      <c r="C2420" s="4" t="s">
        <v>145</v>
      </c>
      <c r="D2420" s="4" t="s">
        <v>146</v>
      </c>
      <c r="E2420" s="4" t="s">
        <v>42</v>
      </c>
      <c r="F2420" s="4" t="s">
        <v>4864</v>
      </c>
      <c r="G2420" s="4" t="s">
        <v>4865</v>
      </c>
      <c r="H2420" s="4" t="s">
        <v>26</v>
      </c>
      <c r="I2420" s="4" t="s">
        <v>33</v>
      </c>
      <c r="J2420" s="4" t="s">
        <v>27</v>
      </c>
      <c r="K2420" s="4" t="s">
        <v>28</v>
      </c>
      <c r="L2420" s="4" t="s">
        <v>28</v>
      </c>
      <c r="M2420" s="4" t="s">
        <v>29</v>
      </c>
      <c r="N2420" s="4" t="s">
        <v>28</v>
      </c>
    </row>
    <row r="2421" spans="1:14" ht="14.4" thickBot="1" x14ac:dyDescent="0.35">
      <c r="A2421" s="4" t="s">
        <v>19</v>
      </c>
      <c r="B2421" s="4" t="s">
        <v>144</v>
      </c>
      <c r="C2421" s="4" t="s">
        <v>145</v>
      </c>
      <c r="D2421" s="4" t="s">
        <v>146</v>
      </c>
      <c r="E2421" s="4" t="s">
        <v>42</v>
      </c>
      <c r="F2421" s="4" t="s">
        <v>5579</v>
      </c>
      <c r="G2421" s="4" t="s">
        <v>5580</v>
      </c>
      <c r="H2421" s="4" t="s">
        <v>135</v>
      </c>
      <c r="I2421" s="4" t="s">
        <v>33</v>
      </c>
      <c r="J2421" s="4" t="s">
        <v>27</v>
      </c>
      <c r="K2421" s="4" t="s">
        <v>28</v>
      </c>
      <c r="L2421" s="4" t="s">
        <v>28</v>
      </c>
      <c r="M2421" s="4" t="s">
        <v>34</v>
      </c>
      <c r="N2421" s="4" t="s">
        <v>28</v>
      </c>
    </row>
    <row r="2422" spans="1:14" ht="14.4" thickBot="1" x14ac:dyDescent="0.35">
      <c r="A2422" s="4" t="s">
        <v>19</v>
      </c>
      <c r="B2422" s="4" t="s">
        <v>144</v>
      </c>
      <c r="C2422" s="4" t="s">
        <v>149</v>
      </c>
      <c r="D2422" s="4" t="s">
        <v>150</v>
      </c>
      <c r="E2422" s="4" t="s">
        <v>48</v>
      </c>
      <c r="F2422" s="4" t="s">
        <v>151</v>
      </c>
      <c r="G2422" s="4" t="s">
        <v>152</v>
      </c>
      <c r="H2422" s="4" t="s">
        <v>26</v>
      </c>
      <c r="I2422" s="4" t="s">
        <v>69</v>
      </c>
      <c r="J2422" s="4" t="s">
        <v>27</v>
      </c>
      <c r="K2422" s="4" t="s">
        <v>28</v>
      </c>
      <c r="L2422" s="4" t="s">
        <v>28</v>
      </c>
      <c r="M2422" s="4" t="s">
        <v>34</v>
      </c>
      <c r="N2422" s="4" t="s">
        <v>28</v>
      </c>
    </row>
    <row r="2423" spans="1:14" ht="14.4" thickBot="1" x14ac:dyDescent="0.35">
      <c r="A2423" s="4" t="s">
        <v>19</v>
      </c>
      <c r="B2423" s="4" t="s">
        <v>144</v>
      </c>
      <c r="C2423" s="4" t="s">
        <v>149</v>
      </c>
      <c r="D2423" s="4" t="s">
        <v>150</v>
      </c>
      <c r="E2423" s="4" t="s">
        <v>48</v>
      </c>
      <c r="F2423" s="4" t="s">
        <v>1952</v>
      </c>
      <c r="G2423" s="4" t="s">
        <v>1953</v>
      </c>
      <c r="H2423" s="4" t="s">
        <v>122</v>
      </c>
      <c r="I2423" s="4" t="s">
        <v>94</v>
      </c>
      <c r="J2423" s="4" t="s">
        <v>28</v>
      </c>
      <c r="K2423" s="4" t="s">
        <v>27</v>
      </c>
      <c r="L2423" s="4" t="s">
        <v>28</v>
      </c>
      <c r="M2423" s="4" t="s">
        <v>34</v>
      </c>
      <c r="N2423" s="4" t="s">
        <v>28</v>
      </c>
    </row>
    <row r="2424" spans="1:14" ht="14.4" thickBot="1" x14ac:dyDescent="0.35">
      <c r="A2424" s="4" t="s">
        <v>19</v>
      </c>
      <c r="B2424" s="4" t="s">
        <v>144</v>
      </c>
      <c r="C2424" s="4" t="s">
        <v>149</v>
      </c>
      <c r="D2424" s="4" t="s">
        <v>150</v>
      </c>
      <c r="E2424" s="4" t="s">
        <v>48</v>
      </c>
      <c r="F2424" s="4" t="s">
        <v>3394</v>
      </c>
      <c r="G2424" s="4" t="s">
        <v>3395</v>
      </c>
      <c r="H2424" s="4" t="s">
        <v>26</v>
      </c>
      <c r="I2424" s="4" t="s">
        <v>38</v>
      </c>
      <c r="J2424" s="4" t="s">
        <v>28</v>
      </c>
      <c r="K2424" s="4" t="s">
        <v>28</v>
      </c>
      <c r="L2424" s="4" t="s">
        <v>27</v>
      </c>
      <c r="M2424" s="4" t="s">
        <v>34</v>
      </c>
      <c r="N2424" s="4" t="s">
        <v>27</v>
      </c>
    </row>
    <row r="2425" spans="1:14" ht="14.4" thickBot="1" x14ac:dyDescent="0.35">
      <c r="A2425" s="4" t="s">
        <v>19</v>
      </c>
      <c r="B2425" s="4" t="s">
        <v>144</v>
      </c>
      <c r="C2425" s="4" t="s">
        <v>149</v>
      </c>
      <c r="D2425" s="4" t="s">
        <v>150</v>
      </c>
      <c r="E2425" s="4" t="s">
        <v>48</v>
      </c>
      <c r="F2425" s="4" t="s">
        <v>4186</v>
      </c>
      <c r="G2425" s="4" t="s">
        <v>4187</v>
      </c>
      <c r="H2425" s="4" t="s">
        <v>37</v>
      </c>
      <c r="I2425" s="4" t="s">
        <v>38</v>
      </c>
      <c r="J2425" s="4" t="s">
        <v>28</v>
      </c>
      <c r="K2425" s="4" t="s">
        <v>28</v>
      </c>
      <c r="L2425" s="4" t="s">
        <v>27</v>
      </c>
      <c r="M2425" s="4" t="s">
        <v>34</v>
      </c>
      <c r="N2425" s="4" t="s">
        <v>28</v>
      </c>
    </row>
    <row r="2426" spans="1:14" ht="14.4" thickBot="1" x14ac:dyDescent="0.35">
      <c r="A2426" s="4" t="s">
        <v>19</v>
      </c>
      <c r="B2426" s="4" t="s">
        <v>153</v>
      </c>
      <c r="C2426" s="4" t="s">
        <v>1106</v>
      </c>
      <c r="D2426" s="4" t="s">
        <v>1107</v>
      </c>
      <c r="E2426" s="4" t="s">
        <v>23</v>
      </c>
      <c r="F2426" s="4" t="s">
        <v>1108</v>
      </c>
      <c r="G2426" s="4" t="s">
        <v>1109</v>
      </c>
      <c r="H2426" s="4" t="s">
        <v>69</v>
      </c>
      <c r="I2426" s="4" t="s">
        <v>94</v>
      </c>
      <c r="J2426" s="4" t="s">
        <v>28</v>
      </c>
      <c r="K2426" s="4" t="s">
        <v>27</v>
      </c>
      <c r="L2426" s="4" t="s">
        <v>28</v>
      </c>
      <c r="M2426" s="4" t="s">
        <v>34</v>
      </c>
      <c r="N2426" s="4" t="s">
        <v>28</v>
      </c>
    </row>
    <row r="2427" spans="1:14" ht="14.4" thickBot="1" x14ac:dyDescent="0.35">
      <c r="A2427" s="4" t="s">
        <v>19</v>
      </c>
      <c r="B2427" s="4" t="s">
        <v>153</v>
      </c>
      <c r="C2427" s="4" t="s">
        <v>1106</v>
      </c>
      <c r="D2427" s="4" t="s">
        <v>1107</v>
      </c>
      <c r="E2427" s="4" t="s">
        <v>23</v>
      </c>
      <c r="F2427" s="4" t="s">
        <v>3396</v>
      </c>
      <c r="G2427" s="4" t="s">
        <v>3397</v>
      </c>
      <c r="H2427" s="4" t="s">
        <v>26</v>
      </c>
      <c r="I2427" s="4" t="s">
        <v>61</v>
      </c>
      <c r="J2427" s="4" t="s">
        <v>27</v>
      </c>
      <c r="K2427" s="4" t="s">
        <v>28</v>
      </c>
      <c r="L2427" s="4" t="s">
        <v>28</v>
      </c>
      <c r="M2427" s="4" t="s">
        <v>34</v>
      </c>
      <c r="N2427" s="4" t="s">
        <v>28</v>
      </c>
    </row>
    <row r="2428" spans="1:14" ht="14.4" thickBot="1" x14ac:dyDescent="0.35">
      <c r="A2428" s="4" t="s">
        <v>19</v>
      </c>
      <c r="B2428" s="4" t="s">
        <v>153</v>
      </c>
      <c r="C2428" s="4" t="s">
        <v>1106</v>
      </c>
      <c r="D2428" s="4" t="s">
        <v>1107</v>
      </c>
      <c r="E2428" s="4" t="s">
        <v>23</v>
      </c>
      <c r="F2428" s="4" t="s">
        <v>4188</v>
      </c>
      <c r="G2428" s="4" t="s">
        <v>4189</v>
      </c>
      <c r="H2428" s="4" t="s">
        <v>32</v>
      </c>
      <c r="I2428" s="4" t="s">
        <v>33</v>
      </c>
      <c r="J2428" s="4" t="s">
        <v>27</v>
      </c>
      <c r="K2428" s="4" t="s">
        <v>28</v>
      </c>
      <c r="L2428" s="4" t="s">
        <v>28</v>
      </c>
      <c r="M2428" s="4" t="s">
        <v>34</v>
      </c>
      <c r="N2428" s="4" t="s">
        <v>28</v>
      </c>
    </row>
    <row r="2429" spans="1:14" ht="14.4" thickBot="1" x14ac:dyDescent="0.35">
      <c r="A2429" s="4" t="s">
        <v>19</v>
      </c>
      <c r="B2429" s="4" t="s">
        <v>153</v>
      </c>
      <c r="C2429" s="4" t="s">
        <v>1106</v>
      </c>
      <c r="D2429" s="4" t="s">
        <v>1107</v>
      </c>
      <c r="E2429" s="4" t="s">
        <v>23</v>
      </c>
      <c r="F2429" s="4" t="s">
        <v>5581</v>
      </c>
      <c r="G2429" s="4" t="s">
        <v>5582</v>
      </c>
      <c r="H2429" s="4" t="s">
        <v>37</v>
      </c>
      <c r="I2429" s="4" t="s">
        <v>38</v>
      </c>
      <c r="J2429" s="4" t="s">
        <v>28</v>
      </c>
      <c r="K2429" s="4" t="s">
        <v>28</v>
      </c>
      <c r="L2429" s="4" t="s">
        <v>27</v>
      </c>
      <c r="M2429" s="4" t="s">
        <v>34</v>
      </c>
      <c r="N2429" s="4" t="s">
        <v>28</v>
      </c>
    </row>
    <row r="2430" spans="1:14" ht="14.4" thickBot="1" x14ac:dyDescent="0.35">
      <c r="A2430" s="4" t="s">
        <v>19</v>
      </c>
      <c r="B2430" s="4" t="s">
        <v>153</v>
      </c>
      <c r="C2430" s="4" t="s">
        <v>154</v>
      </c>
      <c r="D2430" s="4" t="s">
        <v>155</v>
      </c>
      <c r="E2430" s="4" t="s">
        <v>42</v>
      </c>
      <c r="F2430" s="4" t="s">
        <v>156</v>
      </c>
      <c r="G2430" s="4" t="s">
        <v>157</v>
      </c>
      <c r="H2430" s="4" t="s">
        <v>158</v>
      </c>
      <c r="I2430" s="4" t="s">
        <v>94</v>
      </c>
      <c r="J2430" s="4" t="s">
        <v>27</v>
      </c>
      <c r="K2430" s="4" t="s">
        <v>28</v>
      </c>
      <c r="L2430" s="4" t="s">
        <v>28</v>
      </c>
      <c r="M2430" s="4" t="s">
        <v>29</v>
      </c>
      <c r="N2430" s="4" t="s">
        <v>28</v>
      </c>
    </row>
    <row r="2431" spans="1:14" ht="14.4" thickBot="1" x14ac:dyDescent="0.35">
      <c r="A2431" s="4" t="s">
        <v>19</v>
      </c>
      <c r="B2431" s="4" t="s">
        <v>153</v>
      </c>
      <c r="C2431" s="4" t="s">
        <v>154</v>
      </c>
      <c r="D2431" s="4" t="s">
        <v>155</v>
      </c>
      <c r="E2431" s="4" t="s">
        <v>42</v>
      </c>
      <c r="F2431" s="4" t="s">
        <v>1110</v>
      </c>
      <c r="G2431" s="4" t="s">
        <v>1111</v>
      </c>
      <c r="H2431" s="4" t="s">
        <v>26</v>
      </c>
      <c r="I2431" s="4" t="s">
        <v>116</v>
      </c>
      <c r="J2431" s="4" t="s">
        <v>27</v>
      </c>
      <c r="K2431" s="4" t="s">
        <v>28</v>
      </c>
      <c r="L2431" s="4" t="s">
        <v>28</v>
      </c>
      <c r="M2431" s="4" t="s">
        <v>34</v>
      </c>
      <c r="N2431" s="4" t="s">
        <v>28</v>
      </c>
    </row>
    <row r="2432" spans="1:14" ht="14.4" thickBot="1" x14ac:dyDescent="0.35">
      <c r="A2432" s="4" t="s">
        <v>19</v>
      </c>
      <c r="B2432" s="4" t="s">
        <v>153</v>
      </c>
      <c r="C2432" s="4" t="s">
        <v>154</v>
      </c>
      <c r="D2432" s="4" t="s">
        <v>155</v>
      </c>
      <c r="E2432" s="4" t="s">
        <v>42</v>
      </c>
      <c r="F2432" s="4" t="s">
        <v>1954</v>
      </c>
      <c r="G2432" s="4" t="s">
        <v>1955</v>
      </c>
      <c r="H2432" s="4" t="s">
        <v>26</v>
      </c>
      <c r="I2432" s="4" t="s">
        <v>94</v>
      </c>
      <c r="J2432" s="5"/>
      <c r="K2432" s="5"/>
      <c r="L2432" s="5"/>
      <c r="M2432" s="4" t="s">
        <v>29</v>
      </c>
      <c r="N2432" s="5"/>
    </row>
    <row r="2433" spans="1:14" ht="14.4" thickBot="1" x14ac:dyDescent="0.35">
      <c r="A2433" s="4" t="s">
        <v>19</v>
      </c>
      <c r="B2433" s="4" t="s">
        <v>153</v>
      </c>
      <c r="C2433" s="4" t="s">
        <v>154</v>
      </c>
      <c r="D2433" s="4" t="s">
        <v>155</v>
      </c>
      <c r="E2433" s="4" t="s">
        <v>42</v>
      </c>
      <c r="F2433" s="4" t="s">
        <v>1956</v>
      </c>
      <c r="G2433" s="4" t="s">
        <v>1957</v>
      </c>
      <c r="H2433" s="4" t="s">
        <v>37</v>
      </c>
      <c r="I2433" s="4" t="s">
        <v>38</v>
      </c>
      <c r="J2433" s="4" t="s">
        <v>28</v>
      </c>
      <c r="K2433" s="4" t="s">
        <v>28</v>
      </c>
      <c r="L2433" s="4" t="s">
        <v>27</v>
      </c>
      <c r="M2433" s="4" t="s">
        <v>34</v>
      </c>
      <c r="N2433" s="4" t="s">
        <v>28</v>
      </c>
    </row>
    <row r="2434" spans="1:14" ht="14.4" thickBot="1" x14ac:dyDescent="0.35">
      <c r="A2434" s="4" t="s">
        <v>19</v>
      </c>
      <c r="B2434" s="4" t="s">
        <v>153</v>
      </c>
      <c r="C2434" s="4" t="s">
        <v>154</v>
      </c>
      <c r="D2434" s="4" t="s">
        <v>155</v>
      </c>
      <c r="E2434" s="4" t="s">
        <v>42</v>
      </c>
      <c r="F2434" s="4" t="s">
        <v>2595</v>
      </c>
      <c r="G2434" s="4" t="s">
        <v>2596</v>
      </c>
      <c r="H2434" s="4" t="s">
        <v>69</v>
      </c>
      <c r="I2434" s="4" t="s">
        <v>94</v>
      </c>
      <c r="J2434" s="4" t="s">
        <v>28</v>
      </c>
      <c r="K2434" s="4" t="s">
        <v>27</v>
      </c>
      <c r="L2434" s="4" t="s">
        <v>28</v>
      </c>
      <c r="M2434" s="4" t="s">
        <v>34</v>
      </c>
      <c r="N2434" s="4" t="s">
        <v>28</v>
      </c>
    </row>
    <row r="2435" spans="1:14" ht="14.4" thickBot="1" x14ac:dyDescent="0.35">
      <c r="A2435" s="4" t="s">
        <v>19</v>
      </c>
      <c r="B2435" s="4" t="s">
        <v>153</v>
      </c>
      <c r="C2435" s="4" t="s">
        <v>154</v>
      </c>
      <c r="D2435" s="4" t="s">
        <v>155</v>
      </c>
      <c r="E2435" s="4" t="s">
        <v>42</v>
      </c>
      <c r="F2435" s="4" t="s">
        <v>3398</v>
      </c>
      <c r="G2435" s="4" t="s">
        <v>3399</v>
      </c>
      <c r="H2435" s="4" t="s">
        <v>158</v>
      </c>
      <c r="I2435" s="4" t="s">
        <v>33</v>
      </c>
      <c r="J2435" s="4" t="s">
        <v>27</v>
      </c>
      <c r="K2435" s="4" t="s">
        <v>28</v>
      </c>
      <c r="L2435" s="4" t="s">
        <v>28</v>
      </c>
      <c r="M2435" s="4" t="s">
        <v>34</v>
      </c>
      <c r="N2435" s="4" t="s">
        <v>28</v>
      </c>
    </row>
    <row r="2436" spans="1:14" ht="14.4" thickBot="1" x14ac:dyDescent="0.35">
      <c r="A2436" s="4" t="s">
        <v>19</v>
      </c>
      <c r="B2436" s="4" t="s">
        <v>153</v>
      </c>
      <c r="C2436" s="4" t="s">
        <v>154</v>
      </c>
      <c r="D2436" s="4" t="s">
        <v>155</v>
      </c>
      <c r="E2436" s="4" t="s">
        <v>42</v>
      </c>
      <c r="F2436" s="4" t="s">
        <v>4190</v>
      </c>
      <c r="G2436" s="4" t="s">
        <v>2945</v>
      </c>
      <c r="H2436" s="4" t="s">
        <v>158</v>
      </c>
      <c r="I2436" s="4" t="s">
        <v>33</v>
      </c>
      <c r="J2436" s="4" t="s">
        <v>27</v>
      </c>
      <c r="K2436" s="4" t="s">
        <v>28</v>
      </c>
      <c r="L2436" s="4" t="s">
        <v>28</v>
      </c>
      <c r="M2436" s="4" t="s">
        <v>34</v>
      </c>
      <c r="N2436" s="4" t="s">
        <v>28</v>
      </c>
    </row>
    <row r="2437" spans="1:14" ht="14.4" thickBot="1" x14ac:dyDescent="0.35">
      <c r="A2437" s="4" t="s">
        <v>19</v>
      </c>
      <c r="B2437" s="4" t="s">
        <v>153</v>
      </c>
      <c r="C2437" s="4" t="s">
        <v>154</v>
      </c>
      <c r="D2437" s="4" t="s">
        <v>155</v>
      </c>
      <c r="E2437" s="4" t="s">
        <v>42</v>
      </c>
      <c r="F2437" s="4" t="s">
        <v>4191</v>
      </c>
      <c r="G2437" s="4" t="s">
        <v>4192</v>
      </c>
      <c r="H2437" s="4" t="s">
        <v>26</v>
      </c>
      <c r="I2437" s="4" t="s">
        <v>26</v>
      </c>
      <c r="J2437" s="5"/>
      <c r="K2437" s="5"/>
      <c r="L2437" s="5"/>
      <c r="M2437" s="4" t="s">
        <v>130</v>
      </c>
      <c r="N2437" s="5"/>
    </row>
    <row r="2438" spans="1:14" ht="14.4" thickBot="1" x14ac:dyDescent="0.35">
      <c r="A2438" s="4" t="s">
        <v>19</v>
      </c>
      <c r="B2438" s="4" t="s">
        <v>153</v>
      </c>
      <c r="C2438" s="4" t="s">
        <v>154</v>
      </c>
      <c r="D2438" s="4" t="s">
        <v>155</v>
      </c>
      <c r="E2438" s="4" t="s">
        <v>42</v>
      </c>
      <c r="F2438" s="4" t="s">
        <v>1127</v>
      </c>
      <c r="G2438" s="4" t="s">
        <v>1313</v>
      </c>
      <c r="H2438" s="4" t="s">
        <v>158</v>
      </c>
      <c r="I2438" s="4" t="s">
        <v>33</v>
      </c>
      <c r="J2438" s="4" t="s">
        <v>27</v>
      </c>
      <c r="K2438" s="4" t="s">
        <v>28</v>
      </c>
      <c r="L2438" s="4" t="s">
        <v>28</v>
      </c>
      <c r="M2438" s="4" t="s">
        <v>34</v>
      </c>
      <c r="N2438" s="4" t="s">
        <v>28</v>
      </c>
    </row>
    <row r="2439" spans="1:14" ht="14.4" thickBot="1" x14ac:dyDescent="0.35">
      <c r="A2439" s="4" t="s">
        <v>19</v>
      </c>
      <c r="B2439" s="4" t="s">
        <v>153</v>
      </c>
      <c r="C2439" s="4" t="s">
        <v>154</v>
      </c>
      <c r="D2439" s="4" t="s">
        <v>155</v>
      </c>
      <c r="E2439" s="4" t="s">
        <v>42</v>
      </c>
      <c r="F2439" s="4" t="s">
        <v>4866</v>
      </c>
      <c r="G2439" s="4" t="s">
        <v>4867</v>
      </c>
      <c r="H2439" s="4" t="s">
        <v>26</v>
      </c>
      <c r="I2439" s="4" t="s">
        <v>26</v>
      </c>
      <c r="J2439" s="4" t="s">
        <v>27</v>
      </c>
      <c r="K2439" s="4" t="s">
        <v>28</v>
      </c>
      <c r="L2439" s="4" t="s">
        <v>28</v>
      </c>
      <c r="M2439" s="4" t="s">
        <v>29</v>
      </c>
      <c r="N2439" s="4" t="s">
        <v>28</v>
      </c>
    </row>
    <row r="2440" spans="1:14" ht="14.4" thickBot="1" x14ac:dyDescent="0.35">
      <c r="A2440" s="4" t="s">
        <v>19</v>
      </c>
      <c r="B2440" s="4" t="s">
        <v>153</v>
      </c>
      <c r="C2440" s="4" t="s">
        <v>154</v>
      </c>
      <c r="D2440" s="4" t="s">
        <v>155</v>
      </c>
      <c r="E2440" s="4" t="s">
        <v>42</v>
      </c>
      <c r="F2440" s="4" t="s">
        <v>4868</v>
      </c>
      <c r="G2440" s="4" t="s">
        <v>4869</v>
      </c>
      <c r="H2440" s="4" t="s">
        <v>37</v>
      </c>
      <c r="I2440" s="4" t="s">
        <v>38</v>
      </c>
      <c r="J2440" s="4" t="s">
        <v>28</v>
      </c>
      <c r="K2440" s="4" t="s">
        <v>28</v>
      </c>
      <c r="L2440" s="4" t="s">
        <v>27</v>
      </c>
      <c r="M2440" s="4" t="s">
        <v>34</v>
      </c>
      <c r="N2440" s="4" t="s">
        <v>28</v>
      </c>
    </row>
    <row r="2441" spans="1:14" ht="14.4" thickBot="1" x14ac:dyDescent="0.35">
      <c r="A2441" s="4" t="s">
        <v>19</v>
      </c>
      <c r="B2441" s="4" t="s">
        <v>153</v>
      </c>
      <c r="C2441" s="4" t="s">
        <v>154</v>
      </c>
      <c r="D2441" s="4" t="s">
        <v>155</v>
      </c>
      <c r="E2441" s="4" t="s">
        <v>42</v>
      </c>
      <c r="F2441" s="4" t="s">
        <v>5583</v>
      </c>
      <c r="G2441" s="4" t="s">
        <v>5584</v>
      </c>
      <c r="H2441" s="4" t="s">
        <v>158</v>
      </c>
      <c r="I2441" s="4" t="s">
        <v>33</v>
      </c>
      <c r="J2441" s="4" t="s">
        <v>27</v>
      </c>
      <c r="K2441" s="4" t="s">
        <v>28</v>
      </c>
      <c r="L2441" s="4" t="s">
        <v>28</v>
      </c>
      <c r="M2441" s="4" t="s">
        <v>34</v>
      </c>
      <c r="N2441" s="4" t="s">
        <v>28</v>
      </c>
    </row>
    <row r="2442" spans="1:14" ht="14.4" thickBot="1" x14ac:dyDescent="0.35">
      <c r="A2442" s="4" t="s">
        <v>19</v>
      </c>
      <c r="B2442" s="4" t="s">
        <v>153</v>
      </c>
      <c r="C2442" s="4" t="s">
        <v>154</v>
      </c>
      <c r="D2442" s="4" t="s">
        <v>155</v>
      </c>
      <c r="E2442" s="4" t="s">
        <v>42</v>
      </c>
      <c r="F2442" s="4" t="s">
        <v>5585</v>
      </c>
      <c r="G2442" s="4" t="s">
        <v>5586</v>
      </c>
      <c r="H2442" s="4" t="s">
        <v>135</v>
      </c>
      <c r="I2442" s="4" t="s">
        <v>94</v>
      </c>
      <c r="J2442" s="4" t="s">
        <v>27</v>
      </c>
      <c r="K2442" s="4" t="s">
        <v>28</v>
      </c>
      <c r="L2442" s="4" t="s">
        <v>28</v>
      </c>
      <c r="M2442" s="4" t="s">
        <v>29</v>
      </c>
      <c r="N2442" s="4" t="s">
        <v>28</v>
      </c>
    </row>
    <row r="2443" spans="1:14" ht="14.4" thickBot="1" x14ac:dyDescent="0.35">
      <c r="A2443" s="4" t="s">
        <v>19</v>
      </c>
      <c r="B2443" s="4" t="s">
        <v>153</v>
      </c>
      <c r="C2443" s="4" t="s">
        <v>4193</v>
      </c>
      <c r="D2443" s="4" t="s">
        <v>4194</v>
      </c>
      <c r="E2443" s="4" t="s">
        <v>48</v>
      </c>
      <c r="F2443" s="4" t="s">
        <v>4195</v>
      </c>
      <c r="G2443" s="4" t="s">
        <v>4196</v>
      </c>
      <c r="H2443" s="4" t="s">
        <v>26</v>
      </c>
      <c r="I2443" s="4" t="s">
        <v>69</v>
      </c>
      <c r="J2443" s="4" t="s">
        <v>27</v>
      </c>
      <c r="K2443" s="4" t="s">
        <v>28</v>
      </c>
      <c r="L2443" s="4" t="s">
        <v>28</v>
      </c>
      <c r="M2443" s="4" t="s">
        <v>34</v>
      </c>
      <c r="N2443" s="4" t="s">
        <v>28</v>
      </c>
    </row>
    <row r="2444" spans="1:14" ht="14.4" thickBot="1" x14ac:dyDescent="0.35">
      <c r="A2444" s="4" t="s">
        <v>19</v>
      </c>
      <c r="B2444" s="4" t="s">
        <v>153</v>
      </c>
      <c r="C2444" s="4" t="s">
        <v>4193</v>
      </c>
      <c r="D2444" s="4" t="s">
        <v>4194</v>
      </c>
      <c r="E2444" s="4" t="s">
        <v>48</v>
      </c>
      <c r="F2444" s="4" t="s">
        <v>4870</v>
      </c>
      <c r="G2444" s="4" t="s">
        <v>4871</v>
      </c>
      <c r="H2444" s="4" t="s">
        <v>122</v>
      </c>
      <c r="I2444" s="4" t="s">
        <v>38</v>
      </c>
      <c r="J2444" s="4" t="s">
        <v>28</v>
      </c>
      <c r="K2444" s="4" t="s">
        <v>28</v>
      </c>
      <c r="L2444" s="4" t="s">
        <v>27</v>
      </c>
      <c r="M2444" s="4" t="s">
        <v>34</v>
      </c>
      <c r="N2444" s="4" t="s">
        <v>28</v>
      </c>
    </row>
    <row r="2445" spans="1:14" ht="14.4" thickBot="1" x14ac:dyDescent="0.35">
      <c r="A2445" s="4" t="s">
        <v>19</v>
      </c>
      <c r="B2445" s="4" t="s">
        <v>153</v>
      </c>
      <c r="C2445" s="4" t="s">
        <v>1714</v>
      </c>
      <c r="D2445" s="4" t="s">
        <v>1715</v>
      </c>
      <c r="E2445" s="4" t="s">
        <v>48</v>
      </c>
      <c r="F2445" s="4" t="s">
        <v>1716</v>
      </c>
      <c r="G2445" s="4" t="s">
        <v>1717</v>
      </c>
      <c r="H2445" s="4" t="s">
        <v>37</v>
      </c>
      <c r="I2445" s="4" t="s">
        <v>38</v>
      </c>
      <c r="J2445" s="4" t="s">
        <v>28</v>
      </c>
      <c r="K2445" s="4" t="s">
        <v>28</v>
      </c>
      <c r="L2445" s="4" t="s">
        <v>27</v>
      </c>
      <c r="M2445" s="4" t="s">
        <v>34</v>
      </c>
      <c r="N2445" s="4" t="s">
        <v>28</v>
      </c>
    </row>
    <row r="2446" spans="1:14" ht="14.4" thickBot="1" x14ac:dyDescent="0.35">
      <c r="A2446" s="4" t="s">
        <v>19</v>
      </c>
      <c r="B2446" s="4" t="s">
        <v>153</v>
      </c>
      <c r="C2446" s="4" t="s">
        <v>1714</v>
      </c>
      <c r="D2446" s="4" t="s">
        <v>1715</v>
      </c>
      <c r="E2446" s="4" t="s">
        <v>48</v>
      </c>
      <c r="F2446" s="4" t="s">
        <v>4677</v>
      </c>
      <c r="G2446" s="4" t="s">
        <v>4678</v>
      </c>
      <c r="H2446" s="4" t="s">
        <v>122</v>
      </c>
      <c r="I2446" s="4" t="s">
        <v>94</v>
      </c>
      <c r="J2446" s="4" t="s">
        <v>28</v>
      </c>
      <c r="K2446" s="4" t="s">
        <v>27</v>
      </c>
      <c r="L2446" s="4" t="s">
        <v>28</v>
      </c>
      <c r="M2446" s="4" t="s">
        <v>34</v>
      </c>
      <c r="N2446" s="4" t="s">
        <v>28</v>
      </c>
    </row>
    <row r="2447" spans="1:14" ht="14.4" thickBot="1" x14ac:dyDescent="0.35">
      <c r="A2447" s="4" t="s">
        <v>19</v>
      </c>
      <c r="B2447" s="4" t="s">
        <v>153</v>
      </c>
      <c r="C2447" s="4" t="s">
        <v>1714</v>
      </c>
      <c r="D2447" s="4" t="s">
        <v>1715</v>
      </c>
      <c r="E2447" s="4" t="s">
        <v>48</v>
      </c>
      <c r="F2447" s="4" t="s">
        <v>5376</v>
      </c>
      <c r="G2447" s="4" t="s">
        <v>5377</v>
      </c>
      <c r="H2447" s="4" t="s">
        <v>26</v>
      </c>
      <c r="I2447" s="4" t="s">
        <v>69</v>
      </c>
      <c r="J2447" s="4" t="s">
        <v>27</v>
      </c>
      <c r="K2447" s="4" t="s">
        <v>28</v>
      </c>
      <c r="L2447" s="4" t="s">
        <v>28</v>
      </c>
      <c r="M2447" s="4" t="s">
        <v>34</v>
      </c>
      <c r="N2447" s="4" t="s">
        <v>28</v>
      </c>
    </row>
    <row r="2448" spans="1:14" ht="14.4" thickBot="1" x14ac:dyDescent="0.35">
      <c r="A2448" s="4" t="s">
        <v>19</v>
      </c>
      <c r="B2448" s="4" t="s">
        <v>106</v>
      </c>
      <c r="C2448" s="4" t="s">
        <v>159</v>
      </c>
      <c r="D2448" s="4" t="s">
        <v>160</v>
      </c>
      <c r="E2448" s="4" t="s">
        <v>42</v>
      </c>
      <c r="F2448" s="4" t="s">
        <v>161</v>
      </c>
      <c r="G2448" s="4" t="s">
        <v>162</v>
      </c>
      <c r="H2448" s="4" t="s">
        <v>116</v>
      </c>
      <c r="I2448" s="4" t="s">
        <v>61</v>
      </c>
      <c r="J2448" s="4" t="s">
        <v>27</v>
      </c>
      <c r="K2448" s="4" t="s">
        <v>28</v>
      </c>
      <c r="L2448" s="4" t="s">
        <v>28</v>
      </c>
      <c r="M2448" s="4" t="s">
        <v>34</v>
      </c>
      <c r="N2448" s="4" t="s">
        <v>28</v>
      </c>
    </row>
    <row r="2449" spans="1:14" ht="14.4" thickBot="1" x14ac:dyDescent="0.35">
      <c r="A2449" s="4" t="s">
        <v>19</v>
      </c>
      <c r="B2449" s="4" t="s">
        <v>106</v>
      </c>
      <c r="C2449" s="4" t="s">
        <v>159</v>
      </c>
      <c r="D2449" s="4" t="s">
        <v>160</v>
      </c>
      <c r="E2449" s="4" t="s">
        <v>42</v>
      </c>
      <c r="F2449" s="4" t="s">
        <v>163</v>
      </c>
      <c r="G2449" s="4" t="s">
        <v>164</v>
      </c>
      <c r="H2449" s="4" t="s">
        <v>26</v>
      </c>
      <c r="I2449" s="4" t="s">
        <v>26</v>
      </c>
      <c r="J2449" s="4" t="s">
        <v>27</v>
      </c>
      <c r="K2449" s="4" t="s">
        <v>28</v>
      </c>
      <c r="L2449" s="4" t="s">
        <v>28</v>
      </c>
      <c r="M2449" s="4" t="s">
        <v>29</v>
      </c>
      <c r="N2449" s="4" t="s">
        <v>28</v>
      </c>
    </row>
    <row r="2450" spans="1:14" ht="14.4" thickBot="1" x14ac:dyDescent="0.35">
      <c r="A2450" s="4" t="s">
        <v>19</v>
      </c>
      <c r="B2450" s="4" t="s">
        <v>106</v>
      </c>
      <c r="C2450" s="4" t="s">
        <v>159</v>
      </c>
      <c r="D2450" s="4" t="s">
        <v>160</v>
      </c>
      <c r="E2450" s="4" t="s">
        <v>42</v>
      </c>
      <c r="F2450" s="4" t="s">
        <v>1112</v>
      </c>
      <c r="G2450" s="4" t="s">
        <v>1113</v>
      </c>
      <c r="H2450" s="4" t="s">
        <v>26</v>
      </c>
      <c r="I2450" s="4" t="s">
        <v>26</v>
      </c>
      <c r="J2450" s="4" t="s">
        <v>27</v>
      </c>
      <c r="K2450" s="4" t="s">
        <v>28</v>
      </c>
      <c r="L2450" s="4" t="s">
        <v>28</v>
      </c>
      <c r="M2450" s="4" t="s">
        <v>130</v>
      </c>
      <c r="N2450" s="4" t="s">
        <v>28</v>
      </c>
    </row>
    <row r="2451" spans="1:14" ht="14.4" thickBot="1" x14ac:dyDescent="0.35">
      <c r="A2451" s="4" t="s">
        <v>19</v>
      </c>
      <c r="B2451" s="4" t="s">
        <v>106</v>
      </c>
      <c r="C2451" s="4" t="s">
        <v>159</v>
      </c>
      <c r="D2451" s="4" t="s">
        <v>160</v>
      </c>
      <c r="E2451" s="4" t="s">
        <v>42</v>
      </c>
      <c r="F2451" s="4" t="s">
        <v>3400</v>
      </c>
      <c r="G2451" s="4" t="s">
        <v>3401</v>
      </c>
      <c r="H2451" s="4" t="s">
        <v>33</v>
      </c>
      <c r="I2451" s="4" t="s">
        <v>38</v>
      </c>
      <c r="J2451" s="4" t="s">
        <v>28</v>
      </c>
      <c r="K2451" s="4" t="s">
        <v>28</v>
      </c>
      <c r="L2451" s="4" t="s">
        <v>27</v>
      </c>
      <c r="M2451" s="4" t="s">
        <v>34</v>
      </c>
      <c r="N2451" s="4" t="s">
        <v>28</v>
      </c>
    </row>
    <row r="2452" spans="1:14" ht="14.4" thickBot="1" x14ac:dyDescent="0.35">
      <c r="A2452" s="4" t="s">
        <v>19</v>
      </c>
      <c r="B2452" s="4" t="s">
        <v>106</v>
      </c>
      <c r="C2452" s="4" t="s">
        <v>159</v>
      </c>
      <c r="D2452" s="4" t="s">
        <v>160</v>
      </c>
      <c r="E2452" s="4" t="s">
        <v>42</v>
      </c>
      <c r="F2452" s="4" t="s">
        <v>3402</v>
      </c>
      <c r="G2452" s="4" t="s">
        <v>3403</v>
      </c>
      <c r="H2452" s="4" t="s">
        <v>32</v>
      </c>
      <c r="I2452" s="4" t="s">
        <v>69</v>
      </c>
      <c r="J2452" s="4" t="s">
        <v>27</v>
      </c>
      <c r="K2452" s="4" t="s">
        <v>28</v>
      </c>
      <c r="L2452" s="4" t="s">
        <v>28</v>
      </c>
      <c r="M2452" s="4" t="s">
        <v>34</v>
      </c>
      <c r="N2452" s="4" t="s">
        <v>28</v>
      </c>
    </row>
    <row r="2453" spans="1:14" ht="14.4" thickBot="1" x14ac:dyDescent="0.35">
      <c r="A2453" s="4" t="s">
        <v>19</v>
      </c>
      <c r="B2453" s="4" t="s">
        <v>106</v>
      </c>
      <c r="C2453" s="4" t="s">
        <v>159</v>
      </c>
      <c r="D2453" s="4" t="s">
        <v>160</v>
      </c>
      <c r="E2453" s="4" t="s">
        <v>42</v>
      </c>
      <c r="F2453" s="4" t="s">
        <v>4197</v>
      </c>
      <c r="G2453" s="4" t="s">
        <v>4198</v>
      </c>
      <c r="H2453" s="4" t="s">
        <v>122</v>
      </c>
      <c r="I2453" s="4" t="s">
        <v>38</v>
      </c>
      <c r="J2453" s="4" t="s">
        <v>28</v>
      </c>
      <c r="K2453" s="4" t="s">
        <v>28</v>
      </c>
      <c r="L2453" s="4" t="s">
        <v>27</v>
      </c>
      <c r="M2453" s="4" t="s">
        <v>34</v>
      </c>
      <c r="N2453" s="4" t="s">
        <v>28</v>
      </c>
    </row>
    <row r="2454" spans="1:14" ht="14.4" thickBot="1" x14ac:dyDescent="0.35">
      <c r="A2454" s="4" t="s">
        <v>19</v>
      </c>
      <c r="B2454" s="4" t="s">
        <v>106</v>
      </c>
      <c r="C2454" s="4" t="s">
        <v>730</v>
      </c>
      <c r="D2454" s="4" t="s">
        <v>1114</v>
      </c>
      <c r="E2454" s="4" t="s">
        <v>23</v>
      </c>
      <c r="F2454" s="4" t="s">
        <v>1115</v>
      </c>
      <c r="G2454" s="4" t="s">
        <v>1116</v>
      </c>
      <c r="H2454" s="4" t="s">
        <v>26</v>
      </c>
      <c r="I2454" s="4" t="s">
        <v>26</v>
      </c>
      <c r="J2454" s="4" t="s">
        <v>27</v>
      </c>
      <c r="K2454" s="4" t="s">
        <v>28</v>
      </c>
      <c r="L2454" s="4" t="s">
        <v>28</v>
      </c>
      <c r="M2454" s="4" t="s">
        <v>29</v>
      </c>
      <c r="N2454" s="4" t="s">
        <v>28</v>
      </c>
    </row>
    <row r="2455" spans="1:14" ht="14.4" thickBot="1" x14ac:dyDescent="0.35">
      <c r="A2455" s="4" t="s">
        <v>19</v>
      </c>
      <c r="B2455" s="4" t="s">
        <v>106</v>
      </c>
      <c r="C2455" s="4" t="s">
        <v>730</v>
      </c>
      <c r="D2455" s="4" t="s">
        <v>1114</v>
      </c>
      <c r="E2455" s="4" t="s">
        <v>23</v>
      </c>
      <c r="F2455" s="4" t="s">
        <v>1958</v>
      </c>
      <c r="G2455" s="4" t="s">
        <v>1959</v>
      </c>
      <c r="H2455" s="4" t="s">
        <v>26</v>
      </c>
      <c r="I2455" s="4" t="s">
        <v>26</v>
      </c>
      <c r="J2455" s="4" t="s">
        <v>27</v>
      </c>
      <c r="K2455" s="4" t="s">
        <v>28</v>
      </c>
      <c r="L2455" s="4" t="s">
        <v>28</v>
      </c>
      <c r="M2455" s="4" t="s">
        <v>130</v>
      </c>
      <c r="N2455" s="4" t="s">
        <v>28</v>
      </c>
    </row>
    <row r="2456" spans="1:14" ht="14.4" thickBot="1" x14ac:dyDescent="0.35">
      <c r="A2456" s="4" t="s">
        <v>19</v>
      </c>
      <c r="B2456" s="4" t="s">
        <v>106</v>
      </c>
      <c r="C2456" s="4" t="s">
        <v>730</v>
      </c>
      <c r="D2456" s="4" t="s">
        <v>1114</v>
      </c>
      <c r="E2456" s="4" t="s">
        <v>23</v>
      </c>
      <c r="F2456" s="4" t="s">
        <v>1960</v>
      </c>
      <c r="G2456" s="4" t="s">
        <v>1961</v>
      </c>
      <c r="H2456" s="4" t="s">
        <v>26</v>
      </c>
      <c r="I2456" s="4" t="s">
        <v>26</v>
      </c>
      <c r="J2456" s="4" t="s">
        <v>27</v>
      </c>
      <c r="K2456" s="4" t="s">
        <v>28</v>
      </c>
      <c r="L2456" s="4" t="s">
        <v>28</v>
      </c>
      <c r="M2456" s="4" t="s">
        <v>29</v>
      </c>
      <c r="N2456" s="4" t="s">
        <v>28</v>
      </c>
    </row>
    <row r="2457" spans="1:14" ht="14.4" thickBot="1" x14ac:dyDescent="0.35">
      <c r="A2457" s="4" t="s">
        <v>19</v>
      </c>
      <c r="B2457" s="4" t="s">
        <v>106</v>
      </c>
      <c r="C2457" s="4" t="s">
        <v>730</v>
      </c>
      <c r="D2457" s="4" t="s">
        <v>1114</v>
      </c>
      <c r="E2457" s="4" t="s">
        <v>23</v>
      </c>
      <c r="F2457" s="4" t="s">
        <v>2597</v>
      </c>
      <c r="G2457" s="4" t="s">
        <v>2598</v>
      </c>
      <c r="H2457" s="4" t="s">
        <v>122</v>
      </c>
      <c r="I2457" s="4" t="s">
        <v>38</v>
      </c>
      <c r="J2457" s="4" t="s">
        <v>28</v>
      </c>
      <c r="K2457" s="4" t="s">
        <v>28</v>
      </c>
      <c r="L2457" s="4" t="s">
        <v>27</v>
      </c>
      <c r="M2457" s="4" t="s">
        <v>34</v>
      </c>
      <c r="N2457" s="4" t="s">
        <v>28</v>
      </c>
    </row>
    <row r="2458" spans="1:14" ht="14.4" thickBot="1" x14ac:dyDescent="0.35">
      <c r="A2458" s="4" t="s">
        <v>19</v>
      </c>
      <c r="B2458" s="4" t="s">
        <v>106</v>
      </c>
      <c r="C2458" s="4" t="s">
        <v>730</v>
      </c>
      <c r="D2458" s="4" t="s">
        <v>1114</v>
      </c>
      <c r="E2458" s="4" t="s">
        <v>23</v>
      </c>
      <c r="F2458" s="4" t="s">
        <v>2599</v>
      </c>
      <c r="G2458" s="4" t="s">
        <v>2600</v>
      </c>
      <c r="H2458" s="4" t="s">
        <v>26</v>
      </c>
      <c r="I2458" s="4" t="s">
        <v>61</v>
      </c>
      <c r="J2458" s="4" t="s">
        <v>27</v>
      </c>
      <c r="K2458" s="4" t="s">
        <v>28</v>
      </c>
      <c r="L2458" s="4" t="s">
        <v>28</v>
      </c>
      <c r="M2458" s="4" t="s">
        <v>34</v>
      </c>
      <c r="N2458" s="4" t="s">
        <v>28</v>
      </c>
    </row>
    <row r="2459" spans="1:14" ht="14.4" thickBot="1" x14ac:dyDescent="0.35">
      <c r="A2459" s="4" t="s">
        <v>19</v>
      </c>
      <c r="B2459" s="4" t="s">
        <v>106</v>
      </c>
      <c r="C2459" s="4" t="s">
        <v>730</v>
      </c>
      <c r="D2459" s="4" t="s">
        <v>1114</v>
      </c>
      <c r="E2459" s="4" t="s">
        <v>23</v>
      </c>
      <c r="F2459" s="4" t="s">
        <v>3404</v>
      </c>
      <c r="G2459" s="4" t="s">
        <v>3405</v>
      </c>
      <c r="H2459" s="4" t="s">
        <v>135</v>
      </c>
      <c r="I2459" s="4" t="s">
        <v>38</v>
      </c>
      <c r="J2459" s="5"/>
      <c r="K2459" s="5"/>
      <c r="L2459" s="5"/>
      <c r="M2459" s="4" t="s">
        <v>29</v>
      </c>
      <c r="N2459" s="5"/>
    </row>
    <row r="2460" spans="1:14" ht="14.4" thickBot="1" x14ac:dyDescent="0.35">
      <c r="A2460" s="4" t="s">
        <v>19</v>
      </c>
      <c r="B2460" s="4" t="s">
        <v>106</v>
      </c>
      <c r="C2460" s="4" t="s">
        <v>730</v>
      </c>
      <c r="D2460" s="4" t="s">
        <v>1114</v>
      </c>
      <c r="E2460" s="4" t="s">
        <v>23</v>
      </c>
      <c r="F2460" s="4" t="s">
        <v>4872</v>
      </c>
      <c r="G2460" s="4" t="s">
        <v>4873</v>
      </c>
      <c r="H2460" s="4" t="s">
        <v>32</v>
      </c>
      <c r="I2460" s="4" t="s">
        <v>69</v>
      </c>
      <c r="J2460" s="4" t="s">
        <v>27</v>
      </c>
      <c r="K2460" s="4" t="s">
        <v>28</v>
      </c>
      <c r="L2460" s="4" t="s">
        <v>28</v>
      </c>
      <c r="M2460" s="4" t="s">
        <v>34</v>
      </c>
      <c r="N2460" s="4" t="s">
        <v>28</v>
      </c>
    </row>
    <row r="2461" spans="1:14" ht="14.4" thickBot="1" x14ac:dyDescent="0.35">
      <c r="A2461" s="4" t="s">
        <v>19</v>
      </c>
      <c r="B2461" s="4" t="s">
        <v>106</v>
      </c>
      <c r="C2461" s="4" t="s">
        <v>1923</v>
      </c>
      <c r="D2461" s="4" t="s">
        <v>1924</v>
      </c>
      <c r="E2461" s="4" t="s">
        <v>48</v>
      </c>
      <c r="F2461" s="4" t="s">
        <v>1925</v>
      </c>
      <c r="G2461" s="4" t="s">
        <v>1926</v>
      </c>
      <c r="H2461" s="4" t="s">
        <v>69</v>
      </c>
      <c r="I2461" s="4" t="s">
        <v>38</v>
      </c>
      <c r="J2461" s="4" t="s">
        <v>28</v>
      </c>
      <c r="K2461" s="4" t="s">
        <v>28</v>
      </c>
      <c r="L2461" s="4" t="s">
        <v>27</v>
      </c>
      <c r="M2461" s="4" t="s">
        <v>34</v>
      </c>
      <c r="N2461" s="4" t="s">
        <v>28</v>
      </c>
    </row>
    <row r="2462" spans="1:14" ht="14.4" thickBot="1" x14ac:dyDescent="0.35">
      <c r="A2462" s="4" t="s">
        <v>19</v>
      </c>
      <c r="B2462" s="4" t="s">
        <v>106</v>
      </c>
      <c r="C2462" s="4" t="s">
        <v>1923</v>
      </c>
      <c r="D2462" s="4" t="s">
        <v>1924</v>
      </c>
      <c r="E2462" s="4" t="s">
        <v>48</v>
      </c>
      <c r="F2462" s="4" t="s">
        <v>4162</v>
      </c>
      <c r="G2462" s="4" t="s">
        <v>4163</v>
      </c>
      <c r="H2462" s="4" t="s">
        <v>26</v>
      </c>
      <c r="I2462" s="4" t="s">
        <v>26</v>
      </c>
      <c r="J2462" s="4" t="s">
        <v>27</v>
      </c>
      <c r="K2462" s="4" t="s">
        <v>28</v>
      </c>
      <c r="L2462" s="4" t="s">
        <v>28</v>
      </c>
      <c r="M2462" s="4" t="s">
        <v>130</v>
      </c>
      <c r="N2462" s="5"/>
    </row>
    <row r="2463" spans="1:14" ht="14.4" thickBot="1" x14ac:dyDescent="0.35">
      <c r="A2463" s="4" t="s">
        <v>19</v>
      </c>
      <c r="B2463" s="4" t="s">
        <v>106</v>
      </c>
      <c r="C2463" s="4" t="s">
        <v>1923</v>
      </c>
      <c r="D2463" s="4" t="s">
        <v>1924</v>
      </c>
      <c r="E2463" s="4" t="s">
        <v>48</v>
      </c>
      <c r="F2463" s="4" t="s">
        <v>4852</v>
      </c>
      <c r="G2463" s="4" t="s">
        <v>4853</v>
      </c>
      <c r="H2463" s="4" t="s">
        <v>26</v>
      </c>
      <c r="I2463" s="4" t="s">
        <v>33</v>
      </c>
      <c r="J2463" s="4" t="s">
        <v>27</v>
      </c>
      <c r="K2463" s="4" t="s">
        <v>28</v>
      </c>
      <c r="L2463" s="4" t="s">
        <v>28</v>
      </c>
      <c r="M2463" s="4" t="s">
        <v>34</v>
      </c>
      <c r="N2463" s="4" t="s">
        <v>28</v>
      </c>
    </row>
    <row r="2464" spans="1:14" ht="14.4" thickBot="1" x14ac:dyDescent="0.35">
      <c r="A2464" s="4" t="s">
        <v>19</v>
      </c>
      <c r="B2464" s="4" t="s">
        <v>106</v>
      </c>
      <c r="C2464" s="4" t="s">
        <v>107</v>
      </c>
      <c r="D2464" s="4" t="s">
        <v>108</v>
      </c>
      <c r="E2464" s="4" t="s">
        <v>23</v>
      </c>
      <c r="F2464" s="4" t="s">
        <v>109</v>
      </c>
      <c r="G2464" s="4" t="s">
        <v>110</v>
      </c>
      <c r="H2464" s="4" t="s">
        <v>37</v>
      </c>
      <c r="I2464" s="4" t="s">
        <v>38</v>
      </c>
      <c r="J2464" s="4" t="s">
        <v>28</v>
      </c>
      <c r="K2464" s="4" t="s">
        <v>28</v>
      </c>
      <c r="L2464" s="4" t="s">
        <v>27</v>
      </c>
      <c r="M2464" s="4" t="s">
        <v>34</v>
      </c>
      <c r="N2464" s="4" t="s">
        <v>28</v>
      </c>
    </row>
    <row r="2465" spans="1:14" ht="14.4" thickBot="1" x14ac:dyDescent="0.35">
      <c r="A2465" s="4" t="s">
        <v>19</v>
      </c>
      <c r="B2465" s="4" t="s">
        <v>106</v>
      </c>
      <c r="C2465" s="4" t="s">
        <v>107</v>
      </c>
      <c r="D2465" s="4" t="s">
        <v>108</v>
      </c>
      <c r="E2465" s="4" t="s">
        <v>23</v>
      </c>
      <c r="F2465" s="4" t="s">
        <v>1086</v>
      </c>
      <c r="G2465" s="4" t="s">
        <v>1087</v>
      </c>
      <c r="H2465" s="4" t="s">
        <v>135</v>
      </c>
      <c r="I2465" s="4" t="s">
        <v>69</v>
      </c>
      <c r="J2465" s="4" t="s">
        <v>27</v>
      </c>
      <c r="K2465" s="4" t="s">
        <v>28</v>
      </c>
      <c r="L2465" s="4" t="s">
        <v>28</v>
      </c>
      <c r="M2465" s="4" t="s">
        <v>34</v>
      </c>
      <c r="N2465" s="4" t="s">
        <v>28</v>
      </c>
    </row>
    <row r="2466" spans="1:14" ht="14.4" thickBot="1" x14ac:dyDescent="0.35">
      <c r="A2466" s="4" t="s">
        <v>19</v>
      </c>
      <c r="B2466" s="4" t="s">
        <v>106</v>
      </c>
      <c r="C2466" s="4" t="s">
        <v>107</v>
      </c>
      <c r="D2466" s="4" t="s">
        <v>108</v>
      </c>
      <c r="E2466" s="4" t="s">
        <v>23</v>
      </c>
      <c r="F2466" s="4" t="s">
        <v>1429</v>
      </c>
      <c r="G2466" s="4" t="s">
        <v>1927</v>
      </c>
      <c r="H2466" s="4" t="s">
        <v>122</v>
      </c>
      <c r="I2466" s="4" t="s">
        <v>94</v>
      </c>
      <c r="J2466" s="4" t="s">
        <v>28</v>
      </c>
      <c r="K2466" s="4" t="s">
        <v>27</v>
      </c>
      <c r="L2466" s="4" t="s">
        <v>28</v>
      </c>
      <c r="M2466" s="4" t="s">
        <v>34</v>
      </c>
      <c r="N2466" s="4" t="s">
        <v>28</v>
      </c>
    </row>
    <row r="2467" spans="1:14" ht="14.4" thickBot="1" x14ac:dyDescent="0.35">
      <c r="A2467" s="4" t="s">
        <v>19</v>
      </c>
      <c r="B2467" s="4" t="s">
        <v>106</v>
      </c>
      <c r="C2467" s="4" t="s">
        <v>107</v>
      </c>
      <c r="D2467" s="4" t="s">
        <v>108</v>
      </c>
      <c r="E2467" s="4" t="s">
        <v>23</v>
      </c>
      <c r="F2467" s="4" t="s">
        <v>3370</v>
      </c>
      <c r="G2467" s="4" t="s">
        <v>3371</v>
      </c>
      <c r="H2467" s="4" t="s">
        <v>26</v>
      </c>
      <c r="I2467" s="4" t="s">
        <v>26</v>
      </c>
      <c r="J2467" s="4" t="s">
        <v>27</v>
      </c>
      <c r="K2467" s="4" t="s">
        <v>28</v>
      </c>
      <c r="L2467" s="4" t="s">
        <v>28</v>
      </c>
      <c r="M2467" s="4" t="s">
        <v>29</v>
      </c>
      <c r="N2467" s="4" t="s">
        <v>28</v>
      </c>
    </row>
    <row r="2468" spans="1:14" ht="14.4" thickBot="1" x14ac:dyDescent="0.35">
      <c r="A2468" s="4" t="s">
        <v>19</v>
      </c>
      <c r="B2468" s="4" t="s">
        <v>106</v>
      </c>
      <c r="C2468" s="4" t="s">
        <v>107</v>
      </c>
      <c r="D2468" s="4" t="s">
        <v>108</v>
      </c>
      <c r="E2468" s="4" t="s">
        <v>23</v>
      </c>
      <c r="F2468" s="4" t="s">
        <v>4854</v>
      </c>
      <c r="G2468" s="4" t="s">
        <v>4855</v>
      </c>
      <c r="H2468" s="4" t="s">
        <v>26</v>
      </c>
      <c r="I2468" s="4" t="s">
        <v>26</v>
      </c>
      <c r="J2468" s="5"/>
      <c r="K2468" s="5"/>
      <c r="L2468" s="5"/>
      <c r="M2468" s="4" t="s">
        <v>29</v>
      </c>
      <c r="N2468" s="5"/>
    </row>
    <row r="2469" spans="1:14" ht="14.4" thickBot="1" x14ac:dyDescent="0.35">
      <c r="A2469" s="4" t="s">
        <v>19</v>
      </c>
      <c r="B2469" s="4" t="s">
        <v>106</v>
      </c>
      <c r="C2469" s="4" t="s">
        <v>1088</v>
      </c>
      <c r="D2469" s="4" t="s">
        <v>1089</v>
      </c>
      <c r="E2469" s="4" t="s">
        <v>48</v>
      </c>
      <c r="F2469" s="4" t="s">
        <v>1090</v>
      </c>
      <c r="G2469" s="4" t="s">
        <v>1091</v>
      </c>
      <c r="H2469" s="4" t="s">
        <v>26</v>
      </c>
      <c r="I2469" s="4" t="s">
        <v>38</v>
      </c>
      <c r="J2469" s="4" t="s">
        <v>28</v>
      </c>
      <c r="K2469" s="4" t="s">
        <v>28</v>
      </c>
      <c r="L2469" s="4" t="s">
        <v>27</v>
      </c>
      <c r="M2469" s="4" t="s">
        <v>34</v>
      </c>
      <c r="N2469" s="4" t="s">
        <v>28</v>
      </c>
    </row>
    <row r="2470" spans="1:14" ht="14.4" thickBot="1" x14ac:dyDescent="0.35">
      <c r="A2470" s="4" t="s">
        <v>19</v>
      </c>
      <c r="B2470" s="4" t="s">
        <v>106</v>
      </c>
      <c r="C2470" s="4" t="s">
        <v>5174</v>
      </c>
      <c r="D2470" s="4" t="s">
        <v>5378</v>
      </c>
      <c r="E2470" s="4" t="s">
        <v>48</v>
      </c>
      <c r="F2470" s="4" t="s">
        <v>5379</v>
      </c>
      <c r="G2470" s="4" t="s">
        <v>5380</v>
      </c>
      <c r="H2470" s="4" t="s">
        <v>135</v>
      </c>
      <c r="I2470" s="4" t="s">
        <v>69</v>
      </c>
      <c r="J2470" s="4" t="s">
        <v>27</v>
      </c>
      <c r="K2470" s="4" t="s">
        <v>28</v>
      </c>
      <c r="L2470" s="4" t="s">
        <v>28</v>
      </c>
      <c r="M2470" s="4" t="s">
        <v>34</v>
      </c>
      <c r="N2470" s="4" t="s">
        <v>28</v>
      </c>
    </row>
    <row r="2471" spans="1:14" ht="14.4" thickBot="1" x14ac:dyDescent="0.35">
      <c r="A2471" s="4" t="s">
        <v>19</v>
      </c>
      <c r="B2471" s="4" t="s">
        <v>106</v>
      </c>
      <c r="C2471" s="4" t="s">
        <v>5174</v>
      </c>
      <c r="D2471" s="4" t="s">
        <v>5378</v>
      </c>
      <c r="E2471" s="4" t="s">
        <v>48</v>
      </c>
      <c r="F2471" s="4" t="s">
        <v>6073</v>
      </c>
      <c r="G2471" s="4" t="s">
        <v>6074</v>
      </c>
      <c r="H2471" s="4" t="s">
        <v>122</v>
      </c>
      <c r="I2471" s="4" t="s">
        <v>38</v>
      </c>
      <c r="J2471" s="4" t="s">
        <v>28</v>
      </c>
      <c r="K2471" s="4" t="s">
        <v>28</v>
      </c>
      <c r="L2471" s="4" t="s">
        <v>27</v>
      </c>
      <c r="M2471" s="4" t="s">
        <v>34</v>
      </c>
      <c r="N2471" s="4" t="s">
        <v>28</v>
      </c>
    </row>
    <row r="2472" spans="1:14" ht="14.4" thickBot="1" x14ac:dyDescent="0.35">
      <c r="A2472" s="4" t="s">
        <v>19</v>
      </c>
      <c r="B2472" s="4" t="s">
        <v>111</v>
      </c>
      <c r="C2472" s="4" t="s">
        <v>2578</v>
      </c>
      <c r="D2472" s="4" t="s">
        <v>2579</v>
      </c>
      <c r="E2472" s="4" t="s">
        <v>48</v>
      </c>
      <c r="F2472" s="4" t="s">
        <v>2580</v>
      </c>
      <c r="G2472" s="4" t="s">
        <v>2581</v>
      </c>
      <c r="H2472" s="4" t="s">
        <v>37</v>
      </c>
      <c r="I2472" s="4" t="s">
        <v>38</v>
      </c>
      <c r="J2472" s="4" t="s">
        <v>28</v>
      </c>
      <c r="K2472" s="4" t="s">
        <v>28</v>
      </c>
      <c r="L2472" s="4" t="s">
        <v>27</v>
      </c>
      <c r="M2472" s="4" t="s">
        <v>34</v>
      </c>
      <c r="N2472" s="4" t="s">
        <v>28</v>
      </c>
    </row>
    <row r="2473" spans="1:14" ht="14.4" thickBot="1" x14ac:dyDescent="0.35">
      <c r="A2473" s="4" t="s">
        <v>19</v>
      </c>
      <c r="B2473" s="4" t="s">
        <v>111</v>
      </c>
      <c r="C2473" s="4" t="s">
        <v>2578</v>
      </c>
      <c r="D2473" s="4" t="s">
        <v>2579</v>
      </c>
      <c r="E2473" s="4" t="s">
        <v>48</v>
      </c>
      <c r="F2473" s="4" t="s">
        <v>4164</v>
      </c>
      <c r="G2473" s="4" t="s">
        <v>4165</v>
      </c>
      <c r="H2473" s="4" t="s">
        <v>122</v>
      </c>
      <c r="I2473" s="4" t="s">
        <v>94</v>
      </c>
      <c r="J2473" s="4" t="s">
        <v>28</v>
      </c>
      <c r="K2473" s="4" t="s">
        <v>27</v>
      </c>
      <c r="L2473" s="4" t="s">
        <v>28</v>
      </c>
      <c r="M2473" s="4" t="s">
        <v>34</v>
      </c>
      <c r="N2473" s="4" t="s">
        <v>28</v>
      </c>
    </row>
    <row r="2474" spans="1:14" ht="14.4" thickBot="1" x14ac:dyDescent="0.35">
      <c r="A2474" s="4" t="s">
        <v>19</v>
      </c>
      <c r="B2474" s="4" t="s">
        <v>111</v>
      </c>
      <c r="C2474" s="4" t="s">
        <v>2578</v>
      </c>
      <c r="D2474" s="4" t="s">
        <v>2579</v>
      </c>
      <c r="E2474" s="4" t="s">
        <v>48</v>
      </c>
      <c r="F2474" s="4" t="s">
        <v>5567</v>
      </c>
      <c r="G2474" s="4" t="s">
        <v>5568</v>
      </c>
      <c r="H2474" s="4" t="s">
        <v>26</v>
      </c>
      <c r="I2474" s="4" t="s">
        <v>69</v>
      </c>
      <c r="J2474" s="4" t="s">
        <v>27</v>
      </c>
      <c r="K2474" s="4" t="s">
        <v>28</v>
      </c>
      <c r="L2474" s="4" t="s">
        <v>28</v>
      </c>
      <c r="M2474" s="4" t="s">
        <v>34</v>
      </c>
      <c r="N2474" s="4" t="s">
        <v>28</v>
      </c>
    </row>
    <row r="2475" spans="1:14" ht="14.4" thickBot="1" x14ac:dyDescent="0.35">
      <c r="A2475" s="4" t="s">
        <v>19</v>
      </c>
      <c r="B2475" s="4" t="s">
        <v>111</v>
      </c>
      <c r="C2475" s="4" t="s">
        <v>112</v>
      </c>
      <c r="D2475" s="4" t="s">
        <v>113</v>
      </c>
      <c r="E2475" s="4" t="s">
        <v>48</v>
      </c>
      <c r="F2475" s="4" t="s">
        <v>114</v>
      </c>
      <c r="G2475" s="4" t="s">
        <v>115</v>
      </c>
      <c r="H2475" s="4" t="s">
        <v>26</v>
      </c>
      <c r="I2475" s="4" t="s">
        <v>116</v>
      </c>
      <c r="J2475" s="4" t="s">
        <v>27</v>
      </c>
      <c r="K2475" s="4" t="s">
        <v>28</v>
      </c>
      <c r="L2475" s="4" t="s">
        <v>28</v>
      </c>
      <c r="M2475" s="4" t="s">
        <v>29</v>
      </c>
      <c r="N2475" s="4" t="s">
        <v>28</v>
      </c>
    </row>
    <row r="2476" spans="1:14" ht="14.4" thickBot="1" x14ac:dyDescent="0.35">
      <c r="A2476" s="4" t="s">
        <v>19</v>
      </c>
      <c r="B2476" s="4" t="s">
        <v>111</v>
      </c>
      <c r="C2476" s="4" t="s">
        <v>112</v>
      </c>
      <c r="D2476" s="4" t="s">
        <v>113</v>
      </c>
      <c r="E2476" s="4" t="s">
        <v>48</v>
      </c>
      <c r="F2476" s="4" t="s">
        <v>2582</v>
      </c>
      <c r="G2476" s="4" t="s">
        <v>2583</v>
      </c>
      <c r="H2476" s="4" t="s">
        <v>26</v>
      </c>
      <c r="I2476" s="4" t="s">
        <v>33</v>
      </c>
      <c r="J2476" s="4" t="s">
        <v>27</v>
      </c>
      <c r="K2476" s="4" t="s">
        <v>28</v>
      </c>
      <c r="L2476" s="4" t="s">
        <v>28</v>
      </c>
      <c r="M2476" s="4" t="s">
        <v>34</v>
      </c>
      <c r="N2476" s="4" t="s">
        <v>28</v>
      </c>
    </row>
    <row r="2477" spans="1:14" ht="14.4" thickBot="1" x14ac:dyDescent="0.35">
      <c r="A2477" s="4" t="s">
        <v>19</v>
      </c>
      <c r="B2477" s="4" t="s">
        <v>111</v>
      </c>
      <c r="C2477" s="4" t="s">
        <v>112</v>
      </c>
      <c r="D2477" s="4" t="s">
        <v>113</v>
      </c>
      <c r="E2477" s="4" t="s">
        <v>48</v>
      </c>
      <c r="F2477" s="4" t="s">
        <v>4166</v>
      </c>
      <c r="G2477" s="4" t="s">
        <v>4167</v>
      </c>
      <c r="H2477" s="4" t="s">
        <v>37</v>
      </c>
      <c r="I2477" s="4" t="s">
        <v>38</v>
      </c>
      <c r="J2477" s="4" t="s">
        <v>28</v>
      </c>
      <c r="K2477" s="4" t="s">
        <v>28</v>
      </c>
      <c r="L2477" s="4" t="s">
        <v>27</v>
      </c>
      <c r="M2477" s="4" t="s">
        <v>34</v>
      </c>
      <c r="N2477" s="4" t="s">
        <v>28</v>
      </c>
    </row>
    <row r="2478" spans="1:14" ht="14.4" thickBot="1" x14ac:dyDescent="0.35">
      <c r="A2478" s="4" t="s">
        <v>19</v>
      </c>
      <c r="B2478" s="4" t="s">
        <v>111</v>
      </c>
      <c r="C2478" s="4" t="s">
        <v>112</v>
      </c>
      <c r="D2478" s="4" t="s">
        <v>113</v>
      </c>
      <c r="E2478" s="4" t="s">
        <v>48</v>
      </c>
      <c r="F2478" s="4" t="s">
        <v>5569</v>
      </c>
      <c r="G2478" s="4" t="s">
        <v>5570</v>
      </c>
      <c r="H2478" s="4" t="s">
        <v>69</v>
      </c>
      <c r="I2478" s="4" t="s">
        <v>94</v>
      </c>
      <c r="J2478" s="4" t="s">
        <v>28</v>
      </c>
      <c r="K2478" s="4" t="s">
        <v>27</v>
      </c>
      <c r="L2478" s="4" t="s">
        <v>28</v>
      </c>
      <c r="M2478" s="4" t="s">
        <v>34</v>
      </c>
      <c r="N2478" s="4" t="s">
        <v>28</v>
      </c>
    </row>
    <row r="2479" spans="1:14" ht="14.4" thickBot="1" x14ac:dyDescent="0.35">
      <c r="A2479" s="4" t="s">
        <v>19</v>
      </c>
      <c r="B2479" s="4" t="s">
        <v>1928</v>
      </c>
      <c r="C2479" s="4" t="s">
        <v>2412</v>
      </c>
      <c r="D2479" s="4" t="s">
        <v>2413</v>
      </c>
      <c r="E2479" s="4" t="s">
        <v>48</v>
      </c>
      <c r="F2479" s="4" t="s">
        <v>2414</v>
      </c>
      <c r="G2479" s="4" t="s">
        <v>2415</v>
      </c>
      <c r="H2479" s="4" t="s">
        <v>37</v>
      </c>
      <c r="I2479" s="4" t="s">
        <v>38</v>
      </c>
      <c r="J2479" s="4" t="s">
        <v>28</v>
      </c>
      <c r="K2479" s="4" t="s">
        <v>28</v>
      </c>
      <c r="L2479" s="4" t="s">
        <v>27</v>
      </c>
      <c r="M2479" s="4" t="s">
        <v>34</v>
      </c>
      <c r="N2479" s="4" t="s">
        <v>28</v>
      </c>
    </row>
    <row r="2480" spans="1:14" ht="14.4" thickBot="1" x14ac:dyDescent="0.35">
      <c r="A2480" s="4" t="s">
        <v>19</v>
      </c>
      <c r="B2480" s="4" t="s">
        <v>1928</v>
      </c>
      <c r="C2480" s="4" t="s">
        <v>2412</v>
      </c>
      <c r="D2480" s="4" t="s">
        <v>2413</v>
      </c>
      <c r="E2480" s="4" t="s">
        <v>48</v>
      </c>
      <c r="F2480" s="4" t="s">
        <v>2416</v>
      </c>
      <c r="G2480" s="4" t="s">
        <v>2417</v>
      </c>
      <c r="H2480" s="4" t="s">
        <v>26</v>
      </c>
      <c r="I2480" s="4" t="s">
        <v>33</v>
      </c>
      <c r="J2480" s="4" t="s">
        <v>27</v>
      </c>
      <c r="K2480" s="4" t="s">
        <v>28</v>
      </c>
      <c r="L2480" s="4" t="s">
        <v>28</v>
      </c>
      <c r="M2480" s="4" t="s">
        <v>34</v>
      </c>
      <c r="N2480" s="4" t="s">
        <v>28</v>
      </c>
    </row>
    <row r="2481" spans="1:14" ht="14.4" thickBot="1" x14ac:dyDescent="0.35">
      <c r="A2481" s="4" t="s">
        <v>19</v>
      </c>
      <c r="B2481" s="4" t="s">
        <v>1928</v>
      </c>
      <c r="C2481" s="4" t="s">
        <v>2412</v>
      </c>
      <c r="D2481" s="4" t="s">
        <v>2413</v>
      </c>
      <c r="E2481" s="4" t="s">
        <v>48</v>
      </c>
      <c r="F2481" s="4" t="s">
        <v>6075</v>
      </c>
      <c r="G2481" s="4" t="s">
        <v>6076</v>
      </c>
      <c r="H2481" s="4" t="s">
        <v>69</v>
      </c>
      <c r="I2481" s="4" t="s">
        <v>94</v>
      </c>
      <c r="J2481" s="4" t="s">
        <v>28</v>
      </c>
      <c r="K2481" s="4" t="s">
        <v>27</v>
      </c>
      <c r="L2481" s="4" t="s">
        <v>28</v>
      </c>
      <c r="M2481" s="4" t="s">
        <v>34</v>
      </c>
      <c r="N2481" s="4" t="s">
        <v>28</v>
      </c>
    </row>
    <row r="2482" spans="1:14" ht="14.4" thickBot="1" x14ac:dyDescent="0.35">
      <c r="A2482" s="4" t="s">
        <v>19</v>
      </c>
      <c r="B2482" s="4" t="s">
        <v>1928</v>
      </c>
      <c r="C2482" s="4" t="s">
        <v>1929</v>
      </c>
      <c r="D2482" s="4" t="s">
        <v>1930</v>
      </c>
      <c r="E2482" s="4" t="s">
        <v>48</v>
      </c>
      <c r="F2482" s="4" t="s">
        <v>1931</v>
      </c>
      <c r="G2482" s="4" t="s">
        <v>1932</v>
      </c>
      <c r="H2482" s="4" t="s">
        <v>26</v>
      </c>
      <c r="I2482" s="4" t="s">
        <v>94</v>
      </c>
      <c r="J2482" s="4" t="s">
        <v>27</v>
      </c>
      <c r="K2482" s="4" t="s">
        <v>28</v>
      </c>
      <c r="L2482" s="4" t="s">
        <v>28</v>
      </c>
      <c r="M2482" s="4" t="s">
        <v>34</v>
      </c>
      <c r="N2482" s="4" t="s">
        <v>27</v>
      </c>
    </row>
    <row r="2483" spans="1:14" ht="14.4" thickBot="1" x14ac:dyDescent="0.35">
      <c r="A2483" s="4" t="s">
        <v>19</v>
      </c>
      <c r="B2483" s="4" t="s">
        <v>1928</v>
      </c>
      <c r="C2483" s="4" t="s">
        <v>1929</v>
      </c>
      <c r="D2483" s="4" t="s">
        <v>1930</v>
      </c>
      <c r="E2483" s="4" t="s">
        <v>48</v>
      </c>
      <c r="F2483" s="4" t="s">
        <v>3372</v>
      </c>
      <c r="G2483" s="4" t="s">
        <v>3373</v>
      </c>
      <c r="H2483" s="4" t="s">
        <v>37</v>
      </c>
      <c r="I2483" s="4" t="s">
        <v>38</v>
      </c>
      <c r="J2483" s="4" t="s">
        <v>28</v>
      </c>
      <c r="K2483" s="4" t="s">
        <v>28</v>
      </c>
      <c r="L2483" s="4" t="s">
        <v>27</v>
      </c>
      <c r="M2483" s="4" t="s">
        <v>34</v>
      </c>
      <c r="N2483" s="4" t="s">
        <v>28</v>
      </c>
    </row>
    <row r="2484" spans="1:14" ht="14.4" thickBot="1" x14ac:dyDescent="0.35">
      <c r="A2484" s="4" t="s">
        <v>19</v>
      </c>
      <c r="B2484" s="4" t="s">
        <v>1928</v>
      </c>
      <c r="C2484" s="4" t="s">
        <v>1929</v>
      </c>
      <c r="D2484" s="4" t="s">
        <v>1930</v>
      </c>
      <c r="E2484" s="4" t="s">
        <v>48</v>
      </c>
      <c r="F2484" s="4" t="s">
        <v>3374</v>
      </c>
      <c r="G2484" s="4" t="s">
        <v>3375</v>
      </c>
      <c r="H2484" s="4" t="s">
        <v>26</v>
      </c>
      <c r="I2484" s="4" t="s">
        <v>135</v>
      </c>
      <c r="J2484" s="4" t="s">
        <v>27</v>
      </c>
      <c r="K2484" s="4" t="s">
        <v>28</v>
      </c>
      <c r="L2484" s="4" t="s">
        <v>28</v>
      </c>
      <c r="M2484" s="4" t="s">
        <v>29</v>
      </c>
      <c r="N2484" s="5"/>
    </row>
    <row r="2485" spans="1:14" ht="14.4" thickBot="1" x14ac:dyDescent="0.35">
      <c r="A2485" s="4" t="s">
        <v>19</v>
      </c>
      <c r="B2485" s="4" t="s">
        <v>1928</v>
      </c>
      <c r="C2485" s="4" t="s">
        <v>1929</v>
      </c>
      <c r="D2485" s="4" t="s">
        <v>1930</v>
      </c>
      <c r="E2485" s="4" t="s">
        <v>48</v>
      </c>
      <c r="F2485" s="4" t="s">
        <v>4856</v>
      </c>
      <c r="G2485" s="4" t="s">
        <v>4857</v>
      </c>
      <c r="H2485" s="4" t="s">
        <v>26</v>
      </c>
      <c r="I2485" s="4" t="s">
        <v>94</v>
      </c>
      <c r="J2485" s="4" t="s">
        <v>27</v>
      </c>
      <c r="K2485" s="4" t="s">
        <v>28</v>
      </c>
      <c r="L2485" s="4" t="s">
        <v>28</v>
      </c>
      <c r="M2485" s="4" t="s">
        <v>34</v>
      </c>
      <c r="N2485" s="4" t="s">
        <v>27</v>
      </c>
    </row>
    <row r="2486" spans="1:14" ht="14.4" thickBot="1" x14ac:dyDescent="0.35">
      <c r="A2486" s="4" t="s">
        <v>19</v>
      </c>
      <c r="B2486" s="4" t="s">
        <v>1928</v>
      </c>
      <c r="C2486" s="4" t="s">
        <v>1929</v>
      </c>
      <c r="D2486" s="4" t="s">
        <v>1930</v>
      </c>
      <c r="E2486" s="4" t="s">
        <v>48</v>
      </c>
      <c r="F2486" s="4" t="s">
        <v>4858</v>
      </c>
      <c r="G2486" s="4" t="s">
        <v>4859</v>
      </c>
      <c r="H2486" s="4" t="s">
        <v>26</v>
      </c>
      <c r="I2486" s="4" t="s">
        <v>33</v>
      </c>
      <c r="J2486" s="4" t="s">
        <v>27</v>
      </c>
      <c r="K2486" s="4" t="s">
        <v>28</v>
      </c>
      <c r="L2486" s="4" t="s">
        <v>28</v>
      </c>
      <c r="M2486" s="4" t="s">
        <v>34</v>
      </c>
      <c r="N2486" s="4" t="s">
        <v>28</v>
      </c>
    </row>
    <row r="2487" spans="1:14" ht="14.4" thickBot="1" x14ac:dyDescent="0.35">
      <c r="A2487" s="4" t="s">
        <v>19</v>
      </c>
      <c r="B2487" s="4" t="s">
        <v>1928</v>
      </c>
      <c r="C2487" s="4" t="s">
        <v>1929</v>
      </c>
      <c r="D2487" s="4" t="s">
        <v>1930</v>
      </c>
      <c r="E2487" s="4" t="s">
        <v>48</v>
      </c>
      <c r="F2487" s="4" t="s">
        <v>5571</v>
      </c>
      <c r="G2487" s="4" t="s">
        <v>5572</v>
      </c>
      <c r="H2487" s="4" t="s">
        <v>69</v>
      </c>
      <c r="I2487" s="4" t="s">
        <v>94</v>
      </c>
      <c r="J2487" s="4" t="s">
        <v>28</v>
      </c>
      <c r="K2487" s="4" t="s">
        <v>27</v>
      </c>
      <c r="L2487" s="4" t="s">
        <v>28</v>
      </c>
      <c r="M2487" s="4" t="s">
        <v>34</v>
      </c>
      <c r="N2487" s="4" t="s">
        <v>28</v>
      </c>
    </row>
    <row r="2488" spans="1:14" ht="14.4" thickBot="1" x14ac:dyDescent="0.35">
      <c r="A2488" s="4" t="s">
        <v>19</v>
      </c>
      <c r="B2488" s="4" t="s">
        <v>117</v>
      </c>
      <c r="C2488" s="4" t="s">
        <v>118</v>
      </c>
      <c r="D2488" s="4" t="s">
        <v>119</v>
      </c>
      <c r="E2488" s="4" t="s">
        <v>23</v>
      </c>
      <c r="F2488" s="4" t="s">
        <v>120</v>
      </c>
      <c r="G2488" s="4" t="s">
        <v>121</v>
      </c>
      <c r="H2488" s="4" t="s">
        <v>122</v>
      </c>
      <c r="I2488" s="4" t="s">
        <v>38</v>
      </c>
      <c r="J2488" s="4" t="s">
        <v>28</v>
      </c>
      <c r="K2488" s="4" t="s">
        <v>28</v>
      </c>
      <c r="L2488" s="4" t="s">
        <v>27</v>
      </c>
      <c r="M2488" s="4" t="s">
        <v>34</v>
      </c>
      <c r="N2488" s="4" t="s">
        <v>28</v>
      </c>
    </row>
    <row r="2489" spans="1:14" ht="14.4" thickBot="1" x14ac:dyDescent="0.35">
      <c r="A2489" s="4" t="s">
        <v>19</v>
      </c>
      <c r="B2489" s="4" t="s">
        <v>117</v>
      </c>
      <c r="C2489" s="4" t="s">
        <v>118</v>
      </c>
      <c r="D2489" s="4" t="s">
        <v>119</v>
      </c>
      <c r="E2489" s="4" t="s">
        <v>23</v>
      </c>
      <c r="F2489" s="4" t="s">
        <v>2584</v>
      </c>
      <c r="G2489" s="4" t="s">
        <v>2585</v>
      </c>
      <c r="H2489" s="4" t="s">
        <v>135</v>
      </c>
      <c r="I2489" s="4" t="s">
        <v>69</v>
      </c>
      <c r="J2489" s="4" t="s">
        <v>27</v>
      </c>
      <c r="K2489" s="4" t="s">
        <v>28</v>
      </c>
      <c r="L2489" s="4" t="s">
        <v>28</v>
      </c>
      <c r="M2489" s="4" t="s">
        <v>34</v>
      </c>
      <c r="N2489" s="4" t="s">
        <v>28</v>
      </c>
    </row>
    <row r="2490" spans="1:14" ht="14.4" thickBot="1" x14ac:dyDescent="0.35">
      <c r="A2490" s="4" t="s">
        <v>19</v>
      </c>
      <c r="B2490" s="4" t="s">
        <v>117</v>
      </c>
      <c r="C2490" s="4" t="s">
        <v>118</v>
      </c>
      <c r="D2490" s="4" t="s">
        <v>119</v>
      </c>
      <c r="E2490" s="4" t="s">
        <v>23</v>
      </c>
      <c r="F2490" s="4" t="s">
        <v>4168</v>
      </c>
      <c r="G2490" s="4" t="s">
        <v>4169</v>
      </c>
      <c r="H2490" s="4" t="s">
        <v>122</v>
      </c>
      <c r="I2490" s="4" t="s">
        <v>38</v>
      </c>
      <c r="J2490" s="4" t="s">
        <v>28</v>
      </c>
      <c r="K2490" s="4" t="s">
        <v>28</v>
      </c>
      <c r="L2490" s="4" t="s">
        <v>27</v>
      </c>
      <c r="M2490" s="4" t="s">
        <v>34</v>
      </c>
      <c r="N2490" s="4" t="s">
        <v>28</v>
      </c>
    </row>
    <row r="2491" spans="1:14" ht="14.4" thickBot="1" x14ac:dyDescent="0.35">
      <c r="A2491" s="4" t="s">
        <v>19</v>
      </c>
      <c r="B2491" s="4" t="s">
        <v>117</v>
      </c>
      <c r="C2491" s="4" t="s">
        <v>118</v>
      </c>
      <c r="D2491" s="4" t="s">
        <v>119</v>
      </c>
      <c r="E2491" s="4" t="s">
        <v>23</v>
      </c>
      <c r="F2491" s="4" t="s">
        <v>5573</v>
      </c>
      <c r="G2491" s="4" t="s">
        <v>5574</v>
      </c>
      <c r="H2491" s="4" t="s">
        <v>26</v>
      </c>
      <c r="I2491" s="4" t="s">
        <v>26</v>
      </c>
      <c r="J2491" s="4" t="s">
        <v>27</v>
      </c>
      <c r="K2491" s="4" t="s">
        <v>28</v>
      </c>
      <c r="L2491" s="4" t="s">
        <v>28</v>
      </c>
      <c r="M2491" s="4" t="s">
        <v>29</v>
      </c>
      <c r="N2491" s="4" t="s">
        <v>28</v>
      </c>
    </row>
    <row r="2492" spans="1:14" ht="14.4" thickBot="1" x14ac:dyDescent="0.35">
      <c r="A2492" s="4" t="s">
        <v>19</v>
      </c>
      <c r="B2492" s="4" t="s">
        <v>117</v>
      </c>
      <c r="C2492" s="4" t="s">
        <v>1933</v>
      </c>
      <c r="D2492" s="4" t="s">
        <v>1934</v>
      </c>
      <c r="E2492" s="4" t="s">
        <v>48</v>
      </c>
      <c r="F2492" s="4" t="s">
        <v>1935</v>
      </c>
      <c r="G2492" s="4" t="s">
        <v>1936</v>
      </c>
      <c r="H2492" s="4" t="s">
        <v>26</v>
      </c>
      <c r="I2492" s="4" t="s">
        <v>94</v>
      </c>
      <c r="J2492" s="4" t="s">
        <v>27</v>
      </c>
      <c r="K2492" s="4" t="s">
        <v>28</v>
      </c>
      <c r="L2492" s="4" t="s">
        <v>28</v>
      </c>
      <c r="M2492" s="4" t="s">
        <v>34</v>
      </c>
      <c r="N2492" s="4" t="s">
        <v>28</v>
      </c>
    </row>
    <row r="2493" spans="1:14" ht="14.4" thickBot="1" x14ac:dyDescent="0.35">
      <c r="A2493" s="4" t="s">
        <v>19</v>
      </c>
      <c r="B2493" s="4" t="s">
        <v>117</v>
      </c>
      <c r="C2493" s="4" t="s">
        <v>1933</v>
      </c>
      <c r="D2493" s="4" t="s">
        <v>1934</v>
      </c>
      <c r="E2493" s="4" t="s">
        <v>48</v>
      </c>
      <c r="F2493" s="4" t="s">
        <v>4860</v>
      </c>
      <c r="G2493" s="4" t="s">
        <v>4861</v>
      </c>
      <c r="H2493" s="4" t="s">
        <v>37</v>
      </c>
      <c r="I2493" s="4" t="s">
        <v>38</v>
      </c>
      <c r="J2493" s="4" t="s">
        <v>28</v>
      </c>
      <c r="K2493" s="4" t="s">
        <v>28</v>
      </c>
      <c r="L2493" s="4" t="s">
        <v>27</v>
      </c>
      <c r="M2493" s="4" t="s">
        <v>34</v>
      </c>
      <c r="N2493" s="4" t="s">
        <v>28</v>
      </c>
    </row>
    <row r="2494" spans="1:14" ht="14.4" thickBot="1" x14ac:dyDescent="0.35">
      <c r="A2494" s="4" t="s">
        <v>19</v>
      </c>
      <c r="B2494" s="4" t="s">
        <v>831</v>
      </c>
      <c r="C2494" s="4" t="s">
        <v>832</v>
      </c>
      <c r="D2494" s="4" t="s">
        <v>833</v>
      </c>
      <c r="E2494" s="4" t="s">
        <v>23</v>
      </c>
      <c r="F2494" s="4" t="s">
        <v>834</v>
      </c>
      <c r="G2494" s="4" t="s">
        <v>835</v>
      </c>
      <c r="H2494" s="4" t="s">
        <v>37</v>
      </c>
      <c r="I2494" s="4" t="s">
        <v>38</v>
      </c>
      <c r="J2494" s="4" t="s">
        <v>28</v>
      </c>
      <c r="K2494" s="4" t="s">
        <v>28</v>
      </c>
      <c r="L2494" s="4" t="s">
        <v>27</v>
      </c>
      <c r="M2494" s="4" t="s">
        <v>34</v>
      </c>
      <c r="N2494" s="4" t="s">
        <v>28</v>
      </c>
    </row>
    <row r="2495" spans="1:14" ht="14.4" thickBot="1" x14ac:dyDescent="0.35">
      <c r="A2495" s="4" t="s">
        <v>19</v>
      </c>
      <c r="B2495" s="4" t="s">
        <v>831</v>
      </c>
      <c r="C2495" s="4" t="s">
        <v>832</v>
      </c>
      <c r="D2495" s="4" t="s">
        <v>833</v>
      </c>
      <c r="E2495" s="4" t="s">
        <v>23</v>
      </c>
      <c r="F2495" s="4" t="s">
        <v>836</v>
      </c>
      <c r="G2495" s="4" t="s">
        <v>837</v>
      </c>
      <c r="H2495" s="4" t="s">
        <v>26</v>
      </c>
      <c r="I2495" s="4" t="s">
        <v>454</v>
      </c>
      <c r="J2495" s="4" t="s">
        <v>27</v>
      </c>
      <c r="K2495" s="4" t="s">
        <v>28</v>
      </c>
      <c r="L2495" s="4" t="s">
        <v>28</v>
      </c>
      <c r="M2495" s="4" t="s">
        <v>34</v>
      </c>
      <c r="N2495" s="4" t="s">
        <v>28</v>
      </c>
    </row>
    <row r="2496" spans="1:14" ht="14.4" thickBot="1" x14ac:dyDescent="0.35">
      <c r="A2496" s="4" t="s">
        <v>19</v>
      </c>
      <c r="B2496" s="4" t="s">
        <v>831</v>
      </c>
      <c r="C2496" s="4" t="s">
        <v>832</v>
      </c>
      <c r="D2496" s="4" t="s">
        <v>833</v>
      </c>
      <c r="E2496" s="4" t="s">
        <v>23</v>
      </c>
      <c r="F2496" s="4" t="s">
        <v>1718</v>
      </c>
      <c r="G2496" s="4" t="s">
        <v>1719</v>
      </c>
      <c r="H2496" s="4" t="s">
        <v>26</v>
      </c>
      <c r="I2496" s="4" t="s">
        <v>26</v>
      </c>
      <c r="J2496" s="4" t="s">
        <v>27</v>
      </c>
      <c r="K2496" s="4" t="s">
        <v>28</v>
      </c>
      <c r="L2496" s="4" t="s">
        <v>28</v>
      </c>
      <c r="M2496" s="4" t="s">
        <v>34</v>
      </c>
      <c r="N2496" s="4" t="s">
        <v>28</v>
      </c>
    </row>
    <row r="2497" spans="1:14" ht="14.4" thickBot="1" x14ac:dyDescent="0.35">
      <c r="A2497" s="4" t="s">
        <v>19</v>
      </c>
      <c r="B2497" s="4" t="s">
        <v>831</v>
      </c>
      <c r="C2497" s="4" t="s">
        <v>832</v>
      </c>
      <c r="D2497" s="4" t="s">
        <v>833</v>
      </c>
      <c r="E2497" s="4" t="s">
        <v>23</v>
      </c>
      <c r="F2497" s="4" t="s">
        <v>1849</v>
      </c>
      <c r="G2497" s="4" t="s">
        <v>1105</v>
      </c>
      <c r="H2497" s="4" t="s">
        <v>26</v>
      </c>
      <c r="I2497" s="4" t="s">
        <v>26</v>
      </c>
      <c r="J2497" s="4" t="s">
        <v>27</v>
      </c>
      <c r="K2497" s="4" t="s">
        <v>28</v>
      </c>
      <c r="L2497" s="4" t="s">
        <v>28</v>
      </c>
      <c r="M2497" s="4" t="s">
        <v>29</v>
      </c>
      <c r="N2497" s="4" t="s">
        <v>28</v>
      </c>
    </row>
    <row r="2498" spans="1:14" ht="14.4" thickBot="1" x14ac:dyDescent="0.35">
      <c r="A2498" s="4" t="s">
        <v>19</v>
      </c>
      <c r="B2498" s="4" t="s">
        <v>831</v>
      </c>
      <c r="C2498" s="4" t="s">
        <v>832</v>
      </c>
      <c r="D2498" s="4" t="s">
        <v>833</v>
      </c>
      <c r="E2498" s="4" t="s">
        <v>23</v>
      </c>
      <c r="F2498" s="4" t="s">
        <v>2501</v>
      </c>
      <c r="G2498" s="4" t="s">
        <v>2502</v>
      </c>
      <c r="H2498" s="4" t="s">
        <v>26</v>
      </c>
      <c r="I2498" s="4" t="s">
        <v>26</v>
      </c>
      <c r="J2498" s="4" t="s">
        <v>27</v>
      </c>
      <c r="K2498" s="4" t="s">
        <v>28</v>
      </c>
      <c r="L2498" s="4" t="s">
        <v>28</v>
      </c>
      <c r="M2498" s="4" t="s">
        <v>29</v>
      </c>
      <c r="N2498" s="4" t="s">
        <v>28</v>
      </c>
    </row>
    <row r="2499" spans="1:14" ht="14.4" thickBot="1" x14ac:dyDescent="0.35">
      <c r="A2499" s="4" t="s">
        <v>19</v>
      </c>
      <c r="B2499" s="4" t="s">
        <v>831</v>
      </c>
      <c r="C2499" s="4" t="s">
        <v>832</v>
      </c>
      <c r="D2499" s="4" t="s">
        <v>833</v>
      </c>
      <c r="E2499" s="4" t="s">
        <v>23</v>
      </c>
      <c r="F2499" s="4" t="s">
        <v>3260</v>
      </c>
      <c r="G2499" s="4" t="s">
        <v>3261</v>
      </c>
      <c r="H2499" s="4" t="s">
        <v>26</v>
      </c>
      <c r="I2499" s="4" t="s">
        <v>94</v>
      </c>
      <c r="J2499" s="4" t="s">
        <v>27</v>
      </c>
      <c r="K2499" s="4" t="s">
        <v>28</v>
      </c>
      <c r="L2499" s="4" t="s">
        <v>28</v>
      </c>
      <c r="M2499" s="4" t="s">
        <v>29</v>
      </c>
      <c r="N2499" s="5"/>
    </row>
    <row r="2500" spans="1:14" ht="14.4" thickBot="1" x14ac:dyDescent="0.35">
      <c r="A2500" s="4" t="s">
        <v>19</v>
      </c>
      <c r="B2500" s="4" t="s">
        <v>831</v>
      </c>
      <c r="C2500" s="4" t="s">
        <v>832</v>
      </c>
      <c r="D2500" s="4" t="s">
        <v>833</v>
      </c>
      <c r="E2500" s="4" t="s">
        <v>23</v>
      </c>
      <c r="F2500" s="4" t="s">
        <v>3989</v>
      </c>
      <c r="G2500" s="4" t="s">
        <v>3990</v>
      </c>
      <c r="H2500" s="4" t="s">
        <v>26</v>
      </c>
      <c r="I2500" s="4" t="s">
        <v>94</v>
      </c>
      <c r="J2500" s="4" t="s">
        <v>27</v>
      </c>
      <c r="K2500" s="4" t="s">
        <v>28</v>
      </c>
      <c r="L2500" s="4" t="s">
        <v>28</v>
      </c>
      <c r="M2500" s="4" t="s">
        <v>34</v>
      </c>
      <c r="N2500" s="4" t="s">
        <v>27</v>
      </c>
    </row>
    <row r="2501" spans="1:14" ht="14.4" thickBot="1" x14ac:dyDescent="0.35">
      <c r="A2501" s="4" t="s">
        <v>19</v>
      </c>
      <c r="B2501" s="4" t="s">
        <v>831</v>
      </c>
      <c r="C2501" s="4" t="s">
        <v>832</v>
      </c>
      <c r="D2501" s="4" t="s">
        <v>833</v>
      </c>
      <c r="E2501" s="4" t="s">
        <v>23</v>
      </c>
      <c r="F2501" s="4" t="s">
        <v>4778</v>
      </c>
      <c r="G2501" s="4" t="s">
        <v>4130</v>
      </c>
      <c r="H2501" s="4" t="s">
        <v>26</v>
      </c>
      <c r="I2501" s="4" t="s">
        <v>26</v>
      </c>
      <c r="J2501" s="4" t="s">
        <v>27</v>
      </c>
      <c r="K2501" s="4" t="s">
        <v>28</v>
      </c>
      <c r="L2501" s="4" t="s">
        <v>28</v>
      </c>
      <c r="M2501" s="4" t="s">
        <v>29</v>
      </c>
      <c r="N2501" s="4" t="s">
        <v>28</v>
      </c>
    </row>
    <row r="2502" spans="1:14" ht="14.4" thickBot="1" x14ac:dyDescent="0.35">
      <c r="A2502" s="4" t="s">
        <v>19</v>
      </c>
      <c r="B2502" s="4" t="s">
        <v>831</v>
      </c>
      <c r="C2502" s="4" t="s">
        <v>832</v>
      </c>
      <c r="D2502" s="4" t="s">
        <v>833</v>
      </c>
      <c r="E2502" s="4" t="s">
        <v>23</v>
      </c>
      <c r="F2502" s="4" t="s">
        <v>5381</v>
      </c>
      <c r="G2502" s="4" t="s">
        <v>5382</v>
      </c>
      <c r="H2502" s="4" t="s">
        <v>33</v>
      </c>
      <c r="I2502" s="4" t="s">
        <v>94</v>
      </c>
      <c r="J2502" s="4" t="s">
        <v>28</v>
      </c>
      <c r="K2502" s="4" t="s">
        <v>27</v>
      </c>
      <c r="L2502" s="4" t="s">
        <v>28</v>
      </c>
      <c r="M2502" s="4" t="s">
        <v>34</v>
      </c>
      <c r="N2502" s="4" t="s">
        <v>28</v>
      </c>
    </row>
    <row r="2503" spans="1:14" ht="14.4" thickBot="1" x14ac:dyDescent="0.35">
      <c r="A2503" s="4" t="s">
        <v>19</v>
      </c>
      <c r="B2503" s="4" t="s">
        <v>831</v>
      </c>
      <c r="C2503" s="4" t="s">
        <v>832</v>
      </c>
      <c r="D2503" s="4" t="s">
        <v>833</v>
      </c>
      <c r="E2503" s="4" t="s">
        <v>23</v>
      </c>
      <c r="F2503" s="4" t="s">
        <v>5470</v>
      </c>
      <c r="G2503" s="4" t="s">
        <v>5471</v>
      </c>
      <c r="H2503" s="4" t="s">
        <v>26</v>
      </c>
      <c r="I2503" s="4" t="s">
        <v>26</v>
      </c>
      <c r="J2503" s="4" t="s">
        <v>27</v>
      </c>
      <c r="K2503" s="4" t="s">
        <v>28</v>
      </c>
      <c r="L2503" s="4" t="s">
        <v>28</v>
      </c>
      <c r="M2503" s="4" t="s">
        <v>29</v>
      </c>
      <c r="N2503" s="4" t="s">
        <v>28</v>
      </c>
    </row>
    <row r="2504" spans="1:14" ht="14.4" thickBot="1" x14ac:dyDescent="0.35">
      <c r="A2504" s="4" t="s">
        <v>19</v>
      </c>
      <c r="B2504" s="4" t="s">
        <v>831</v>
      </c>
      <c r="C2504" s="4" t="s">
        <v>832</v>
      </c>
      <c r="D2504" s="4" t="s">
        <v>833</v>
      </c>
      <c r="E2504" s="4" t="s">
        <v>23</v>
      </c>
      <c r="F2504" s="4" t="s">
        <v>5472</v>
      </c>
      <c r="G2504" s="4" t="s">
        <v>5473</v>
      </c>
      <c r="H2504" s="4" t="s">
        <v>26</v>
      </c>
      <c r="I2504" s="4" t="s">
        <v>26</v>
      </c>
      <c r="J2504" s="4" t="s">
        <v>27</v>
      </c>
      <c r="K2504" s="4" t="s">
        <v>28</v>
      </c>
      <c r="L2504" s="4" t="s">
        <v>28</v>
      </c>
      <c r="M2504" s="4" t="s">
        <v>29</v>
      </c>
      <c r="N2504" s="4" t="s">
        <v>28</v>
      </c>
    </row>
    <row r="2505" spans="1:14" ht="14.4" thickBot="1" x14ac:dyDescent="0.35">
      <c r="A2505" s="4" t="s">
        <v>19</v>
      </c>
      <c r="B2505" s="4" t="s">
        <v>831</v>
      </c>
      <c r="C2505" s="4" t="s">
        <v>832</v>
      </c>
      <c r="D2505" s="4" t="s">
        <v>833</v>
      </c>
      <c r="E2505" s="4" t="s">
        <v>23</v>
      </c>
      <c r="F2505" s="4" t="s">
        <v>6181</v>
      </c>
      <c r="G2505" s="4" t="s">
        <v>6182</v>
      </c>
      <c r="H2505" s="4" t="s">
        <v>26</v>
      </c>
      <c r="I2505" s="4" t="s">
        <v>26</v>
      </c>
      <c r="J2505" s="4" t="s">
        <v>27</v>
      </c>
      <c r="K2505" s="4" t="s">
        <v>28</v>
      </c>
      <c r="L2505" s="4" t="s">
        <v>28</v>
      </c>
      <c r="M2505" s="4" t="s">
        <v>29</v>
      </c>
      <c r="N2505" s="4" t="s">
        <v>28</v>
      </c>
    </row>
    <row r="2506" spans="1:14" ht="14.4" thickBot="1" x14ac:dyDescent="0.35">
      <c r="A2506" s="4" t="s">
        <v>19</v>
      </c>
      <c r="B2506" s="4" t="s">
        <v>64</v>
      </c>
      <c r="C2506" s="4" t="s">
        <v>65</v>
      </c>
      <c r="D2506" s="4" t="s">
        <v>66</v>
      </c>
      <c r="E2506" s="4" t="s">
        <v>48</v>
      </c>
      <c r="F2506" s="4" t="s">
        <v>67</v>
      </c>
      <c r="G2506" s="4" t="s">
        <v>68</v>
      </c>
      <c r="H2506" s="4" t="s">
        <v>26</v>
      </c>
      <c r="I2506" s="4" t="s">
        <v>69</v>
      </c>
      <c r="J2506" s="4" t="s">
        <v>27</v>
      </c>
      <c r="K2506" s="4" t="s">
        <v>28</v>
      </c>
      <c r="L2506" s="4" t="s">
        <v>28</v>
      </c>
      <c r="M2506" s="4" t="s">
        <v>34</v>
      </c>
      <c r="N2506" s="4" t="s">
        <v>28</v>
      </c>
    </row>
    <row r="2507" spans="1:14" ht="14.4" thickBot="1" x14ac:dyDescent="0.35">
      <c r="A2507" s="4" t="s">
        <v>19</v>
      </c>
      <c r="B2507" s="4" t="s">
        <v>64</v>
      </c>
      <c r="C2507" s="4" t="s">
        <v>65</v>
      </c>
      <c r="D2507" s="4" t="s">
        <v>66</v>
      </c>
      <c r="E2507" s="4" t="s">
        <v>48</v>
      </c>
      <c r="F2507" s="4" t="s">
        <v>1057</v>
      </c>
      <c r="G2507" s="4" t="s">
        <v>1058</v>
      </c>
      <c r="H2507" s="4" t="s">
        <v>122</v>
      </c>
      <c r="I2507" s="4" t="s">
        <v>38</v>
      </c>
      <c r="J2507" s="4" t="s">
        <v>28</v>
      </c>
      <c r="K2507" s="4" t="s">
        <v>28</v>
      </c>
      <c r="L2507" s="4" t="s">
        <v>27</v>
      </c>
      <c r="M2507" s="4" t="s">
        <v>34</v>
      </c>
      <c r="N2507" s="4" t="s">
        <v>28</v>
      </c>
    </row>
    <row r="2508" spans="1:14" ht="14.4" thickBot="1" x14ac:dyDescent="0.35">
      <c r="A2508" s="4" t="s">
        <v>19</v>
      </c>
      <c r="B2508" s="4" t="s">
        <v>64</v>
      </c>
      <c r="C2508" s="4" t="s">
        <v>70</v>
      </c>
      <c r="D2508" s="4" t="s">
        <v>71</v>
      </c>
      <c r="E2508" s="4" t="s">
        <v>42</v>
      </c>
      <c r="F2508" s="4" t="s">
        <v>72</v>
      </c>
      <c r="G2508" s="4" t="s">
        <v>73</v>
      </c>
      <c r="H2508" s="4" t="s">
        <v>26</v>
      </c>
      <c r="I2508" s="4" t="s">
        <v>26</v>
      </c>
      <c r="J2508" s="5"/>
      <c r="K2508" s="5"/>
      <c r="L2508" s="5"/>
      <c r="M2508" s="4" t="s">
        <v>29</v>
      </c>
      <c r="N2508" s="5"/>
    </row>
    <row r="2509" spans="1:14" ht="14.4" thickBot="1" x14ac:dyDescent="0.35">
      <c r="A2509" s="4" t="s">
        <v>19</v>
      </c>
      <c r="B2509" s="4" t="s">
        <v>64</v>
      </c>
      <c r="C2509" s="4" t="s">
        <v>70</v>
      </c>
      <c r="D2509" s="4" t="s">
        <v>71</v>
      </c>
      <c r="E2509" s="4" t="s">
        <v>42</v>
      </c>
      <c r="F2509" s="4" t="s">
        <v>74</v>
      </c>
      <c r="G2509" s="4" t="s">
        <v>75</v>
      </c>
      <c r="H2509" s="4" t="s">
        <v>37</v>
      </c>
      <c r="I2509" s="4" t="s">
        <v>38</v>
      </c>
      <c r="J2509" s="4" t="s">
        <v>28</v>
      </c>
      <c r="K2509" s="4" t="s">
        <v>28</v>
      </c>
      <c r="L2509" s="4" t="s">
        <v>27</v>
      </c>
      <c r="M2509" s="4" t="s">
        <v>34</v>
      </c>
      <c r="N2509" s="4" t="s">
        <v>28</v>
      </c>
    </row>
    <row r="2510" spans="1:14" ht="14.4" thickBot="1" x14ac:dyDescent="0.35">
      <c r="A2510" s="4" t="s">
        <v>19</v>
      </c>
      <c r="B2510" s="4" t="s">
        <v>64</v>
      </c>
      <c r="C2510" s="4" t="s">
        <v>70</v>
      </c>
      <c r="D2510" s="4" t="s">
        <v>71</v>
      </c>
      <c r="E2510" s="4" t="s">
        <v>42</v>
      </c>
      <c r="F2510" s="4" t="s">
        <v>1059</v>
      </c>
      <c r="G2510" s="4" t="s">
        <v>1060</v>
      </c>
      <c r="H2510" s="4" t="s">
        <v>26</v>
      </c>
      <c r="I2510" s="4" t="s">
        <v>26</v>
      </c>
      <c r="J2510" s="4" t="s">
        <v>27</v>
      </c>
      <c r="K2510" s="4" t="s">
        <v>28</v>
      </c>
      <c r="L2510" s="4" t="s">
        <v>28</v>
      </c>
      <c r="M2510" s="4" t="s">
        <v>130</v>
      </c>
      <c r="N2510" s="5"/>
    </row>
    <row r="2511" spans="1:14" ht="14.4" thickBot="1" x14ac:dyDescent="0.35">
      <c r="A2511" s="4" t="s">
        <v>19</v>
      </c>
      <c r="B2511" s="4" t="s">
        <v>64</v>
      </c>
      <c r="C2511" s="4" t="s">
        <v>70</v>
      </c>
      <c r="D2511" s="4" t="s">
        <v>71</v>
      </c>
      <c r="E2511" s="4" t="s">
        <v>42</v>
      </c>
      <c r="F2511" s="4" t="s">
        <v>1906</v>
      </c>
      <c r="G2511" s="4" t="s">
        <v>1907</v>
      </c>
      <c r="H2511" s="4" t="s">
        <v>135</v>
      </c>
      <c r="I2511" s="4" t="s">
        <v>61</v>
      </c>
      <c r="J2511" s="4" t="s">
        <v>27</v>
      </c>
      <c r="K2511" s="4" t="s">
        <v>28</v>
      </c>
      <c r="L2511" s="4" t="s">
        <v>28</v>
      </c>
      <c r="M2511" s="4" t="s">
        <v>34</v>
      </c>
      <c r="N2511" s="4" t="s">
        <v>28</v>
      </c>
    </row>
    <row r="2512" spans="1:14" ht="14.4" thickBot="1" x14ac:dyDescent="0.35">
      <c r="A2512" s="4" t="s">
        <v>19</v>
      </c>
      <c r="B2512" s="4" t="s">
        <v>64</v>
      </c>
      <c r="C2512" s="4" t="s">
        <v>70</v>
      </c>
      <c r="D2512" s="4" t="s">
        <v>71</v>
      </c>
      <c r="E2512" s="4" t="s">
        <v>42</v>
      </c>
      <c r="F2512" s="4" t="s">
        <v>2562</v>
      </c>
      <c r="G2512" s="4" t="s">
        <v>2563</v>
      </c>
      <c r="H2512" s="4" t="s">
        <v>26</v>
      </c>
      <c r="I2512" s="4" t="s">
        <v>26</v>
      </c>
      <c r="J2512" s="5"/>
      <c r="K2512" s="5"/>
      <c r="L2512" s="5"/>
      <c r="M2512" s="4" t="s">
        <v>29</v>
      </c>
      <c r="N2512" s="5"/>
    </row>
    <row r="2513" spans="1:14" ht="14.4" thickBot="1" x14ac:dyDescent="0.35">
      <c r="A2513" s="4" t="s">
        <v>19</v>
      </c>
      <c r="B2513" s="4" t="s">
        <v>64</v>
      </c>
      <c r="C2513" s="4" t="s">
        <v>70</v>
      </c>
      <c r="D2513" s="4" t="s">
        <v>71</v>
      </c>
      <c r="E2513" s="4" t="s">
        <v>42</v>
      </c>
      <c r="F2513" s="4" t="s">
        <v>2564</v>
      </c>
      <c r="G2513" s="4" t="s">
        <v>2565</v>
      </c>
      <c r="H2513" s="4" t="s">
        <v>26</v>
      </c>
      <c r="I2513" s="4" t="s">
        <v>26</v>
      </c>
      <c r="J2513" s="4" t="s">
        <v>27</v>
      </c>
      <c r="K2513" s="4" t="s">
        <v>28</v>
      </c>
      <c r="L2513" s="4" t="s">
        <v>28</v>
      </c>
      <c r="M2513" s="4" t="s">
        <v>34</v>
      </c>
      <c r="N2513" s="4" t="s">
        <v>28</v>
      </c>
    </row>
    <row r="2514" spans="1:14" ht="14.4" thickBot="1" x14ac:dyDescent="0.35">
      <c r="A2514" s="4" t="s">
        <v>19</v>
      </c>
      <c r="B2514" s="4" t="s">
        <v>64</v>
      </c>
      <c r="C2514" s="4" t="s">
        <v>70</v>
      </c>
      <c r="D2514" s="4" t="s">
        <v>71</v>
      </c>
      <c r="E2514" s="4" t="s">
        <v>42</v>
      </c>
      <c r="F2514" s="4" t="s">
        <v>3343</v>
      </c>
      <c r="G2514" s="4" t="s">
        <v>3344</v>
      </c>
      <c r="H2514" s="4" t="s">
        <v>26</v>
      </c>
      <c r="I2514" s="4" t="s">
        <v>26</v>
      </c>
      <c r="J2514" s="4" t="s">
        <v>27</v>
      </c>
      <c r="K2514" s="4" t="s">
        <v>28</v>
      </c>
      <c r="L2514" s="4" t="s">
        <v>28</v>
      </c>
      <c r="M2514" s="4" t="s">
        <v>130</v>
      </c>
      <c r="N2514" s="4" t="s">
        <v>28</v>
      </c>
    </row>
    <row r="2515" spans="1:14" ht="14.4" thickBot="1" x14ac:dyDescent="0.35">
      <c r="A2515" s="4" t="s">
        <v>19</v>
      </c>
      <c r="B2515" s="4" t="s">
        <v>64</v>
      </c>
      <c r="C2515" s="4" t="s">
        <v>70</v>
      </c>
      <c r="D2515" s="4" t="s">
        <v>71</v>
      </c>
      <c r="E2515" s="4" t="s">
        <v>42</v>
      </c>
      <c r="F2515" s="4" t="s">
        <v>4149</v>
      </c>
      <c r="G2515" s="4" t="s">
        <v>849</v>
      </c>
      <c r="H2515" s="4" t="s">
        <v>32</v>
      </c>
      <c r="I2515" s="4" t="s">
        <v>33</v>
      </c>
      <c r="J2515" s="4" t="s">
        <v>27</v>
      </c>
      <c r="K2515" s="4" t="s">
        <v>28</v>
      </c>
      <c r="L2515" s="4" t="s">
        <v>28</v>
      </c>
      <c r="M2515" s="4" t="s">
        <v>34</v>
      </c>
      <c r="N2515" s="4" t="s">
        <v>28</v>
      </c>
    </row>
    <row r="2516" spans="1:14" ht="14.4" thickBot="1" x14ac:dyDescent="0.35">
      <c r="A2516" s="4" t="s">
        <v>19</v>
      </c>
      <c r="B2516" s="4" t="s">
        <v>64</v>
      </c>
      <c r="C2516" s="4" t="s">
        <v>70</v>
      </c>
      <c r="D2516" s="4" t="s">
        <v>71</v>
      </c>
      <c r="E2516" s="4" t="s">
        <v>42</v>
      </c>
      <c r="F2516" s="4" t="s">
        <v>4834</v>
      </c>
      <c r="G2516" s="4" t="s">
        <v>4835</v>
      </c>
      <c r="H2516" s="4" t="s">
        <v>135</v>
      </c>
      <c r="I2516" s="4" t="s">
        <v>69</v>
      </c>
      <c r="J2516" s="4" t="s">
        <v>27</v>
      </c>
      <c r="K2516" s="4" t="s">
        <v>28</v>
      </c>
      <c r="L2516" s="4" t="s">
        <v>28</v>
      </c>
      <c r="M2516" s="4" t="s">
        <v>34</v>
      </c>
      <c r="N2516" s="4" t="s">
        <v>27</v>
      </c>
    </row>
    <row r="2517" spans="1:14" ht="14.4" thickBot="1" x14ac:dyDescent="0.35">
      <c r="A2517" s="4" t="s">
        <v>19</v>
      </c>
      <c r="B2517" s="4" t="s">
        <v>64</v>
      </c>
      <c r="C2517" s="4" t="s">
        <v>70</v>
      </c>
      <c r="D2517" s="4" t="s">
        <v>71</v>
      </c>
      <c r="E2517" s="4" t="s">
        <v>42</v>
      </c>
      <c r="F2517" s="4" t="s">
        <v>5547</v>
      </c>
      <c r="G2517" s="4" t="s">
        <v>5548</v>
      </c>
      <c r="H2517" s="4" t="s">
        <v>69</v>
      </c>
      <c r="I2517" s="4" t="s">
        <v>94</v>
      </c>
      <c r="J2517" s="4" t="s">
        <v>28</v>
      </c>
      <c r="K2517" s="4" t="s">
        <v>27</v>
      </c>
      <c r="L2517" s="4" t="s">
        <v>28</v>
      </c>
      <c r="M2517" s="4" t="s">
        <v>34</v>
      </c>
      <c r="N2517" s="4" t="s">
        <v>28</v>
      </c>
    </row>
    <row r="2518" spans="1:14" ht="14.4" thickBot="1" x14ac:dyDescent="0.35">
      <c r="A2518" s="4" t="s">
        <v>19</v>
      </c>
      <c r="B2518" s="4" t="s">
        <v>64</v>
      </c>
      <c r="C2518" s="4" t="s">
        <v>76</v>
      </c>
      <c r="D2518" s="4" t="s">
        <v>77</v>
      </c>
      <c r="E2518" s="4" t="s">
        <v>48</v>
      </c>
      <c r="F2518" s="4" t="s">
        <v>78</v>
      </c>
      <c r="G2518" s="4" t="s">
        <v>79</v>
      </c>
      <c r="H2518" s="4" t="s">
        <v>26</v>
      </c>
      <c r="I2518" s="4" t="s">
        <v>38</v>
      </c>
      <c r="J2518" s="4" t="s">
        <v>28</v>
      </c>
      <c r="K2518" s="4" t="s">
        <v>28</v>
      </c>
      <c r="L2518" s="4" t="s">
        <v>27</v>
      </c>
      <c r="M2518" s="4" t="s">
        <v>34</v>
      </c>
      <c r="N2518" s="4" t="s">
        <v>28</v>
      </c>
    </row>
    <row r="2519" spans="1:14" ht="14.4" thickBot="1" x14ac:dyDescent="0.35">
      <c r="A2519" s="4" t="s">
        <v>19</v>
      </c>
      <c r="B2519" s="4" t="s">
        <v>64</v>
      </c>
      <c r="C2519" s="4" t="s">
        <v>80</v>
      </c>
      <c r="D2519" s="4" t="s">
        <v>81</v>
      </c>
      <c r="E2519" s="4" t="s">
        <v>48</v>
      </c>
      <c r="F2519" s="4" t="s">
        <v>82</v>
      </c>
      <c r="G2519" s="4" t="s">
        <v>83</v>
      </c>
      <c r="H2519" s="4" t="s">
        <v>26</v>
      </c>
      <c r="I2519" s="4" t="s">
        <v>33</v>
      </c>
      <c r="J2519" s="4" t="s">
        <v>27</v>
      </c>
      <c r="K2519" s="4" t="s">
        <v>28</v>
      </c>
      <c r="L2519" s="4" t="s">
        <v>28</v>
      </c>
      <c r="M2519" s="4" t="s">
        <v>34</v>
      </c>
      <c r="N2519" s="4" t="s">
        <v>28</v>
      </c>
    </row>
    <row r="2520" spans="1:14" ht="14.4" thickBot="1" x14ac:dyDescent="0.35">
      <c r="A2520" s="4" t="s">
        <v>19</v>
      </c>
      <c r="B2520" s="4" t="s">
        <v>64</v>
      </c>
      <c r="C2520" s="4" t="s">
        <v>80</v>
      </c>
      <c r="D2520" s="4" t="s">
        <v>81</v>
      </c>
      <c r="E2520" s="4" t="s">
        <v>48</v>
      </c>
      <c r="F2520" s="4" t="s">
        <v>4150</v>
      </c>
      <c r="G2520" s="4" t="s">
        <v>4151</v>
      </c>
      <c r="H2520" s="4" t="s">
        <v>69</v>
      </c>
      <c r="I2520" s="4" t="s">
        <v>38</v>
      </c>
      <c r="J2520" s="4" t="s">
        <v>28</v>
      </c>
      <c r="K2520" s="4" t="s">
        <v>28</v>
      </c>
      <c r="L2520" s="4" t="s">
        <v>27</v>
      </c>
      <c r="M2520" s="4" t="s">
        <v>34</v>
      </c>
      <c r="N2520" s="4" t="s">
        <v>28</v>
      </c>
    </row>
    <row r="2521" spans="1:14" ht="14.4" thickBot="1" x14ac:dyDescent="0.35">
      <c r="A2521" s="4" t="s">
        <v>19</v>
      </c>
      <c r="B2521" s="4" t="s">
        <v>84</v>
      </c>
      <c r="C2521" s="4" t="s">
        <v>85</v>
      </c>
      <c r="D2521" s="4" t="s">
        <v>86</v>
      </c>
      <c r="E2521" s="4" t="s">
        <v>87</v>
      </c>
      <c r="F2521" s="4" t="s">
        <v>88</v>
      </c>
      <c r="G2521" s="4" t="s">
        <v>89</v>
      </c>
      <c r="H2521" s="4" t="s">
        <v>26</v>
      </c>
      <c r="I2521" s="4" t="s">
        <v>33</v>
      </c>
      <c r="J2521" s="5"/>
      <c r="K2521" s="5"/>
      <c r="L2521" s="5"/>
      <c r="M2521" s="4" t="s">
        <v>29</v>
      </c>
      <c r="N2521" s="5"/>
    </row>
    <row r="2522" spans="1:14" ht="14.4" thickBot="1" x14ac:dyDescent="0.35">
      <c r="A2522" s="4" t="s">
        <v>19</v>
      </c>
      <c r="B2522" s="4" t="s">
        <v>84</v>
      </c>
      <c r="C2522" s="4" t="s">
        <v>85</v>
      </c>
      <c r="D2522" s="4" t="s">
        <v>86</v>
      </c>
      <c r="E2522" s="4" t="s">
        <v>87</v>
      </c>
      <c r="F2522" s="4" t="s">
        <v>90</v>
      </c>
      <c r="G2522" s="4" t="s">
        <v>91</v>
      </c>
      <c r="H2522" s="4" t="s">
        <v>26</v>
      </c>
      <c r="I2522" s="4" t="s">
        <v>38</v>
      </c>
      <c r="J2522" s="4" t="s">
        <v>28</v>
      </c>
      <c r="K2522" s="4" t="s">
        <v>28</v>
      </c>
      <c r="L2522" s="4" t="s">
        <v>27</v>
      </c>
      <c r="M2522" s="4" t="s">
        <v>29</v>
      </c>
      <c r="N2522" s="4" t="s">
        <v>28</v>
      </c>
    </row>
    <row r="2523" spans="1:14" ht="14.4" thickBot="1" x14ac:dyDescent="0.35">
      <c r="A2523" s="4" t="s">
        <v>19</v>
      </c>
      <c r="B2523" s="4" t="s">
        <v>84</v>
      </c>
      <c r="C2523" s="4" t="s">
        <v>85</v>
      </c>
      <c r="D2523" s="4" t="s">
        <v>86</v>
      </c>
      <c r="E2523" s="4" t="s">
        <v>87</v>
      </c>
      <c r="F2523" s="4" t="s">
        <v>92</v>
      </c>
      <c r="G2523" s="4" t="s">
        <v>93</v>
      </c>
      <c r="H2523" s="4" t="s">
        <v>69</v>
      </c>
      <c r="I2523" s="4" t="s">
        <v>94</v>
      </c>
      <c r="J2523" s="4" t="s">
        <v>28</v>
      </c>
      <c r="K2523" s="4" t="s">
        <v>27</v>
      </c>
      <c r="L2523" s="4" t="s">
        <v>28</v>
      </c>
      <c r="M2523" s="4" t="s">
        <v>34</v>
      </c>
      <c r="N2523" s="4" t="s">
        <v>28</v>
      </c>
    </row>
    <row r="2524" spans="1:14" ht="14.4" thickBot="1" x14ac:dyDescent="0.35">
      <c r="A2524" s="4" t="s">
        <v>19</v>
      </c>
      <c r="B2524" s="4" t="s">
        <v>84</v>
      </c>
      <c r="C2524" s="4" t="s">
        <v>85</v>
      </c>
      <c r="D2524" s="4" t="s">
        <v>86</v>
      </c>
      <c r="E2524" s="4" t="s">
        <v>87</v>
      </c>
      <c r="F2524" s="4" t="s">
        <v>95</v>
      </c>
      <c r="G2524" s="4" t="s">
        <v>96</v>
      </c>
      <c r="H2524" s="4" t="s">
        <v>37</v>
      </c>
      <c r="I2524" s="4" t="s">
        <v>38</v>
      </c>
      <c r="J2524" s="4" t="s">
        <v>28</v>
      </c>
      <c r="K2524" s="4" t="s">
        <v>28</v>
      </c>
      <c r="L2524" s="4" t="s">
        <v>27</v>
      </c>
      <c r="M2524" s="4" t="s">
        <v>34</v>
      </c>
      <c r="N2524" s="4" t="s">
        <v>28</v>
      </c>
    </row>
    <row r="2525" spans="1:14" ht="14.4" thickBot="1" x14ac:dyDescent="0.35">
      <c r="A2525" s="4" t="s">
        <v>19</v>
      </c>
      <c r="B2525" s="4" t="s">
        <v>84</v>
      </c>
      <c r="C2525" s="4" t="s">
        <v>85</v>
      </c>
      <c r="D2525" s="4" t="s">
        <v>86</v>
      </c>
      <c r="E2525" s="4" t="s">
        <v>87</v>
      </c>
      <c r="F2525" s="4" t="s">
        <v>97</v>
      </c>
      <c r="G2525" s="4" t="s">
        <v>98</v>
      </c>
      <c r="H2525" s="4" t="s">
        <v>26</v>
      </c>
      <c r="I2525" s="4" t="s">
        <v>33</v>
      </c>
      <c r="J2525" s="4" t="s">
        <v>27</v>
      </c>
      <c r="K2525" s="4" t="s">
        <v>28</v>
      </c>
      <c r="L2525" s="4" t="s">
        <v>28</v>
      </c>
      <c r="M2525" s="4" t="s">
        <v>34</v>
      </c>
      <c r="N2525" s="4" t="s">
        <v>28</v>
      </c>
    </row>
    <row r="2526" spans="1:14" ht="14.4" thickBot="1" x14ac:dyDescent="0.35">
      <c r="A2526" s="4" t="s">
        <v>19</v>
      </c>
      <c r="B2526" s="4" t="s">
        <v>84</v>
      </c>
      <c r="C2526" s="4" t="s">
        <v>85</v>
      </c>
      <c r="D2526" s="4" t="s">
        <v>86</v>
      </c>
      <c r="E2526" s="4" t="s">
        <v>87</v>
      </c>
      <c r="F2526" s="4" t="s">
        <v>99</v>
      </c>
      <c r="G2526" s="4" t="s">
        <v>100</v>
      </c>
      <c r="H2526" s="4" t="s">
        <v>26</v>
      </c>
      <c r="I2526" s="4" t="s">
        <v>33</v>
      </c>
      <c r="J2526" s="4" t="s">
        <v>27</v>
      </c>
      <c r="K2526" s="4" t="s">
        <v>28</v>
      </c>
      <c r="L2526" s="4" t="s">
        <v>28</v>
      </c>
      <c r="M2526" s="4" t="s">
        <v>34</v>
      </c>
      <c r="N2526" s="4" t="s">
        <v>28</v>
      </c>
    </row>
    <row r="2527" spans="1:14" ht="14.4" thickBot="1" x14ac:dyDescent="0.35">
      <c r="A2527" s="4" t="s">
        <v>19</v>
      </c>
      <c r="B2527" s="4" t="s">
        <v>84</v>
      </c>
      <c r="C2527" s="4" t="s">
        <v>85</v>
      </c>
      <c r="D2527" s="4" t="s">
        <v>86</v>
      </c>
      <c r="E2527" s="4" t="s">
        <v>87</v>
      </c>
      <c r="F2527" s="4" t="s">
        <v>1061</v>
      </c>
      <c r="G2527" s="4" t="s">
        <v>1062</v>
      </c>
      <c r="H2527" s="4" t="s">
        <v>26</v>
      </c>
      <c r="I2527" s="4" t="s">
        <v>26</v>
      </c>
      <c r="J2527" s="4" t="s">
        <v>27</v>
      </c>
      <c r="K2527" s="4" t="s">
        <v>28</v>
      </c>
      <c r="L2527" s="4" t="s">
        <v>28</v>
      </c>
      <c r="M2527" s="4" t="s">
        <v>29</v>
      </c>
      <c r="N2527" s="4" t="s">
        <v>28</v>
      </c>
    </row>
    <row r="2528" spans="1:14" ht="14.4" thickBot="1" x14ac:dyDescent="0.35">
      <c r="A2528" s="4" t="s">
        <v>19</v>
      </c>
      <c r="B2528" s="4" t="s">
        <v>84</v>
      </c>
      <c r="C2528" s="4" t="s">
        <v>85</v>
      </c>
      <c r="D2528" s="4" t="s">
        <v>86</v>
      </c>
      <c r="E2528" s="4" t="s">
        <v>87</v>
      </c>
      <c r="F2528" s="4" t="s">
        <v>1063</v>
      </c>
      <c r="G2528" s="4" t="s">
        <v>1064</v>
      </c>
      <c r="H2528" s="4" t="s">
        <v>26</v>
      </c>
      <c r="I2528" s="4" t="s">
        <v>33</v>
      </c>
      <c r="J2528" s="4" t="s">
        <v>27</v>
      </c>
      <c r="K2528" s="4" t="s">
        <v>28</v>
      </c>
      <c r="L2528" s="4" t="s">
        <v>28</v>
      </c>
      <c r="M2528" s="4" t="s">
        <v>34</v>
      </c>
      <c r="N2528" s="4" t="s">
        <v>28</v>
      </c>
    </row>
    <row r="2529" spans="1:14" ht="14.4" thickBot="1" x14ac:dyDescent="0.35">
      <c r="A2529" s="4" t="s">
        <v>19</v>
      </c>
      <c r="B2529" s="4" t="s">
        <v>84</v>
      </c>
      <c r="C2529" s="4" t="s">
        <v>85</v>
      </c>
      <c r="D2529" s="4" t="s">
        <v>86</v>
      </c>
      <c r="E2529" s="4" t="s">
        <v>87</v>
      </c>
      <c r="F2529" s="4" t="s">
        <v>118</v>
      </c>
      <c r="G2529" s="4" t="s">
        <v>1065</v>
      </c>
      <c r="H2529" s="4" t="s">
        <v>26</v>
      </c>
      <c r="I2529" s="4" t="s">
        <v>32</v>
      </c>
      <c r="J2529" s="4" t="s">
        <v>27</v>
      </c>
      <c r="K2529" s="4" t="s">
        <v>28</v>
      </c>
      <c r="L2529" s="4" t="s">
        <v>28</v>
      </c>
      <c r="M2529" s="4" t="s">
        <v>34</v>
      </c>
      <c r="N2529" s="4" t="s">
        <v>28</v>
      </c>
    </row>
    <row r="2530" spans="1:14" ht="14.4" thickBot="1" x14ac:dyDescent="0.35">
      <c r="A2530" s="4" t="s">
        <v>19</v>
      </c>
      <c r="B2530" s="4" t="s">
        <v>84</v>
      </c>
      <c r="C2530" s="4" t="s">
        <v>85</v>
      </c>
      <c r="D2530" s="4" t="s">
        <v>86</v>
      </c>
      <c r="E2530" s="4" t="s">
        <v>87</v>
      </c>
      <c r="F2530" s="4" t="s">
        <v>1066</v>
      </c>
      <c r="G2530" s="4" t="s">
        <v>1067</v>
      </c>
      <c r="H2530" s="4" t="s">
        <v>26</v>
      </c>
      <c r="I2530" s="4" t="s">
        <v>94</v>
      </c>
      <c r="J2530" s="5"/>
      <c r="K2530" s="5"/>
      <c r="L2530" s="5"/>
      <c r="M2530" s="4" t="s">
        <v>29</v>
      </c>
      <c r="N2530" s="5"/>
    </row>
    <row r="2531" spans="1:14" ht="14.4" thickBot="1" x14ac:dyDescent="0.35">
      <c r="A2531" s="4" t="s">
        <v>19</v>
      </c>
      <c r="B2531" s="4" t="s">
        <v>84</v>
      </c>
      <c r="C2531" s="4" t="s">
        <v>85</v>
      </c>
      <c r="D2531" s="4" t="s">
        <v>86</v>
      </c>
      <c r="E2531" s="4" t="s">
        <v>87</v>
      </c>
      <c r="F2531" s="4" t="s">
        <v>1068</v>
      </c>
      <c r="G2531" s="4" t="s">
        <v>1069</v>
      </c>
      <c r="H2531" s="4" t="s">
        <v>26</v>
      </c>
      <c r="I2531" s="4" t="s">
        <v>33</v>
      </c>
      <c r="J2531" s="4" t="s">
        <v>27</v>
      </c>
      <c r="K2531" s="4" t="s">
        <v>28</v>
      </c>
      <c r="L2531" s="4" t="s">
        <v>28</v>
      </c>
      <c r="M2531" s="4" t="s">
        <v>34</v>
      </c>
      <c r="N2531" s="4" t="s">
        <v>28</v>
      </c>
    </row>
    <row r="2532" spans="1:14" ht="14.4" thickBot="1" x14ac:dyDescent="0.35">
      <c r="A2532" s="4" t="s">
        <v>19</v>
      </c>
      <c r="B2532" s="4" t="s">
        <v>84</v>
      </c>
      <c r="C2532" s="4" t="s">
        <v>85</v>
      </c>
      <c r="D2532" s="4" t="s">
        <v>86</v>
      </c>
      <c r="E2532" s="4" t="s">
        <v>87</v>
      </c>
      <c r="F2532" s="4" t="s">
        <v>1070</v>
      </c>
      <c r="G2532" s="4" t="s">
        <v>1071</v>
      </c>
      <c r="H2532" s="4" t="s">
        <v>26</v>
      </c>
      <c r="I2532" s="4" t="s">
        <v>33</v>
      </c>
      <c r="J2532" s="4" t="s">
        <v>27</v>
      </c>
      <c r="K2532" s="4" t="s">
        <v>28</v>
      </c>
      <c r="L2532" s="4" t="s">
        <v>28</v>
      </c>
      <c r="M2532" s="4" t="s">
        <v>34</v>
      </c>
      <c r="N2532" s="4" t="s">
        <v>28</v>
      </c>
    </row>
    <row r="2533" spans="1:14" ht="14.4" thickBot="1" x14ac:dyDescent="0.35">
      <c r="A2533" s="4" t="s">
        <v>19</v>
      </c>
      <c r="B2533" s="4" t="s">
        <v>84</v>
      </c>
      <c r="C2533" s="4" t="s">
        <v>85</v>
      </c>
      <c r="D2533" s="4" t="s">
        <v>86</v>
      </c>
      <c r="E2533" s="4" t="s">
        <v>87</v>
      </c>
      <c r="F2533" s="4" t="s">
        <v>1072</v>
      </c>
      <c r="G2533" s="4" t="s">
        <v>1073</v>
      </c>
      <c r="H2533" s="4" t="s">
        <v>135</v>
      </c>
      <c r="I2533" s="4" t="s">
        <v>33</v>
      </c>
      <c r="J2533" s="4" t="s">
        <v>27</v>
      </c>
      <c r="K2533" s="4" t="s">
        <v>28</v>
      </c>
      <c r="L2533" s="4" t="s">
        <v>28</v>
      </c>
      <c r="M2533" s="4" t="s">
        <v>34</v>
      </c>
      <c r="N2533" s="4" t="s">
        <v>28</v>
      </c>
    </row>
    <row r="2534" spans="1:14" ht="14.4" thickBot="1" x14ac:dyDescent="0.35">
      <c r="A2534" s="4" t="s">
        <v>19</v>
      </c>
      <c r="B2534" s="4" t="s">
        <v>84</v>
      </c>
      <c r="C2534" s="4" t="s">
        <v>85</v>
      </c>
      <c r="D2534" s="4" t="s">
        <v>86</v>
      </c>
      <c r="E2534" s="4" t="s">
        <v>87</v>
      </c>
      <c r="F2534" s="4" t="s">
        <v>1074</v>
      </c>
      <c r="G2534" s="4" t="s">
        <v>1075</v>
      </c>
      <c r="H2534" s="4" t="s">
        <v>26</v>
      </c>
      <c r="I2534" s="4" t="s">
        <v>94</v>
      </c>
      <c r="J2534" s="4" t="s">
        <v>27</v>
      </c>
      <c r="K2534" s="4" t="s">
        <v>28</v>
      </c>
      <c r="L2534" s="4" t="s">
        <v>28</v>
      </c>
      <c r="M2534" s="4" t="s">
        <v>34</v>
      </c>
      <c r="N2534" s="4" t="s">
        <v>28</v>
      </c>
    </row>
    <row r="2535" spans="1:14" ht="14.4" thickBot="1" x14ac:dyDescent="0.35">
      <c r="A2535" s="4" t="s">
        <v>19</v>
      </c>
      <c r="B2535" s="4" t="s">
        <v>84</v>
      </c>
      <c r="C2535" s="4" t="s">
        <v>85</v>
      </c>
      <c r="D2535" s="4" t="s">
        <v>86</v>
      </c>
      <c r="E2535" s="4" t="s">
        <v>87</v>
      </c>
      <c r="F2535" s="4" t="s">
        <v>1908</v>
      </c>
      <c r="G2535" s="4" t="s">
        <v>1909</v>
      </c>
      <c r="H2535" s="4" t="s">
        <v>26</v>
      </c>
      <c r="I2535" s="4" t="s">
        <v>26</v>
      </c>
      <c r="J2535" s="5"/>
      <c r="K2535" s="5"/>
      <c r="L2535" s="5"/>
      <c r="M2535" s="4" t="s">
        <v>29</v>
      </c>
      <c r="N2535" s="5"/>
    </row>
    <row r="2536" spans="1:14" ht="14.4" thickBot="1" x14ac:dyDescent="0.35">
      <c r="A2536" s="4" t="s">
        <v>19</v>
      </c>
      <c r="B2536" s="4" t="s">
        <v>84</v>
      </c>
      <c r="C2536" s="4" t="s">
        <v>85</v>
      </c>
      <c r="D2536" s="4" t="s">
        <v>86</v>
      </c>
      <c r="E2536" s="4" t="s">
        <v>87</v>
      </c>
      <c r="F2536" s="4" t="s">
        <v>1910</v>
      </c>
      <c r="G2536" s="4" t="s">
        <v>1911</v>
      </c>
      <c r="H2536" s="4" t="s">
        <v>26</v>
      </c>
      <c r="I2536" s="4" t="s">
        <v>94</v>
      </c>
      <c r="J2536" s="5"/>
      <c r="K2536" s="5"/>
      <c r="L2536" s="5"/>
      <c r="M2536" s="4" t="s">
        <v>29</v>
      </c>
      <c r="N2536" s="5"/>
    </row>
    <row r="2537" spans="1:14" ht="14.4" thickBot="1" x14ac:dyDescent="0.35">
      <c r="A2537" s="4" t="s">
        <v>19</v>
      </c>
      <c r="B2537" s="4" t="s">
        <v>84</v>
      </c>
      <c r="C2537" s="4" t="s">
        <v>85</v>
      </c>
      <c r="D2537" s="4" t="s">
        <v>86</v>
      </c>
      <c r="E2537" s="4" t="s">
        <v>87</v>
      </c>
      <c r="F2537" s="4" t="s">
        <v>1912</v>
      </c>
      <c r="G2537" s="4" t="s">
        <v>1913</v>
      </c>
      <c r="H2537" s="4" t="s">
        <v>26</v>
      </c>
      <c r="I2537" s="4" t="s">
        <v>33</v>
      </c>
      <c r="J2537" s="4" t="s">
        <v>27</v>
      </c>
      <c r="K2537" s="4" t="s">
        <v>28</v>
      </c>
      <c r="L2537" s="4" t="s">
        <v>28</v>
      </c>
      <c r="M2537" s="4" t="s">
        <v>34</v>
      </c>
      <c r="N2537" s="4" t="s">
        <v>28</v>
      </c>
    </row>
    <row r="2538" spans="1:14" ht="14.4" thickBot="1" x14ac:dyDescent="0.35">
      <c r="A2538" s="4" t="s">
        <v>19</v>
      </c>
      <c r="B2538" s="4" t="s">
        <v>84</v>
      </c>
      <c r="C2538" s="4" t="s">
        <v>85</v>
      </c>
      <c r="D2538" s="4" t="s">
        <v>86</v>
      </c>
      <c r="E2538" s="4" t="s">
        <v>87</v>
      </c>
      <c r="F2538" s="4" t="s">
        <v>1914</v>
      </c>
      <c r="G2538" s="4" t="s">
        <v>1915</v>
      </c>
      <c r="H2538" s="4" t="s">
        <v>26</v>
      </c>
      <c r="I2538" s="4" t="s">
        <v>33</v>
      </c>
      <c r="J2538" s="4" t="s">
        <v>27</v>
      </c>
      <c r="K2538" s="4" t="s">
        <v>28</v>
      </c>
      <c r="L2538" s="4" t="s">
        <v>28</v>
      </c>
      <c r="M2538" s="4" t="s">
        <v>34</v>
      </c>
      <c r="N2538" s="4" t="s">
        <v>28</v>
      </c>
    </row>
    <row r="2539" spans="1:14" ht="14.4" thickBot="1" x14ac:dyDescent="0.35">
      <c r="A2539" s="4" t="s">
        <v>19</v>
      </c>
      <c r="B2539" s="4" t="s">
        <v>84</v>
      </c>
      <c r="C2539" s="4" t="s">
        <v>85</v>
      </c>
      <c r="D2539" s="4" t="s">
        <v>86</v>
      </c>
      <c r="E2539" s="4" t="s">
        <v>87</v>
      </c>
      <c r="F2539" s="4" t="s">
        <v>2566</v>
      </c>
      <c r="G2539" s="4" t="s">
        <v>2567</v>
      </c>
      <c r="H2539" s="4" t="s">
        <v>37</v>
      </c>
      <c r="I2539" s="4" t="s">
        <v>38</v>
      </c>
      <c r="J2539" s="4" t="s">
        <v>28</v>
      </c>
      <c r="K2539" s="4" t="s">
        <v>28</v>
      </c>
      <c r="L2539" s="4" t="s">
        <v>27</v>
      </c>
      <c r="M2539" s="4" t="s">
        <v>34</v>
      </c>
      <c r="N2539" s="4" t="s">
        <v>28</v>
      </c>
    </row>
    <row r="2540" spans="1:14" ht="14.4" thickBot="1" x14ac:dyDescent="0.35">
      <c r="A2540" s="4" t="s">
        <v>19</v>
      </c>
      <c r="B2540" s="4" t="s">
        <v>84</v>
      </c>
      <c r="C2540" s="4" t="s">
        <v>85</v>
      </c>
      <c r="D2540" s="4" t="s">
        <v>86</v>
      </c>
      <c r="E2540" s="4" t="s">
        <v>87</v>
      </c>
      <c r="F2540" s="4" t="s">
        <v>2568</v>
      </c>
      <c r="G2540" s="4" t="s">
        <v>2569</v>
      </c>
      <c r="H2540" s="4" t="s">
        <v>26</v>
      </c>
      <c r="I2540" s="4" t="s">
        <v>38</v>
      </c>
      <c r="J2540" s="5"/>
      <c r="K2540" s="5"/>
      <c r="L2540" s="5"/>
      <c r="M2540" s="4" t="s">
        <v>29</v>
      </c>
      <c r="N2540" s="5"/>
    </row>
    <row r="2541" spans="1:14" ht="14.4" thickBot="1" x14ac:dyDescent="0.35">
      <c r="A2541" s="4" t="s">
        <v>19</v>
      </c>
      <c r="B2541" s="4" t="s">
        <v>84</v>
      </c>
      <c r="C2541" s="4" t="s">
        <v>85</v>
      </c>
      <c r="D2541" s="4" t="s">
        <v>86</v>
      </c>
      <c r="E2541" s="4" t="s">
        <v>87</v>
      </c>
      <c r="F2541" s="4" t="s">
        <v>2570</v>
      </c>
      <c r="G2541" s="4" t="s">
        <v>2571</v>
      </c>
      <c r="H2541" s="4" t="s">
        <v>135</v>
      </c>
      <c r="I2541" s="4" t="s">
        <v>38</v>
      </c>
      <c r="J2541" s="4" t="s">
        <v>28</v>
      </c>
      <c r="K2541" s="4" t="s">
        <v>28</v>
      </c>
      <c r="L2541" s="4" t="s">
        <v>27</v>
      </c>
      <c r="M2541" s="4" t="s">
        <v>34</v>
      </c>
      <c r="N2541" s="4" t="s">
        <v>27</v>
      </c>
    </row>
    <row r="2542" spans="1:14" ht="14.4" thickBot="1" x14ac:dyDescent="0.35">
      <c r="A2542" s="4" t="s">
        <v>19</v>
      </c>
      <c r="B2542" s="4" t="s">
        <v>84</v>
      </c>
      <c r="C2542" s="4" t="s">
        <v>85</v>
      </c>
      <c r="D2542" s="4" t="s">
        <v>86</v>
      </c>
      <c r="E2542" s="4" t="s">
        <v>87</v>
      </c>
      <c r="F2542" s="4" t="s">
        <v>3345</v>
      </c>
      <c r="G2542" s="4" t="s">
        <v>3346</v>
      </c>
      <c r="H2542" s="4" t="s">
        <v>26</v>
      </c>
      <c r="I2542" s="4" t="s">
        <v>26</v>
      </c>
      <c r="J2542" s="4" t="s">
        <v>27</v>
      </c>
      <c r="K2542" s="4" t="s">
        <v>28</v>
      </c>
      <c r="L2542" s="4" t="s">
        <v>28</v>
      </c>
      <c r="M2542" s="4" t="s">
        <v>34</v>
      </c>
      <c r="N2542" s="4" t="s">
        <v>28</v>
      </c>
    </row>
    <row r="2543" spans="1:14" ht="14.4" thickBot="1" x14ac:dyDescent="0.35">
      <c r="A2543" s="4" t="s">
        <v>19</v>
      </c>
      <c r="B2543" s="4" t="s">
        <v>84</v>
      </c>
      <c r="C2543" s="4" t="s">
        <v>85</v>
      </c>
      <c r="D2543" s="4" t="s">
        <v>86</v>
      </c>
      <c r="E2543" s="4" t="s">
        <v>87</v>
      </c>
      <c r="F2543" s="4" t="s">
        <v>3347</v>
      </c>
      <c r="G2543" s="4" t="s">
        <v>3348</v>
      </c>
      <c r="H2543" s="4" t="s">
        <v>135</v>
      </c>
      <c r="I2543" s="4" t="s">
        <v>38</v>
      </c>
      <c r="J2543" s="5"/>
      <c r="K2543" s="5"/>
      <c r="L2543" s="5"/>
      <c r="M2543" s="4" t="s">
        <v>29</v>
      </c>
      <c r="N2543" s="5"/>
    </row>
    <row r="2544" spans="1:14" ht="14.4" thickBot="1" x14ac:dyDescent="0.35">
      <c r="A2544" s="4" t="s">
        <v>19</v>
      </c>
      <c r="B2544" s="4" t="s">
        <v>84</v>
      </c>
      <c r="C2544" s="4" t="s">
        <v>85</v>
      </c>
      <c r="D2544" s="4" t="s">
        <v>86</v>
      </c>
      <c r="E2544" s="4" t="s">
        <v>87</v>
      </c>
      <c r="F2544" s="4" t="s">
        <v>3349</v>
      </c>
      <c r="G2544" s="4" t="s">
        <v>3350</v>
      </c>
      <c r="H2544" s="4" t="s">
        <v>158</v>
      </c>
      <c r="I2544" s="4" t="s">
        <v>94</v>
      </c>
      <c r="J2544" s="4" t="s">
        <v>27</v>
      </c>
      <c r="K2544" s="4" t="s">
        <v>28</v>
      </c>
      <c r="L2544" s="4" t="s">
        <v>28</v>
      </c>
      <c r="M2544" s="4" t="s">
        <v>29</v>
      </c>
      <c r="N2544" s="5"/>
    </row>
    <row r="2545" spans="1:14" ht="14.4" thickBot="1" x14ac:dyDescent="0.35">
      <c r="A2545" s="4" t="s">
        <v>19</v>
      </c>
      <c r="B2545" s="4" t="s">
        <v>84</v>
      </c>
      <c r="C2545" s="4" t="s">
        <v>85</v>
      </c>
      <c r="D2545" s="4" t="s">
        <v>86</v>
      </c>
      <c r="E2545" s="4" t="s">
        <v>87</v>
      </c>
      <c r="F2545" s="4" t="s">
        <v>3351</v>
      </c>
      <c r="G2545" s="4" t="s">
        <v>1527</v>
      </c>
      <c r="H2545" s="4" t="s">
        <v>26</v>
      </c>
      <c r="I2545" s="4" t="s">
        <v>94</v>
      </c>
      <c r="J2545" s="5"/>
      <c r="K2545" s="5"/>
      <c r="L2545" s="5"/>
      <c r="M2545" s="4" t="s">
        <v>29</v>
      </c>
      <c r="N2545" s="5"/>
    </row>
    <row r="2546" spans="1:14" ht="14.4" thickBot="1" x14ac:dyDescent="0.35">
      <c r="A2546" s="4" t="s">
        <v>19</v>
      </c>
      <c r="B2546" s="4" t="s">
        <v>84</v>
      </c>
      <c r="C2546" s="4" t="s">
        <v>85</v>
      </c>
      <c r="D2546" s="4" t="s">
        <v>86</v>
      </c>
      <c r="E2546" s="4" t="s">
        <v>87</v>
      </c>
      <c r="F2546" s="4" t="s">
        <v>3352</v>
      </c>
      <c r="G2546" s="4" t="s">
        <v>3353</v>
      </c>
      <c r="H2546" s="4" t="s">
        <v>69</v>
      </c>
      <c r="I2546" s="4" t="s">
        <v>94</v>
      </c>
      <c r="J2546" s="4" t="s">
        <v>28</v>
      </c>
      <c r="K2546" s="4" t="s">
        <v>27</v>
      </c>
      <c r="L2546" s="4" t="s">
        <v>28</v>
      </c>
      <c r="M2546" s="4" t="s">
        <v>34</v>
      </c>
      <c r="N2546" s="4" t="s">
        <v>28</v>
      </c>
    </row>
    <row r="2547" spans="1:14" ht="14.4" thickBot="1" x14ac:dyDescent="0.35">
      <c r="A2547" s="4" t="s">
        <v>19</v>
      </c>
      <c r="B2547" s="4" t="s">
        <v>84</v>
      </c>
      <c r="C2547" s="4" t="s">
        <v>85</v>
      </c>
      <c r="D2547" s="4" t="s">
        <v>86</v>
      </c>
      <c r="E2547" s="4" t="s">
        <v>87</v>
      </c>
      <c r="F2547" s="4" t="s">
        <v>3354</v>
      </c>
      <c r="G2547" s="4" t="s">
        <v>3355</v>
      </c>
      <c r="H2547" s="4" t="s">
        <v>135</v>
      </c>
      <c r="I2547" s="4" t="s">
        <v>94</v>
      </c>
      <c r="J2547" s="4" t="s">
        <v>27</v>
      </c>
      <c r="K2547" s="4" t="s">
        <v>28</v>
      </c>
      <c r="L2547" s="4" t="s">
        <v>28</v>
      </c>
      <c r="M2547" s="4" t="s">
        <v>34</v>
      </c>
      <c r="N2547" s="4" t="s">
        <v>27</v>
      </c>
    </row>
    <row r="2548" spans="1:14" ht="14.4" thickBot="1" x14ac:dyDescent="0.35">
      <c r="A2548" s="4" t="s">
        <v>19</v>
      </c>
      <c r="B2548" s="4" t="s">
        <v>84</v>
      </c>
      <c r="C2548" s="4" t="s">
        <v>85</v>
      </c>
      <c r="D2548" s="4" t="s">
        <v>86</v>
      </c>
      <c r="E2548" s="4" t="s">
        <v>87</v>
      </c>
      <c r="F2548" s="4" t="s">
        <v>3356</v>
      </c>
      <c r="G2548" s="4" t="s">
        <v>3357</v>
      </c>
      <c r="H2548" s="4" t="s">
        <v>26</v>
      </c>
      <c r="I2548" s="4" t="s">
        <v>33</v>
      </c>
      <c r="J2548" s="4" t="s">
        <v>27</v>
      </c>
      <c r="K2548" s="4" t="s">
        <v>28</v>
      </c>
      <c r="L2548" s="4" t="s">
        <v>28</v>
      </c>
      <c r="M2548" s="4" t="s">
        <v>34</v>
      </c>
      <c r="N2548" s="4" t="s">
        <v>28</v>
      </c>
    </row>
    <row r="2549" spans="1:14" ht="14.4" thickBot="1" x14ac:dyDescent="0.35">
      <c r="A2549" s="4" t="s">
        <v>19</v>
      </c>
      <c r="B2549" s="4" t="s">
        <v>84</v>
      </c>
      <c r="C2549" s="4" t="s">
        <v>85</v>
      </c>
      <c r="D2549" s="4" t="s">
        <v>86</v>
      </c>
      <c r="E2549" s="4" t="s">
        <v>87</v>
      </c>
      <c r="F2549" s="4" t="s">
        <v>3358</v>
      </c>
      <c r="G2549" s="4" t="s">
        <v>3359</v>
      </c>
      <c r="H2549" s="4" t="s">
        <v>37</v>
      </c>
      <c r="I2549" s="4" t="s">
        <v>38</v>
      </c>
      <c r="J2549" s="4" t="s">
        <v>28</v>
      </c>
      <c r="K2549" s="4" t="s">
        <v>28</v>
      </c>
      <c r="L2549" s="4" t="s">
        <v>27</v>
      </c>
      <c r="M2549" s="4" t="s">
        <v>34</v>
      </c>
      <c r="N2549" s="4" t="s">
        <v>28</v>
      </c>
    </row>
    <row r="2550" spans="1:14" ht="14.4" thickBot="1" x14ac:dyDescent="0.35">
      <c r="A2550" s="4" t="s">
        <v>19</v>
      </c>
      <c r="B2550" s="4" t="s">
        <v>84</v>
      </c>
      <c r="C2550" s="4" t="s">
        <v>85</v>
      </c>
      <c r="D2550" s="4" t="s">
        <v>86</v>
      </c>
      <c r="E2550" s="4" t="s">
        <v>87</v>
      </c>
      <c r="F2550" s="4" t="s">
        <v>3360</v>
      </c>
      <c r="G2550" s="4" t="s">
        <v>3361</v>
      </c>
      <c r="H2550" s="4" t="s">
        <v>37</v>
      </c>
      <c r="I2550" s="4" t="s">
        <v>38</v>
      </c>
      <c r="J2550" s="4" t="s">
        <v>28</v>
      </c>
      <c r="K2550" s="4" t="s">
        <v>28</v>
      </c>
      <c r="L2550" s="4" t="s">
        <v>27</v>
      </c>
      <c r="M2550" s="4" t="s">
        <v>34</v>
      </c>
      <c r="N2550" s="4" t="s">
        <v>28</v>
      </c>
    </row>
    <row r="2551" spans="1:14" ht="14.4" thickBot="1" x14ac:dyDescent="0.35">
      <c r="A2551" s="4" t="s">
        <v>19</v>
      </c>
      <c r="B2551" s="4" t="s">
        <v>84</v>
      </c>
      <c r="C2551" s="4" t="s">
        <v>85</v>
      </c>
      <c r="D2551" s="4" t="s">
        <v>86</v>
      </c>
      <c r="E2551" s="4" t="s">
        <v>87</v>
      </c>
      <c r="F2551" s="4" t="s">
        <v>3362</v>
      </c>
      <c r="G2551" s="4" t="s">
        <v>3363</v>
      </c>
      <c r="H2551" s="4" t="s">
        <v>26</v>
      </c>
      <c r="I2551" s="4" t="s">
        <v>33</v>
      </c>
      <c r="J2551" s="4" t="s">
        <v>27</v>
      </c>
      <c r="K2551" s="4" t="s">
        <v>28</v>
      </c>
      <c r="L2551" s="4" t="s">
        <v>28</v>
      </c>
      <c r="M2551" s="4" t="s">
        <v>34</v>
      </c>
      <c r="N2551" s="4" t="s">
        <v>28</v>
      </c>
    </row>
    <row r="2552" spans="1:14" ht="14.4" thickBot="1" x14ac:dyDescent="0.35">
      <c r="A2552" s="4" t="s">
        <v>19</v>
      </c>
      <c r="B2552" s="4" t="s">
        <v>84</v>
      </c>
      <c r="C2552" s="4" t="s">
        <v>85</v>
      </c>
      <c r="D2552" s="4" t="s">
        <v>86</v>
      </c>
      <c r="E2552" s="4" t="s">
        <v>87</v>
      </c>
      <c r="F2552" s="4" t="s">
        <v>4152</v>
      </c>
      <c r="G2552" s="4" t="s">
        <v>4153</v>
      </c>
      <c r="H2552" s="4" t="s">
        <v>26</v>
      </c>
      <c r="I2552" s="4" t="s">
        <v>26</v>
      </c>
      <c r="J2552" s="5"/>
      <c r="K2552" s="5"/>
      <c r="L2552" s="5"/>
      <c r="M2552" s="4" t="s">
        <v>130</v>
      </c>
      <c r="N2552" s="5"/>
    </row>
    <row r="2553" spans="1:14" ht="14.4" thickBot="1" x14ac:dyDescent="0.35">
      <c r="A2553" s="4" t="s">
        <v>19</v>
      </c>
      <c r="B2553" s="4" t="s">
        <v>84</v>
      </c>
      <c r="C2553" s="4" t="s">
        <v>85</v>
      </c>
      <c r="D2553" s="4" t="s">
        <v>86</v>
      </c>
      <c r="E2553" s="4" t="s">
        <v>87</v>
      </c>
      <c r="F2553" s="4" t="s">
        <v>4154</v>
      </c>
      <c r="G2553" s="4" t="s">
        <v>4155</v>
      </c>
      <c r="H2553" s="4" t="s">
        <v>26</v>
      </c>
      <c r="I2553" s="4" t="s">
        <v>33</v>
      </c>
      <c r="J2553" s="4" t="s">
        <v>27</v>
      </c>
      <c r="K2553" s="4" t="s">
        <v>28</v>
      </c>
      <c r="L2553" s="4" t="s">
        <v>28</v>
      </c>
      <c r="M2553" s="4" t="s">
        <v>34</v>
      </c>
      <c r="N2553" s="4" t="s">
        <v>28</v>
      </c>
    </row>
    <row r="2554" spans="1:14" ht="14.4" thickBot="1" x14ac:dyDescent="0.35">
      <c r="A2554" s="4" t="s">
        <v>19</v>
      </c>
      <c r="B2554" s="4" t="s">
        <v>84</v>
      </c>
      <c r="C2554" s="4" t="s">
        <v>85</v>
      </c>
      <c r="D2554" s="4" t="s">
        <v>86</v>
      </c>
      <c r="E2554" s="4" t="s">
        <v>87</v>
      </c>
      <c r="F2554" s="4" t="s">
        <v>4156</v>
      </c>
      <c r="G2554" s="4" t="s">
        <v>4157</v>
      </c>
      <c r="H2554" s="4" t="s">
        <v>26</v>
      </c>
      <c r="I2554" s="4" t="s">
        <v>33</v>
      </c>
      <c r="J2554" s="4" t="s">
        <v>27</v>
      </c>
      <c r="K2554" s="4" t="s">
        <v>28</v>
      </c>
      <c r="L2554" s="4" t="s">
        <v>28</v>
      </c>
      <c r="M2554" s="4" t="s">
        <v>34</v>
      </c>
      <c r="N2554" s="4" t="s">
        <v>28</v>
      </c>
    </row>
    <row r="2555" spans="1:14" ht="14.4" thickBot="1" x14ac:dyDescent="0.35">
      <c r="A2555" s="4" t="s">
        <v>19</v>
      </c>
      <c r="B2555" s="4" t="s">
        <v>84</v>
      </c>
      <c r="C2555" s="4" t="s">
        <v>85</v>
      </c>
      <c r="D2555" s="4" t="s">
        <v>86</v>
      </c>
      <c r="E2555" s="4" t="s">
        <v>87</v>
      </c>
      <c r="F2555" s="4" t="s">
        <v>4158</v>
      </c>
      <c r="G2555" s="4" t="s">
        <v>4159</v>
      </c>
      <c r="H2555" s="4" t="s">
        <v>37</v>
      </c>
      <c r="I2555" s="4" t="s">
        <v>38</v>
      </c>
      <c r="J2555" s="4" t="s">
        <v>28</v>
      </c>
      <c r="K2555" s="4" t="s">
        <v>28</v>
      </c>
      <c r="L2555" s="4" t="s">
        <v>27</v>
      </c>
      <c r="M2555" s="4" t="s">
        <v>34</v>
      </c>
      <c r="N2555" s="4" t="s">
        <v>28</v>
      </c>
    </row>
    <row r="2556" spans="1:14" ht="14.4" thickBot="1" x14ac:dyDescent="0.35">
      <c r="A2556" s="4" t="s">
        <v>19</v>
      </c>
      <c r="B2556" s="4" t="s">
        <v>84</v>
      </c>
      <c r="C2556" s="4" t="s">
        <v>85</v>
      </c>
      <c r="D2556" s="4" t="s">
        <v>86</v>
      </c>
      <c r="E2556" s="4" t="s">
        <v>87</v>
      </c>
      <c r="F2556" s="4" t="s">
        <v>4836</v>
      </c>
      <c r="G2556" s="4" t="s">
        <v>4837</v>
      </c>
      <c r="H2556" s="4" t="s">
        <v>26</v>
      </c>
      <c r="I2556" s="4" t="s">
        <v>33</v>
      </c>
      <c r="J2556" s="4" t="s">
        <v>27</v>
      </c>
      <c r="K2556" s="4" t="s">
        <v>28</v>
      </c>
      <c r="L2556" s="4" t="s">
        <v>28</v>
      </c>
      <c r="M2556" s="4" t="s">
        <v>34</v>
      </c>
      <c r="N2556" s="4" t="s">
        <v>28</v>
      </c>
    </row>
    <row r="2557" spans="1:14" ht="14.4" thickBot="1" x14ac:dyDescent="0.35">
      <c r="A2557" s="4" t="s">
        <v>19</v>
      </c>
      <c r="B2557" s="4" t="s">
        <v>84</v>
      </c>
      <c r="C2557" s="4" t="s">
        <v>85</v>
      </c>
      <c r="D2557" s="4" t="s">
        <v>86</v>
      </c>
      <c r="E2557" s="4" t="s">
        <v>87</v>
      </c>
      <c r="F2557" s="4" t="s">
        <v>4838</v>
      </c>
      <c r="G2557" s="4" t="s">
        <v>4839</v>
      </c>
      <c r="H2557" s="4" t="s">
        <v>69</v>
      </c>
      <c r="I2557" s="4" t="s">
        <v>94</v>
      </c>
      <c r="J2557" s="4" t="s">
        <v>28</v>
      </c>
      <c r="K2557" s="4" t="s">
        <v>27</v>
      </c>
      <c r="L2557" s="4" t="s">
        <v>28</v>
      </c>
      <c r="M2557" s="4" t="s">
        <v>34</v>
      </c>
      <c r="N2557" s="4" t="s">
        <v>28</v>
      </c>
    </row>
    <row r="2558" spans="1:14" ht="14.4" thickBot="1" x14ac:dyDescent="0.35">
      <c r="A2558" s="4" t="s">
        <v>19</v>
      </c>
      <c r="B2558" s="4" t="s">
        <v>84</v>
      </c>
      <c r="C2558" s="4" t="s">
        <v>85</v>
      </c>
      <c r="D2558" s="4" t="s">
        <v>86</v>
      </c>
      <c r="E2558" s="4" t="s">
        <v>87</v>
      </c>
      <c r="F2558" s="4" t="s">
        <v>4840</v>
      </c>
      <c r="G2558" s="4" t="s">
        <v>4841</v>
      </c>
      <c r="H2558" s="4" t="s">
        <v>135</v>
      </c>
      <c r="I2558" s="4" t="s">
        <v>33</v>
      </c>
      <c r="J2558" s="4" t="s">
        <v>27</v>
      </c>
      <c r="K2558" s="4" t="s">
        <v>28</v>
      </c>
      <c r="L2558" s="4" t="s">
        <v>28</v>
      </c>
      <c r="M2558" s="4" t="s">
        <v>34</v>
      </c>
      <c r="N2558" s="4" t="s">
        <v>28</v>
      </c>
    </row>
    <row r="2559" spans="1:14" ht="14.4" thickBot="1" x14ac:dyDescent="0.35">
      <c r="A2559" s="4" t="s">
        <v>19</v>
      </c>
      <c r="B2559" s="4" t="s">
        <v>84</v>
      </c>
      <c r="C2559" s="4" t="s">
        <v>85</v>
      </c>
      <c r="D2559" s="4" t="s">
        <v>86</v>
      </c>
      <c r="E2559" s="4" t="s">
        <v>87</v>
      </c>
      <c r="F2559" s="4" t="s">
        <v>4842</v>
      </c>
      <c r="G2559" s="4" t="s">
        <v>4843</v>
      </c>
      <c r="H2559" s="4" t="s">
        <v>69</v>
      </c>
      <c r="I2559" s="4" t="s">
        <v>94</v>
      </c>
      <c r="J2559" s="4" t="s">
        <v>28</v>
      </c>
      <c r="K2559" s="4" t="s">
        <v>27</v>
      </c>
      <c r="L2559" s="4" t="s">
        <v>28</v>
      </c>
      <c r="M2559" s="4" t="s">
        <v>34</v>
      </c>
      <c r="N2559" s="4" t="s">
        <v>28</v>
      </c>
    </row>
    <row r="2560" spans="1:14" ht="14.4" thickBot="1" x14ac:dyDescent="0.35">
      <c r="A2560" s="4" t="s">
        <v>19</v>
      </c>
      <c r="B2560" s="4" t="s">
        <v>84</v>
      </c>
      <c r="C2560" s="4" t="s">
        <v>85</v>
      </c>
      <c r="D2560" s="4" t="s">
        <v>86</v>
      </c>
      <c r="E2560" s="4" t="s">
        <v>87</v>
      </c>
      <c r="F2560" s="4" t="s">
        <v>4844</v>
      </c>
      <c r="G2560" s="4" t="s">
        <v>4845</v>
      </c>
      <c r="H2560" s="4" t="s">
        <v>454</v>
      </c>
      <c r="I2560" s="4" t="s">
        <v>38</v>
      </c>
      <c r="J2560" s="4" t="s">
        <v>28</v>
      </c>
      <c r="K2560" s="4" t="s">
        <v>28</v>
      </c>
      <c r="L2560" s="4" t="s">
        <v>27</v>
      </c>
      <c r="M2560" s="4" t="s">
        <v>181</v>
      </c>
      <c r="N2560" s="4" t="s">
        <v>28</v>
      </c>
    </row>
    <row r="2561" spans="1:14" ht="14.4" thickBot="1" x14ac:dyDescent="0.35">
      <c r="A2561" s="4" t="s">
        <v>19</v>
      </c>
      <c r="B2561" s="4" t="s">
        <v>84</v>
      </c>
      <c r="C2561" s="4" t="s">
        <v>85</v>
      </c>
      <c r="D2561" s="4" t="s">
        <v>86</v>
      </c>
      <c r="E2561" s="4" t="s">
        <v>87</v>
      </c>
      <c r="F2561" s="4" t="s">
        <v>4846</v>
      </c>
      <c r="G2561" s="4" t="s">
        <v>4847</v>
      </c>
      <c r="H2561" s="4" t="s">
        <v>26</v>
      </c>
      <c r="I2561" s="4" t="s">
        <v>33</v>
      </c>
      <c r="J2561" s="4" t="s">
        <v>27</v>
      </c>
      <c r="K2561" s="4" t="s">
        <v>28</v>
      </c>
      <c r="L2561" s="4" t="s">
        <v>28</v>
      </c>
      <c r="M2561" s="4" t="s">
        <v>34</v>
      </c>
      <c r="N2561" s="4" t="s">
        <v>28</v>
      </c>
    </row>
    <row r="2562" spans="1:14" ht="14.4" thickBot="1" x14ac:dyDescent="0.35">
      <c r="A2562" s="4" t="s">
        <v>19</v>
      </c>
      <c r="B2562" s="4" t="s">
        <v>84</v>
      </c>
      <c r="C2562" s="4" t="s">
        <v>85</v>
      </c>
      <c r="D2562" s="4" t="s">
        <v>86</v>
      </c>
      <c r="E2562" s="4" t="s">
        <v>87</v>
      </c>
      <c r="F2562" s="4" t="s">
        <v>4848</v>
      </c>
      <c r="G2562" s="4" t="s">
        <v>4849</v>
      </c>
      <c r="H2562" s="4" t="s">
        <v>26</v>
      </c>
      <c r="I2562" s="4" t="s">
        <v>33</v>
      </c>
      <c r="J2562" s="4" t="s">
        <v>27</v>
      </c>
      <c r="K2562" s="4" t="s">
        <v>28</v>
      </c>
      <c r="L2562" s="4" t="s">
        <v>28</v>
      </c>
      <c r="M2562" s="4" t="s">
        <v>34</v>
      </c>
      <c r="N2562" s="4" t="s">
        <v>28</v>
      </c>
    </row>
    <row r="2563" spans="1:14" ht="14.4" thickBot="1" x14ac:dyDescent="0.35">
      <c r="A2563" s="4" t="s">
        <v>19</v>
      </c>
      <c r="B2563" s="4" t="s">
        <v>84</v>
      </c>
      <c r="C2563" s="4" t="s">
        <v>85</v>
      </c>
      <c r="D2563" s="4" t="s">
        <v>86</v>
      </c>
      <c r="E2563" s="4" t="s">
        <v>87</v>
      </c>
      <c r="F2563" s="4" t="s">
        <v>5549</v>
      </c>
      <c r="G2563" s="4" t="s">
        <v>5550</v>
      </c>
      <c r="H2563" s="4" t="s">
        <v>26</v>
      </c>
      <c r="I2563" s="4" t="s">
        <v>26</v>
      </c>
      <c r="J2563" s="4" t="s">
        <v>27</v>
      </c>
      <c r="K2563" s="4" t="s">
        <v>28</v>
      </c>
      <c r="L2563" s="4" t="s">
        <v>28</v>
      </c>
      <c r="M2563" s="4" t="s">
        <v>34</v>
      </c>
      <c r="N2563" s="4" t="s">
        <v>28</v>
      </c>
    </row>
    <row r="2564" spans="1:14" ht="14.4" thickBot="1" x14ac:dyDescent="0.35">
      <c r="A2564" s="4" t="s">
        <v>19</v>
      </c>
      <c r="B2564" s="4" t="s">
        <v>84</v>
      </c>
      <c r="C2564" s="4" t="s">
        <v>85</v>
      </c>
      <c r="D2564" s="4" t="s">
        <v>86</v>
      </c>
      <c r="E2564" s="4" t="s">
        <v>87</v>
      </c>
      <c r="F2564" s="4" t="s">
        <v>5551</v>
      </c>
      <c r="G2564" s="4" t="s">
        <v>5552</v>
      </c>
      <c r="H2564" s="4" t="s">
        <v>116</v>
      </c>
      <c r="I2564" s="4" t="s">
        <v>94</v>
      </c>
      <c r="J2564" s="4" t="s">
        <v>27</v>
      </c>
      <c r="K2564" s="4" t="s">
        <v>28</v>
      </c>
      <c r="L2564" s="4" t="s">
        <v>28</v>
      </c>
      <c r="M2564" s="4" t="s">
        <v>34</v>
      </c>
      <c r="N2564" s="4" t="s">
        <v>27</v>
      </c>
    </row>
    <row r="2565" spans="1:14" ht="14.4" thickBot="1" x14ac:dyDescent="0.35">
      <c r="A2565" s="4" t="s">
        <v>19</v>
      </c>
      <c r="B2565" s="4" t="s">
        <v>84</v>
      </c>
      <c r="C2565" s="4" t="s">
        <v>85</v>
      </c>
      <c r="D2565" s="4" t="s">
        <v>86</v>
      </c>
      <c r="E2565" s="4" t="s">
        <v>87</v>
      </c>
      <c r="F2565" s="4" t="s">
        <v>5553</v>
      </c>
      <c r="G2565" s="4" t="s">
        <v>5554</v>
      </c>
      <c r="H2565" s="4" t="s">
        <v>454</v>
      </c>
      <c r="I2565" s="4" t="s">
        <v>94</v>
      </c>
      <c r="J2565" s="4" t="s">
        <v>28</v>
      </c>
      <c r="K2565" s="4" t="s">
        <v>27</v>
      </c>
      <c r="L2565" s="4" t="s">
        <v>28</v>
      </c>
      <c r="M2565" s="4" t="s">
        <v>34</v>
      </c>
      <c r="N2565" s="4" t="s">
        <v>28</v>
      </c>
    </row>
    <row r="2566" spans="1:14" ht="14.4" thickBot="1" x14ac:dyDescent="0.35">
      <c r="A2566" s="4" t="s">
        <v>19</v>
      </c>
      <c r="B2566" s="4" t="s">
        <v>84</v>
      </c>
      <c r="C2566" s="4" t="s">
        <v>85</v>
      </c>
      <c r="D2566" s="4" t="s">
        <v>86</v>
      </c>
      <c r="E2566" s="4" t="s">
        <v>87</v>
      </c>
      <c r="F2566" s="4" t="s">
        <v>5555</v>
      </c>
      <c r="G2566" s="4" t="s">
        <v>5556</v>
      </c>
      <c r="H2566" s="4" t="s">
        <v>26</v>
      </c>
      <c r="I2566" s="4" t="s">
        <v>26</v>
      </c>
      <c r="J2566" s="5"/>
      <c r="K2566" s="5"/>
      <c r="L2566" s="5"/>
      <c r="M2566" s="4" t="s">
        <v>130</v>
      </c>
      <c r="N2566" s="5"/>
    </row>
    <row r="2567" spans="1:14" ht="14.4" thickBot="1" x14ac:dyDescent="0.35">
      <c r="A2567" s="4" t="s">
        <v>19</v>
      </c>
      <c r="B2567" s="4" t="s">
        <v>84</v>
      </c>
      <c r="C2567" s="4" t="s">
        <v>85</v>
      </c>
      <c r="D2567" s="4" t="s">
        <v>86</v>
      </c>
      <c r="E2567" s="4" t="s">
        <v>87</v>
      </c>
      <c r="F2567" s="4" t="s">
        <v>5557</v>
      </c>
      <c r="G2567" s="4" t="s">
        <v>5558</v>
      </c>
      <c r="H2567" s="4" t="s">
        <v>26</v>
      </c>
      <c r="I2567" s="4" t="s">
        <v>116</v>
      </c>
      <c r="J2567" s="4" t="s">
        <v>27</v>
      </c>
      <c r="K2567" s="4" t="s">
        <v>28</v>
      </c>
      <c r="L2567" s="4" t="s">
        <v>28</v>
      </c>
      <c r="M2567" s="4" t="s">
        <v>29</v>
      </c>
      <c r="N2567" s="4" t="s">
        <v>28</v>
      </c>
    </row>
    <row r="2568" spans="1:14" ht="14.4" thickBot="1" x14ac:dyDescent="0.35">
      <c r="A2568" s="4" t="s">
        <v>19</v>
      </c>
      <c r="B2568" s="4" t="s">
        <v>84</v>
      </c>
      <c r="C2568" s="4" t="s">
        <v>85</v>
      </c>
      <c r="D2568" s="4" t="s">
        <v>86</v>
      </c>
      <c r="E2568" s="4" t="s">
        <v>87</v>
      </c>
      <c r="F2568" s="4" t="s">
        <v>5559</v>
      </c>
      <c r="G2568" s="4" t="s">
        <v>5560</v>
      </c>
      <c r="H2568" s="4" t="s">
        <v>26</v>
      </c>
      <c r="I2568" s="4" t="s">
        <v>33</v>
      </c>
      <c r="J2568" s="4" t="s">
        <v>27</v>
      </c>
      <c r="K2568" s="4" t="s">
        <v>28</v>
      </c>
      <c r="L2568" s="4" t="s">
        <v>28</v>
      </c>
      <c r="M2568" s="4" t="s">
        <v>34</v>
      </c>
      <c r="N2568" s="4" t="s">
        <v>28</v>
      </c>
    </row>
    <row r="2569" spans="1:14" ht="14.4" thickBot="1" x14ac:dyDescent="0.35">
      <c r="A2569" s="4" t="s">
        <v>19</v>
      </c>
      <c r="B2569" s="4" t="s">
        <v>84</v>
      </c>
      <c r="C2569" s="4" t="s">
        <v>838</v>
      </c>
      <c r="D2569" s="4" t="s">
        <v>839</v>
      </c>
      <c r="E2569" s="4" t="s">
        <v>87</v>
      </c>
      <c r="F2569" s="4" t="s">
        <v>840</v>
      </c>
      <c r="G2569" s="4" t="s">
        <v>841</v>
      </c>
      <c r="H2569" s="4" t="s">
        <v>37</v>
      </c>
      <c r="I2569" s="4" t="s">
        <v>38</v>
      </c>
      <c r="J2569" s="4" t="s">
        <v>28</v>
      </c>
      <c r="K2569" s="4" t="s">
        <v>28</v>
      </c>
      <c r="L2569" s="4" t="s">
        <v>27</v>
      </c>
      <c r="M2569" s="4" t="s">
        <v>34</v>
      </c>
      <c r="N2569" s="4" t="s">
        <v>28</v>
      </c>
    </row>
    <row r="2570" spans="1:14" ht="14.4" thickBot="1" x14ac:dyDescent="0.35">
      <c r="A2570" s="4" t="s">
        <v>19</v>
      </c>
      <c r="B2570" s="4" t="s">
        <v>84</v>
      </c>
      <c r="C2570" s="4" t="s">
        <v>838</v>
      </c>
      <c r="D2570" s="4" t="s">
        <v>839</v>
      </c>
      <c r="E2570" s="4" t="s">
        <v>87</v>
      </c>
      <c r="F2570" s="4" t="s">
        <v>842</v>
      </c>
      <c r="G2570" s="4" t="s">
        <v>843</v>
      </c>
      <c r="H2570" s="4" t="s">
        <v>26</v>
      </c>
      <c r="I2570" s="4" t="s">
        <v>33</v>
      </c>
      <c r="J2570" s="4" t="s">
        <v>27</v>
      </c>
      <c r="K2570" s="4" t="s">
        <v>28</v>
      </c>
      <c r="L2570" s="4" t="s">
        <v>28</v>
      </c>
      <c r="M2570" s="4" t="s">
        <v>34</v>
      </c>
      <c r="N2570" s="4" t="s">
        <v>28</v>
      </c>
    </row>
    <row r="2571" spans="1:14" ht="14.4" thickBot="1" x14ac:dyDescent="0.35">
      <c r="A2571" s="4" t="s">
        <v>19</v>
      </c>
      <c r="B2571" s="4" t="s">
        <v>84</v>
      </c>
      <c r="C2571" s="4" t="s">
        <v>838</v>
      </c>
      <c r="D2571" s="4" t="s">
        <v>839</v>
      </c>
      <c r="E2571" s="4" t="s">
        <v>87</v>
      </c>
      <c r="F2571" s="4" t="s">
        <v>844</v>
      </c>
      <c r="G2571" s="4" t="s">
        <v>845</v>
      </c>
      <c r="H2571" s="4" t="s">
        <v>26</v>
      </c>
      <c r="I2571" s="4" t="s">
        <v>33</v>
      </c>
      <c r="J2571" s="4" t="s">
        <v>27</v>
      </c>
      <c r="K2571" s="4" t="s">
        <v>28</v>
      </c>
      <c r="L2571" s="4" t="s">
        <v>28</v>
      </c>
      <c r="M2571" s="4" t="s">
        <v>34</v>
      </c>
      <c r="N2571" s="4" t="s">
        <v>28</v>
      </c>
    </row>
    <row r="2572" spans="1:14" ht="14.4" thickBot="1" x14ac:dyDescent="0.35">
      <c r="A2572" s="4" t="s">
        <v>19</v>
      </c>
      <c r="B2572" s="4" t="s">
        <v>84</v>
      </c>
      <c r="C2572" s="4" t="s">
        <v>838</v>
      </c>
      <c r="D2572" s="4" t="s">
        <v>839</v>
      </c>
      <c r="E2572" s="4" t="s">
        <v>87</v>
      </c>
      <c r="F2572" s="4" t="s">
        <v>1720</v>
      </c>
      <c r="G2572" s="4" t="s">
        <v>1721</v>
      </c>
      <c r="H2572" s="4" t="s">
        <v>135</v>
      </c>
      <c r="I2572" s="4" t="s">
        <v>33</v>
      </c>
      <c r="J2572" s="4" t="s">
        <v>27</v>
      </c>
      <c r="K2572" s="4" t="s">
        <v>28</v>
      </c>
      <c r="L2572" s="4" t="s">
        <v>28</v>
      </c>
      <c r="M2572" s="4" t="s">
        <v>34</v>
      </c>
      <c r="N2572" s="4" t="s">
        <v>27</v>
      </c>
    </row>
    <row r="2573" spans="1:14" ht="14.4" thickBot="1" x14ac:dyDescent="0.35">
      <c r="A2573" s="4" t="s">
        <v>19</v>
      </c>
      <c r="B2573" s="4" t="s">
        <v>84</v>
      </c>
      <c r="C2573" s="4" t="s">
        <v>838</v>
      </c>
      <c r="D2573" s="4" t="s">
        <v>839</v>
      </c>
      <c r="E2573" s="4" t="s">
        <v>87</v>
      </c>
      <c r="F2573" s="4" t="s">
        <v>1722</v>
      </c>
      <c r="G2573" s="4" t="s">
        <v>1723</v>
      </c>
      <c r="H2573" s="4" t="s">
        <v>69</v>
      </c>
      <c r="I2573" s="4" t="s">
        <v>94</v>
      </c>
      <c r="J2573" s="4" t="s">
        <v>28</v>
      </c>
      <c r="K2573" s="4" t="s">
        <v>27</v>
      </c>
      <c r="L2573" s="4" t="s">
        <v>28</v>
      </c>
      <c r="M2573" s="4" t="s">
        <v>34</v>
      </c>
      <c r="N2573" s="4" t="s">
        <v>28</v>
      </c>
    </row>
    <row r="2574" spans="1:14" ht="14.4" thickBot="1" x14ac:dyDescent="0.35">
      <c r="A2574" s="4" t="s">
        <v>19</v>
      </c>
      <c r="B2574" s="4" t="s">
        <v>84</v>
      </c>
      <c r="C2574" s="4" t="s">
        <v>838</v>
      </c>
      <c r="D2574" s="4" t="s">
        <v>839</v>
      </c>
      <c r="E2574" s="4" t="s">
        <v>87</v>
      </c>
      <c r="F2574" s="4" t="s">
        <v>1724</v>
      </c>
      <c r="G2574" s="4" t="s">
        <v>1725</v>
      </c>
      <c r="H2574" s="4" t="s">
        <v>69</v>
      </c>
      <c r="I2574" s="4" t="s">
        <v>94</v>
      </c>
      <c r="J2574" s="4" t="s">
        <v>28</v>
      </c>
      <c r="K2574" s="4" t="s">
        <v>27</v>
      </c>
      <c r="L2574" s="4" t="s">
        <v>28</v>
      </c>
      <c r="M2574" s="4" t="s">
        <v>34</v>
      </c>
      <c r="N2574" s="4" t="s">
        <v>28</v>
      </c>
    </row>
    <row r="2575" spans="1:14" ht="14.4" thickBot="1" x14ac:dyDescent="0.35">
      <c r="A2575" s="4" t="s">
        <v>19</v>
      </c>
      <c r="B2575" s="4" t="s">
        <v>84</v>
      </c>
      <c r="C2575" s="4" t="s">
        <v>838</v>
      </c>
      <c r="D2575" s="4" t="s">
        <v>839</v>
      </c>
      <c r="E2575" s="4" t="s">
        <v>87</v>
      </c>
      <c r="F2575" s="4" t="s">
        <v>1726</v>
      </c>
      <c r="G2575" s="4" t="s">
        <v>1727</v>
      </c>
      <c r="H2575" s="4" t="s">
        <v>26</v>
      </c>
      <c r="I2575" s="4" t="s">
        <v>33</v>
      </c>
      <c r="J2575" s="4" t="s">
        <v>27</v>
      </c>
      <c r="K2575" s="4" t="s">
        <v>28</v>
      </c>
      <c r="L2575" s="4" t="s">
        <v>28</v>
      </c>
      <c r="M2575" s="4" t="s">
        <v>34</v>
      </c>
      <c r="N2575" s="4" t="s">
        <v>28</v>
      </c>
    </row>
    <row r="2576" spans="1:14" ht="14.4" thickBot="1" x14ac:dyDescent="0.35">
      <c r="A2576" s="4" t="s">
        <v>19</v>
      </c>
      <c r="B2576" s="4" t="s">
        <v>84</v>
      </c>
      <c r="C2576" s="4" t="s">
        <v>838</v>
      </c>
      <c r="D2576" s="4" t="s">
        <v>839</v>
      </c>
      <c r="E2576" s="4" t="s">
        <v>87</v>
      </c>
      <c r="F2576" s="4" t="s">
        <v>1728</v>
      </c>
      <c r="G2576" s="4" t="s">
        <v>1729</v>
      </c>
      <c r="H2576" s="4" t="s">
        <v>37</v>
      </c>
      <c r="I2576" s="4" t="s">
        <v>38</v>
      </c>
      <c r="J2576" s="4" t="s">
        <v>28</v>
      </c>
      <c r="K2576" s="4" t="s">
        <v>28</v>
      </c>
      <c r="L2576" s="4" t="s">
        <v>27</v>
      </c>
      <c r="M2576" s="4" t="s">
        <v>34</v>
      </c>
      <c r="N2576" s="4" t="s">
        <v>28</v>
      </c>
    </row>
    <row r="2577" spans="1:14" ht="14.4" thickBot="1" x14ac:dyDescent="0.35">
      <c r="A2577" s="4" t="s">
        <v>19</v>
      </c>
      <c r="B2577" s="4" t="s">
        <v>84</v>
      </c>
      <c r="C2577" s="4" t="s">
        <v>838</v>
      </c>
      <c r="D2577" s="4" t="s">
        <v>839</v>
      </c>
      <c r="E2577" s="4" t="s">
        <v>87</v>
      </c>
      <c r="F2577" s="4" t="s">
        <v>2418</v>
      </c>
      <c r="G2577" s="4" t="s">
        <v>2419</v>
      </c>
      <c r="H2577" s="4" t="s">
        <v>69</v>
      </c>
      <c r="I2577" s="4" t="s">
        <v>94</v>
      </c>
      <c r="J2577" s="4" t="s">
        <v>28</v>
      </c>
      <c r="K2577" s="4" t="s">
        <v>27</v>
      </c>
      <c r="L2577" s="4" t="s">
        <v>28</v>
      </c>
      <c r="M2577" s="4" t="s">
        <v>34</v>
      </c>
      <c r="N2577" s="4" t="s">
        <v>28</v>
      </c>
    </row>
    <row r="2578" spans="1:14" ht="14.4" thickBot="1" x14ac:dyDescent="0.35">
      <c r="A2578" s="4" t="s">
        <v>19</v>
      </c>
      <c r="B2578" s="4" t="s">
        <v>84</v>
      </c>
      <c r="C2578" s="4" t="s">
        <v>838</v>
      </c>
      <c r="D2578" s="4" t="s">
        <v>839</v>
      </c>
      <c r="E2578" s="4" t="s">
        <v>87</v>
      </c>
      <c r="F2578" s="4" t="s">
        <v>2420</v>
      </c>
      <c r="G2578" s="4" t="s">
        <v>2421</v>
      </c>
      <c r="H2578" s="4" t="s">
        <v>135</v>
      </c>
      <c r="I2578" s="4" t="s">
        <v>94</v>
      </c>
      <c r="J2578" s="4" t="s">
        <v>27</v>
      </c>
      <c r="K2578" s="4" t="s">
        <v>28</v>
      </c>
      <c r="L2578" s="4" t="s">
        <v>28</v>
      </c>
      <c r="M2578" s="4" t="s">
        <v>34</v>
      </c>
      <c r="N2578" s="4" t="s">
        <v>27</v>
      </c>
    </row>
    <row r="2579" spans="1:14" ht="14.4" thickBot="1" x14ac:dyDescent="0.35">
      <c r="A2579" s="4" t="s">
        <v>19</v>
      </c>
      <c r="B2579" s="4" t="s">
        <v>84</v>
      </c>
      <c r="C2579" s="4" t="s">
        <v>838</v>
      </c>
      <c r="D2579" s="4" t="s">
        <v>839</v>
      </c>
      <c r="E2579" s="4" t="s">
        <v>87</v>
      </c>
      <c r="F2579" s="4" t="s">
        <v>2422</v>
      </c>
      <c r="G2579" s="4" t="s">
        <v>2423</v>
      </c>
      <c r="H2579" s="4" t="s">
        <v>26</v>
      </c>
      <c r="I2579" s="4" t="s">
        <v>33</v>
      </c>
      <c r="J2579" s="4" t="s">
        <v>27</v>
      </c>
      <c r="K2579" s="4" t="s">
        <v>28</v>
      </c>
      <c r="L2579" s="4" t="s">
        <v>28</v>
      </c>
      <c r="M2579" s="4" t="s">
        <v>34</v>
      </c>
      <c r="N2579" s="4" t="s">
        <v>28</v>
      </c>
    </row>
    <row r="2580" spans="1:14" ht="14.4" thickBot="1" x14ac:dyDescent="0.35">
      <c r="A2580" s="4" t="s">
        <v>19</v>
      </c>
      <c r="B2580" s="4" t="s">
        <v>84</v>
      </c>
      <c r="C2580" s="4" t="s">
        <v>838</v>
      </c>
      <c r="D2580" s="4" t="s">
        <v>839</v>
      </c>
      <c r="E2580" s="4" t="s">
        <v>87</v>
      </c>
      <c r="F2580" s="4" t="s">
        <v>3165</v>
      </c>
      <c r="G2580" s="4" t="s">
        <v>3166</v>
      </c>
      <c r="H2580" s="4" t="s">
        <v>135</v>
      </c>
      <c r="I2580" s="4" t="s">
        <v>94</v>
      </c>
      <c r="J2580" s="4" t="s">
        <v>27</v>
      </c>
      <c r="K2580" s="4" t="s">
        <v>28</v>
      </c>
      <c r="L2580" s="4" t="s">
        <v>28</v>
      </c>
      <c r="M2580" s="4" t="s">
        <v>34</v>
      </c>
      <c r="N2580" s="4" t="s">
        <v>28</v>
      </c>
    </row>
    <row r="2581" spans="1:14" ht="14.4" thickBot="1" x14ac:dyDescent="0.35">
      <c r="A2581" s="4" t="s">
        <v>19</v>
      </c>
      <c r="B2581" s="4" t="s">
        <v>84</v>
      </c>
      <c r="C2581" s="4" t="s">
        <v>838</v>
      </c>
      <c r="D2581" s="4" t="s">
        <v>839</v>
      </c>
      <c r="E2581" s="4" t="s">
        <v>87</v>
      </c>
      <c r="F2581" s="4" t="s">
        <v>3262</v>
      </c>
      <c r="G2581" s="4" t="s">
        <v>3263</v>
      </c>
      <c r="H2581" s="4" t="s">
        <v>26</v>
      </c>
      <c r="I2581" s="4" t="s">
        <v>38</v>
      </c>
      <c r="J2581" s="4" t="s">
        <v>28</v>
      </c>
      <c r="K2581" s="4" t="s">
        <v>28</v>
      </c>
      <c r="L2581" s="4" t="s">
        <v>27</v>
      </c>
      <c r="M2581" s="4" t="s">
        <v>29</v>
      </c>
      <c r="N2581" s="4" t="s">
        <v>28</v>
      </c>
    </row>
    <row r="2582" spans="1:14" ht="14.4" thickBot="1" x14ac:dyDescent="0.35">
      <c r="A2582" s="4" t="s">
        <v>19</v>
      </c>
      <c r="B2582" s="4" t="s">
        <v>84</v>
      </c>
      <c r="C2582" s="4" t="s">
        <v>838</v>
      </c>
      <c r="D2582" s="4" t="s">
        <v>839</v>
      </c>
      <c r="E2582" s="4" t="s">
        <v>87</v>
      </c>
      <c r="F2582" s="4" t="s">
        <v>3991</v>
      </c>
      <c r="G2582" s="4" t="s">
        <v>3992</v>
      </c>
      <c r="H2582" s="4" t="s">
        <v>69</v>
      </c>
      <c r="I2582" s="4" t="s">
        <v>94</v>
      </c>
      <c r="J2582" s="4" t="s">
        <v>28</v>
      </c>
      <c r="K2582" s="4" t="s">
        <v>27</v>
      </c>
      <c r="L2582" s="4" t="s">
        <v>28</v>
      </c>
      <c r="M2582" s="4" t="s">
        <v>34</v>
      </c>
      <c r="N2582" s="4" t="s">
        <v>28</v>
      </c>
    </row>
    <row r="2583" spans="1:14" ht="14.4" thickBot="1" x14ac:dyDescent="0.35">
      <c r="A2583" s="4" t="s">
        <v>19</v>
      </c>
      <c r="B2583" s="4" t="s">
        <v>84</v>
      </c>
      <c r="C2583" s="4" t="s">
        <v>838</v>
      </c>
      <c r="D2583" s="4" t="s">
        <v>839</v>
      </c>
      <c r="E2583" s="4" t="s">
        <v>87</v>
      </c>
      <c r="F2583" s="4" t="s">
        <v>4679</v>
      </c>
      <c r="G2583" s="4" t="s">
        <v>4680</v>
      </c>
      <c r="H2583" s="4" t="s">
        <v>26</v>
      </c>
      <c r="I2583" s="4" t="s">
        <v>33</v>
      </c>
      <c r="J2583" s="4" t="s">
        <v>27</v>
      </c>
      <c r="K2583" s="4" t="s">
        <v>28</v>
      </c>
      <c r="L2583" s="4" t="s">
        <v>28</v>
      </c>
      <c r="M2583" s="4" t="s">
        <v>34</v>
      </c>
      <c r="N2583" s="4" t="s">
        <v>28</v>
      </c>
    </row>
    <row r="2584" spans="1:14" ht="14.4" thickBot="1" x14ac:dyDescent="0.35">
      <c r="A2584" s="4" t="s">
        <v>19</v>
      </c>
      <c r="B2584" s="4" t="s">
        <v>84</v>
      </c>
      <c r="C2584" s="4" t="s">
        <v>838</v>
      </c>
      <c r="D2584" s="4" t="s">
        <v>839</v>
      </c>
      <c r="E2584" s="4" t="s">
        <v>87</v>
      </c>
      <c r="F2584" s="4" t="s">
        <v>4681</v>
      </c>
      <c r="G2584" s="4" t="s">
        <v>4682</v>
      </c>
      <c r="H2584" s="4" t="s">
        <v>26</v>
      </c>
      <c r="I2584" s="4" t="s">
        <v>33</v>
      </c>
      <c r="J2584" s="4" t="s">
        <v>27</v>
      </c>
      <c r="K2584" s="4" t="s">
        <v>28</v>
      </c>
      <c r="L2584" s="4" t="s">
        <v>28</v>
      </c>
      <c r="M2584" s="4" t="s">
        <v>34</v>
      </c>
      <c r="N2584" s="4" t="s">
        <v>28</v>
      </c>
    </row>
    <row r="2585" spans="1:14" ht="14.4" thickBot="1" x14ac:dyDescent="0.35">
      <c r="A2585" s="4" t="s">
        <v>19</v>
      </c>
      <c r="B2585" s="4" t="s">
        <v>84</v>
      </c>
      <c r="C2585" s="4" t="s">
        <v>838</v>
      </c>
      <c r="D2585" s="4" t="s">
        <v>839</v>
      </c>
      <c r="E2585" s="4" t="s">
        <v>87</v>
      </c>
      <c r="F2585" s="4" t="s">
        <v>4683</v>
      </c>
      <c r="G2585" s="4" t="s">
        <v>3981</v>
      </c>
      <c r="H2585" s="4" t="s">
        <v>26</v>
      </c>
      <c r="I2585" s="4" t="s">
        <v>33</v>
      </c>
      <c r="J2585" s="4" t="s">
        <v>27</v>
      </c>
      <c r="K2585" s="4" t="s">
        <v>28</v>
      </c>
      <c r="L2585" s="4" t="s">
        <v>28</v>
      </c>
      <c r="M2585" s="4" t="s">
        <v>34</v>
      </c>
      <c r="N2585" s="4" t="s">
        <v>28</v>
      </c>
    </row>
    <row r="2586" spans="1:14" ht="14.4" thickBot="1" x14ac:dyDescent="0.35">
      <c r="A2586" s="4" t="s">
        <v>19</v>
      </c>
      <c r="B2586" s="4" t="s">
        <v>84</v>
      </c>
      <c r="C2586" s="4" t="s">
        <v>838</v>
      </c>
      <c r="D2586" s="4" t="s">
        <v>839</v>
      </c>
      <c r="E2586" s="4" t="s">
        <v>87</v>
      </c>
      <c r="F2586" s="4" t="s">
        <v>4684</v>
      </c>
      <c r="G2586" s="4" t="s">
        <v>4685</v>
      </c>
      <c r="H2586" s="4" t="s">
        <v>37</v>
      </c>
      <c r="I2586" s="4" t="s">
        <v>38</v>
      </c>
      <c r="J2586" s="4" t="s">
        <v>28</v>
      </c>
      <c r="K2586" s="4" t="s">
        <v>28</v>
      </c>
      <c r="L2586" s="4" t="s">
        <v>27</v>
      </c>
      <c r="M2586" s="4" t="s">
        <v>34</v>
      </c>
      <c r="N2586" s="4" t="s">
        <v>28</v>
      </c>
    </row>
    <row r="2587" spans="1:14" ht="14.4" thickBot="1" x14ac:dyDescent="0.35">
      <c r="A2587" s="4" t="s">
        <v>19</v>
      </c>
      <c r="B2587" s="4" t="s">
        <v>84</v>
      </c>
      <c r="C2587" s="4" t="s">
        <v>838</v>
      </c>
      <c r="D2587" s="4" t="s">
        <v>839</v>
      </c>
      <c r="E2587" s="4" t="s">
        <v>87</v>
      </c>
      <c r="F2587" s="4" t="s">
        <v>4686</v>
      </c>
      <c r="G2587" s="4" t="s">
        <v>4687</v>
      </c>
      <c r="H2587" s="4" t="s">
        <v>69</v>
      </c>
      <c r="I2587" s="4" t="s">
        <v>94</v>
      </c>
      <c r="J2587" s="4" t="s">
        <v>28</v>
      </c>
      <c r="K2587" s="4" t="s">
        <v>27</v>
      </c>
      <c r="L2587" s="4" t="s">
        <v>28</v>
      </c>
      <c r="M2587" s="4" t="s">
        <v>34</v>
      </c>
      <c r="N2587" s="4" t="s">
        <v>28</v>
      </c>
    </row>
    <row r="2588" spans="1:14" ht="14.4" thickBot="1" x14ac:dyDescent="0.35">
      <c r="A2588" s="4" t="s">
        <v>19</v>
      </c>
      <c r="B2588" s="4" t="s">
        <v>84</v>
      </c>
      <c r="C2588" s="4" t="s">
        <v>838</v>
      </c>
      <c r="D2588" s="4" t="s">
        <v>839</v>
      </c>
      <c r="E2588" s="4" t="s">
        <v>87</v>
      </c>
      <c r="F2588" s="4" t="s">
        <v>5383</v>
      </c>
      <c r="G2588" s="4" t="s">
        <v>5384</v>
      </c>
      <c r="H2588" s="4" t="s">
        <v>69</v>
      </c>
      <c r="I2588" s="4" t="s">
        <v>94</v>
      </c>
      <c r="J2588" s="4" t="s">
        <v>28</v>
      </c>
      <c r="K2588" s="4" t="s">
        <v>27</v>
      </c>
      <c r="L2588" s="4" t="s">
        <v>28</v>
      </c>
      <c r="M2588" s="4" t="s">
        <v>34</v>
      </c>
      <c r="N2588" s="4" t="s">
        <v>27</v>
      </c>
    </row>
    <row r="2589" spans="1:14" ht="14.4" thickBot="1" x14ac:dyDescent="0.35">
      <c r="A2589" s="4" t="s">
        <v>19</v>
      </c>
      <c r="B2589" s="4" t="s">
        <v>84</v>
      </c>
      <c r="C2589" s="4" t="s">
        <v>838</v>
      </c>
      <c r="D2589" s="4" t="s">
        <v>839</v>
      </c>
      <c r="E2589" s="4" t="s">
        <v>87</v>
      </c>
      <c r="F2589" s="4" t="s">
        <v>5385</v>
      </c>
      <c r="G2589" s="4" t="s">
        <v>5386</v>
      </c>
      <c r="H2589" s="4" t="s">
        <v>26</v>
      </c>
      <c r="I2589" s="4" t="s">
        <v>33</v>
      </c>
      <c r="J2589" s="4" t="s">
        <v>27</v>
      </c>
      <c r="K2589" s="4" t="s">
        <v>28</v>
      </c>
      <c r="L2589" s="4" t="s">
        <v>28</v>
      </c>
      <c r="M2589" s="4" t="s">
        <v>34</v>
      </c>
      <c r="N2589" s="4" t="s">
        <v>28</v>
      </c>
    </row>
    <row r="2590" spans="1:14" ht="14.4" thickBot="1" x14ac:dyDescent="0.35">
      <c r="A2590" s="4" t="s">
        <v>19</v>
      </c>
      <c r="B2590" s="4" t="s">
        <v>84</v>
      </c>
      <c r="C2590" s="4" t="s">
        <v>838</v>
      </c>
      <c r="D2590" s="4" t="s">
        <v>839</v>
      </c>
      <c r="E2590" s="4" t="s">
        <v>87</v>
      </c>
      <c r="F2590" s="4" t="s">
        <v>5387</v>
      </c>
      <c r="G2590" s="4" t="s">
        <v>5388</v>
      </c>
      <c r="H2590" s="4" t="s">
        <v>135</v>
      </c>
      <c r="I2590" s="4" t="s">
        <v>38</v>
      </c>
      <c r="J2590" s="4" t="s">
        <v>28</v>
      </c>
      <c r="K2590" s="4" t="s">
        <v>28</v>
      </c>
      <c r="L2590" s="4" t="s">
        <v>27</v>
      </c>
      <c r="M2590" s="4" t="s">
        <v>34</v>
      </c>
      <c r="N2590" s="4" t="s">
        <v>28</v>
      </c>
    </row>
    <row r="2591" spans="1:14" ht="14.4" thickBot="1" x14ac:dyDescent="0.35">
      <c r="A2591" s="4" t="s">
        <v>19</v>
      </c>
      <c r="B2591" s="4" t="s">
        <v>84</v>
      </c>
      <c r="C2591" s="4" t="s">
        <v>838</v>
      </c>
      <c r="D2591" s="4" t="s">
        <v>839</v>
      </c>
      <c r="E2591" s="4" t="s">
        <v>87</v>
      </c>
      <c r="F2591" s="4" t="s">
        <v>5389</v>
      </c>
      <c r="G2591" s="4" t="s">
        <v>5390</v>
      </c>
      <c r="H2591" s="4" t="s">
        <v>135</v>
      </c>
      <c r="I2591" s="4" t="s">
        <v>33</v>
      </c>
      <c r="J2591" s="4" t="s">
        <v>27</v>
      </c>
      <c r="K2591" s="4" t="s">
        <v>28</v>
      </c>
      <c r="L2591" s="4" t="s">
        <v>28</v>
      </c>
      <c r="M2591" s="4" t="s">
        <v>34</v>
      </c>
      <c r="N2591" s="4" t="s">
        <v>28</v>
      </c>
    </row>
    <row r="2592" spans="1:14" ht="14.4" thickBot="1" x14ac:dyDescent="0.35">
      <c r="A2592" s="4" t="s">
        <v>19</v>
      </c>
      <c r="B2592" s="4" t="s">
        <v>84</v>
      </c>
      <c r="C2592" s="4" t="s">
        <v>838</v>
      </c>
      <c r="D2592" s="4" t="s">
        <v>839</v>
      </c>
      <c r="E2592" s="4" t="s">
        <v>87</v>
      </c>
      <c r="F2592" s="4" t="s">
        <v>5391</v>
      </c>
      <c r="G2592" s="4" t="s">
        <v>5392</v>
      </c>
      <c r="H2592" s="4" t="s">
        <v>26</v>
      </c>
      <c r="I2592" s="4" t="s">
        <v>33</v>
      </c>
      <c r="J2592" s="4" t="s">
        <v>27</v>
      </c>
      <c r="K2592" s="4" t="s">
        <v>28</v>
      </c>
      <c r="L2592" s="4" t="s">
        <v>28</v>
      </c>
      <c r="M2592" s="4" t="s">
        <v>34</v>
      </c>
      <c r="N2592" s="4" t="s">
        <v>28</v>
      </c>
    </row>
    <row r="2593" spans="1:14" ht="14.4" thickBot="1" x14ac:dyDescent="0.35">
      <c r="A2593" s="4" t="s">
        <v>19</v>
      </c>
      <c r="B2593" s="4" t="s">
        <v>84</v>
      </c>
      <c r="C2593" s="4" t="s">
        <v>838</v>
      </c>
      <c r="D2593" s="4" t="s">
        <v>839</v>
      </c>
      <c r="E2593" s="4" t="s">
        <v>87</v>
      </c>
      <c r="F2593" s="4" t="s">
        <v>6077</v>
      </c>
      <c r="G2593" s="4" t="s">
        <v>6078</v>
      </c>
      <c r="H2593" s="4" t="s">
        <v>37</v>
      </c>
      <c r="I2593" s="4" t="s">
        <v>38</v>
      </c>
      <c r="J2593" s="4" t="s">
        <v>28</v>
      </c>
      <c r="K2593" s="4" t="s">
        <v>28</v>
      </c>
      <c r="L2593" s="4" t="s">
        <v>27</v>
      </c>
      <c r="M2593" s="4" t="s">
        <v>34</v>
      </c>
      <c r="N2593" s="4" t="s">
        <v>27</v>
      </c>
    </row>
    <row r="2594" spans="1:14" ht="14.4" thickBot="1" x14ac:dyDescent="0.35">
      <c r="A2594" s="4" t="s">
        <v>19</v>
      </c>
      <c r="B2594" s="4" t="s">
        <v>84</v>
      </c>
      <c r="C2594" s="4" t="s">
        <v>838</v>
      </c>
      <c r="D2594" s="4" t="s">
        <v>839</v>
      </c>
      <c r="E2594" s="4" t="s">
        <v>87</v>
      </c>
      <c r="F2594" s="4" t="s">
        <v>6079</v>
      </c>
      <c r="G2594" s="4" t="s">
        <v>6080</v>
      </c>
      <c r="H2594" s="4" t="s">
        <v>26</v>
      </c>
      <c r="I2594" s="4" t="s">
        <v>33</v>
      </c>
      <c r="J2594" s="4" t="s">
        <v>27</v>
      </c>
      <c r="K2594" s="4" t="s">
        <v>28</v>
      </c>
      <c r="L2594" s="4" t="s">
        <v>28</v>
      </c>
      <c r="M2594" s="4" t="s">
        <v>34</v>
      </c>
      <c r="N2594" s="4" t="s">
        <v>28</v>
      </c>
    </row>
    <row r="2595" spans="1:14" ht="14.4" thickBot="1" x14ac:dyDescent="0.35">
      <c r="A2595" s="4" t="s">
        <v>19</v>
      </c>
      <c r="B2595" s="4" t="s">
        <v>84</v>
      </c>
      <c r="C2595" s="4" t="s">
        <v>838</v>
      </c>
      <c r="D2595" s="4" t="s">
        <v>839</v>
      </c>
      <c r="E2595" s="4" t="s">
        <v>87</v>
      </c>
      <c r="F2595" s="4" t="s">
        <v>6081</v>
      </c>
      <c r="G2595" s="4" t="s">
        <v>6082</v>
      </c>
      <c r="H2595" s="4" t="s">
        <v>69</v>
      </c>
      <c r="I2595" s="4" t="s">
        <v>94</v>
      </c>
      <c r="J2595" s="4" t="s">
        <v>28</v>
      </c>
      <c r="K2595" s="4" t="s">
        <v>27</v>
      </c>
      <c r="L2595" s="4" t="s">
        <v>28</v>
      </c>
      <c r="M2595" s="4" t="s">
        <v>34</v>
      </c>
      <c r="N2595" s="4" t="s">
        <v>28</v>
      </c>
    </row>
    <row r="2596" spans="1:14" ht="14.4" thickBot="1" x14ac:dyDescent="0.35">
      <c r="A2596" s="4" t="s">
        <v>19</v>
      </c>
      <c r="B2596" s="4" t="s">
        <v>84</v>
      </c>
      <c r="C2596" s="4" t="s">
        <v>838</v>
      </c>
      <c r="D2596" s="4" t="s">
        <v>839</v>
      </c>
      <c r="E2596" s="4" t="s">
        <v>87</v>
      </c>
      <c r="F2596" s="4" t="s">
        <v>6183</v>
      </c>
      <c r="G2596" s="4" t="s">
        <v>6184</v>
      </c>
      <c r="H2596" s="4" t="s">
        <v>26</v>
      </c>
      <c r="I2596" s="4" t="s">
        <v>38</v>
      </c>
      <c r="J2596" s="5"/>
      <c r="K2596" s="5"/>
      <c r="L2596" s="5"/>
      <c r="M2596" s="4" t="s">
        <v>29</v>
      </c>
      <c r="N2596" s="5"/>
    </row>
    <row r="2597" spans="1:14" ht="14.4" thickBot="1" x14ac:dyDescent="0.35">
      <c r="A2597" s="4" t="s">
        <v>19</v>
      </c>
      <c r="B2597" s="4" t="s">
        <v>101</v>
      </c>
      <c r="C2597" s="4" t="s">
        <v>102</v>
      </c>
      <c r="D2597" s="4" t="s">
        <v>103</v>
      </c>
      <c r="E2597" s="4" t="s">
        <v>23</v>
      </c>
      <c r="F2597" s="4" t="s">
        <v>104</v>
      </c>
      <c r="G2597" s="4" t="s">
        <v>105</v>
      </c>
      <c r="H2597" s="4" t="s">
        <v>69</v>
      </c>
      <c r="I2597" s="4" t="s">
        <v>94</v>
      </c>
      <c r="J2597" s="4" t="s">
        <v>28</v>
      </c>
      <c r="K2597" s="4" t="s">
        <v>27</v>
      </c>
      <c r="L2597" s="4" t="s">
        <v>28</v>
      </c>
      <c r="M2597" s="4" t="s">
        <v>34</v>
      </c>
      <c r="N2597" s="4" t="s">
        <v>28</v>
      </c>
    </row>
    <row r="2598" spans="1:14" ht="14.4" thickBot="1" x14ac:dyDescent="0.35">
      <c r="A2598" s="4" t="s">
        <v>19</v>
      </c>
      <c r="B2598" s="4" t="s">
        <v>101</v>
      </c>
      <c r="C2598" s="4" t="s">
        <v>102</v>
      </c>
      <c r="D2598" s="4" t="s">
        <v>103</v>
      </c>
      <c r="E2598" s="4" t="s">
        <v>23</v>
      </c>
      <c r="F2598" s="4" t="s">
        <v>1076</v>
      </c>
      <c r="G2598" s="4" t="s">
        <v>876</v>
      </c>
      <c r="H2598" s="4" t="s">
        <v>26</v>
      </c>
      <c r="I2598" s="4" t="s">
        <v>33</v>
      </c>
      <c r="J2598" s="4" t="s">
        <v>27</v>
      </c>
      <c r="K2598" s="4" t="s">
        <v>28</v>
      </c>
      <c r="L2598" s="4" t="s">
        <v>28</v>
      </c>
      <c r="M2598" s="4" t="s">
        <v>34</v>
      </c>
      <c r="N2598" s="4" t="s">
        <v>28</v>
      </c>
    </row>
    <row r="2599" spans="1:14" ht="14.4" thickBot="1" x14ac:dyDescent="0.35">
      <c r="A2599" s="4" t="s">
        <v>19</v>
      </c>
      <c r="B2599" s="4" t="s">
        <v>101</v>
      </c>
      <c r="C2599" s="4" t="s">
        <v>102</v>
      </c>
      <c r="D2599" s="4" t="s">
        <v>103</v>
      </c>
      <c r="E2599" s="4" t="s">
        <v>23</v>
      </c>
      <c r="F2599" s="4" t="s">
        <v>4850</v>
      </c>
      <c r="G2599" s="4" t="s">
        <v>4851</v>
      </c>
      <c r="H2599" s="4" t="s">
        <v>37</v>
      </c>
      <c r="I2599" s="4" t="s">
        <v>38</v>
      </c>
      <c r="J2599" s="4" t="s">
        <v>28</v>
      </c>
      <c r="K2599" s="4" t="s">
        <v>28</v>
      </c>
      <c r="L2599" s="4" t="s">
        <v>27</v>
      </c>
      <c r="M2599" s="4" t="s">
        <v>34</v>
      </c>
      <c r="N2599" s="4" t="s">
        <v>28</v>
      </c>
    </row>
    <row r="2600" spans="1:14" ht="14.4" thickBot="1" x14ac:dyDescent="0.35">
      <c r="A2600" s="4" t="s">
        <v>19</v>
      </c>
      <c r="B2600" s="4" t="s">
        <v>101</v>
      </c>
      <c r="C2600" s="4" t="s">
        <v>846</v>
      </c>
      <c r="D2600" s="4" t="s">
        <v>847</v>
      </c>
      <c r="E2600" s="4" t="s">
        <v>23</v>
      </c>
      <c r="F2600" s="4" t="s">
        <v>848</v>
      </c>
      <c r="G2600" s="4" t="s">
        <v>849</v>
      </c>
      <c r="H2600" s="4" t="s">
        <v>26</v>
      </c>
      <c r="I2600" s="4" t="s">
        <v>33</v>
      </c>
      <c r="J2600" s="4" t="s">
        <v>27</v>
      </c>
      <c r="K2600" s="4" t="s">
        <v>28</v>
      </c>
      <c r="L2600" s="4" t="s">
        <v>28</v>
      </c>
      <c r="M2600" s="4" t="s">
        <v>34</v>
      </c>
      <c r="N2600" s="4" t="s">
        <v>28</v>
      </c>
    </row>
    <row r="2601" spans="1:14" ht="14.4" thickBot="1" x14ac:dyDescent="0.35">
      <c r="A2601" s="4" t="s">
        <v>19</v>
      </c>
      <c r="B2601" s="4" t="s">
        <v>101</v>
      </c>
      <c r="C2601" s="4" t="s">
        <v>846</v>
      </c>
      <c r="D2601" s="4" t="s">
        <v>847</v>
      </c>
      <c r="E2601" s="4" t="s">
        <v>23</v>
      </c>
      <c r="F2601" s="4" t="s">
        <v>1730</v>
      </c>
      <c r="G2601" s="4" t="s">
        <v>1731</v>
      </c>
      <c r="H2601" s="4" t="s">
        <v>69</v>
      </c>
      <c r="I2601" s="4" t="s">
        <v>38</v>
      </c>
      <c r="J2601" s="4" t="s">
        <v>28</v>
      </c>
      <c r="K2601" s="4" t="s">
        <v>28</v>
      </c>
      <c r="L2601" s="4" t="s">
        <v>27</v>
      </c>
      <c r="M2601" s="4" t="s">
        <v>34</v>
      </c>
      <c r="N2601" s="4" t="s">
        <v>28</v>
      </c>
    </row>
    <row r="2602" spans="1:14" ht="14.4" thickBot="1" x14ac:dyDescent="0.35">
      <c r="A2602" s="4" t="s">
        <v>19</v>
      </c>
      <c r="B2602" s="4" t="s">
        <v>101</v>
      </c>
      <c r="C2602" s="4" t="s">
        <v>846</v>
      </c>
      <c r="D2602" s="4" t="s">
        <v>847</v>
      </c>
      <c r="E2602" s="4" t="s">
        <v>23</v>
      </c>
      <c r="F2602" s="4" t="s">
        <v>2503</v>
      </c>
      <c r="G2602" s="4" t="s">
        <v>2504</v>
      </c>
      <c r="H2602" s="4" t="s">
        <v>135</v>
      </c>
      <c r="I2602" s="4" t="s">
        <v>38</v>
      </c>
      <c r="J2602" s="4" t="s">
        <v>28</v>
      </c>
      <c r="K2602" s="4" t="s">
        <v>28</v>
      </c>
      <c r="L2602" s="4" t="s">
        <v>27</v>
      </c>
      <c r="M2602" s="4" t="s">
        <v>29</v>
      </c>
      <c r="N2602" s="4" t="s">
        <v>28</v>
      </c>
    </row>
    <row r="2603" spans="1:14" ht="14.4" thickBot="1" x14ac:dyDescent="0.35">
      <c r="A2603" s="4" t="s">
        <v>19</v>
      </c>
      <c r="B2603" s="4" t="s">
        <v>1077</v>
      </c>
      <c r="C2603" s="4" t="s">
        <v>1078</v>
      </c>
      <c r="D2603" s="4" t="s">
        <v>1079</v>
      </c>
      <c r="E2603" s="4" t="s">
        <v>23</v>
      </c>
      <c r="F2603" s="4" t="s">
        <v>1080</v>
      </c>
      <c r="G2603" s="4" t="s">
        <v>1081</v>
      </c>
      <c r="H2603" s="4" t="s">
        <v>26</v>
      </c>
      <c r="I2603" s="4" t="s">
        <v>26</v>
      </c>
      <c r="J2603" s="5"/>
      <c r="K2603" s="5"/>
      <c r="L2603" s="5"/>
      <c r="M2603" s="4" t="s">
        <v>130</v>
      </c>
      <c r="N2603" s="5"/>
    </row>
    <row r="2604" spans="1:14" ht="14.4" thickBot="1" x14ac:dyDescent="0.35">
      <c r="A2604" s="4" t="s">
        <v>19</v>
      </c>
      <c r="B2604" s="4" t="s">
        <v>1077</v>
      </c>
      <c r="C2604" s="4" t="s">
        <v>1078</v>
      </c>
      <c r="D2604" s="4" t="s">
        <v>1079</v>
      </c>
      <c r="E2604" s="4" t="s">
        <v>23</v>
      </c>
      <c r="F2604" s="4" t="s">
        <v>2572</v>
      </c>
      <c r="G2604" s="4" t="s">
        <v>2573</v>
      </c>
      <c r="H2604" s="4" t="s">
        <v>122</v>
      </c>
      <c r="I2604" s="4" t="s">
        <v>38</v>
      </c>
      <c r="J2604" s="4" t="s">
        <v>28</v>
      </c>
      <c r="K2604" s="4" t="s">
        <v>28</v>
      </c>
      <c r="L2604" s="4" t="s">
        <v>27</v>
      </c>
      <c r="M2604" s="4" t="s">
        <v>34</v>
      </c>
      <c r="N2604" s="4" t="s">
        <v>28</v>
      </c>
    </row>
    <row r="2605" spans="1:14" ht="14.4" thickBot="1" x14ac:dyDescent="0.35">
      <c r="A2605" s="4" t="s">
        <v>19</v>
      </c>
      <c r="B2605" s="4" t="s">
        <v>1077</v>
      </c>
      <c r="C2605" s="4" t="s">
        <v>1078</v>
      </c>
      <c r="D2605" s="4" t="s">
        <v>1079</v>
      </c>
      <c r="E2605" s="4" t="s">
        <v>23</v>
      </c>
      <c r="F2605" s="4" t="s">
        <v>2574</v>
      </c>
      <c r="G2605" s="4" t="s">
        <v>2575</v>
      </c>
      <c r="H2605" s="4" t="s">
        <v>135</v>
      </c>
      <c r="I2605" s="4" t="s">
        <v>69</v>
      </c>
      <c r="J2605" s="4" t="s">
        <v>27</v>
      </c>
      <c r="K2605" s="4" t="s">
        <v>28</v>
      </c>
      <c r="L2605" s="4" t="s">
        <v>28</v>
      </c>
      <c r="M2605" s="4" t="s">
        <v>34</v>
      </c>
      <c r="N2605" s="4" t="s">
        <v>28</v>
      </c>
    </row>
    <row r="2606" spans="1:14" ht="14.4" thickBot="1" x14ac:dyDescent="0.35">
      <c r="A2606" s="4" t="s">
        <v>19</v>
      </c>
      <c r="B2606" s="4" t="s">
        <v>1077</v>
      </c>
      <c r="C2606" s="4" t="s">
        <v>188</v>
      </c>
      <c r="D2606" s="4" t="s">
        <v>1916</v>
      </c>
      <c r="E2606" s="4" t="s">
        <v>23</v>
      </c>
      <c r="F2606" s="4" t="s">
        <v>1917</v>
      </c>
      <c r="G2606" s="4" t="s">
        <v>1918</v>
      </c>
      <c r="H2606" s="4" t="s">
        <v>454</v>
      </c>
      <c r="I2606" s="4" t="s">
        <v>38</v>
      </c>
      <c r="J2606" s="4" t="s">
        <v>28</v>
      </c>
      <c r="K2606" s="4" t="s">
        <v>28</v>
      </c>
      <c r="L2606" s="4" t="s">
        <v>27</v>
      </c>
      <c r="M2606" s="4" t="s">
        <v>34</v>
      </c>
      <c r="N2606" s="4" t="s">
        <v>28</v>
      </c>
    </row>
    <row r="2607" spans="1:14" ht="14.4" thickBot="1" x14ac:dyDescent="0.35">
      <c r="A2607" s="4" t="s">
        <v>19</v>
      </c>
      <c r="B2607" s="4" t="s">
        <v>1077</v>
      </c>
      <c r="C2607" s="4" t="s">
        <v>188</v>
      </c>
      <c r="D2607" s="4" t="s">
        <v>1916</v>
      </c>
      <c r="E2607" s="4" t="s">
        <v>23</v>
      </c>
      <c r="F2607" s="4" t="s">
        <v>1919</v>
      </c>
      <c r="G2607" s="4" t="s">
        <v>1920</v>
      </c>
      <c r="H2607" s="4" t="s">
        <v>69</v>
      </c>
      <c r="I2607" s="4" t="s">
        <v>94</v>
      </c>
      <c r="J2607" s="4" t="s">
        <v>28</v>
      </c>
      <c r="K2607" s="4" t="s">
        <v>27</v>
      </c>
      <c r="L2607" s="4" t="s">
        <v>28</v>
      </c>
      <c r="M2607" s="4" t="s">
        <v>34</v>
      </c>
      <c r="N2607" s="4" t="s">
        <v>28</v>
      </c>
    </row>
    <row r="2608" spans="1:14" ht="14.4" thickBot="1" x14ac:dyDescent="0.35">
      <c r="A2608" s="4" t="s">
        <v>19</v>
      </c>
      <c r="B2608" s="4" t="s">
        <v>1077</v>
      </c>
      <c r="C2608" s="4" t="s">
        <v>188</v>
      </c>
      <c r="D2608" s="4" t="s">
        <v>1916</v>
      </c>
      <c r="E2608" s="4" t="s">
        <v>23</v>
      </c>
      <c r="F2608" s="4" t="s">
        <v>1921</v>
      </c>
      <c r="G2608" s="4" t="s">
        <v>1922</v>
      </c>
      <c r="H2608" s="4" t="s">
        <v>135</v>
      </c>
      <c r="I2608" s="4" t="s">
        <v>94</v>
      </c>
      <c r="J2608" s="5"/>
      <c r="K2608" s="5"/>
      <c r="L2608" s="5"/>
      <c r="M2608" s="4" t="s">
        <v>29</v>
      </c>
      <c r="N2608" s="5"/>
    </row>
    <row r="2609" spans="1:14" ht="14.4" thickBot="1" x14ac:dyDescent="0.35">
      <c r="A2609" s="4" t="s">
        <v>19</v>
      </c>
      <c r="B2609" s="4" t="s">
        <v>1077</v>
      </c>
      <c r="C2609" s="4" t="s">
        <v>188</v>
      </c>
      <c r="D2609" s="4" t="s">
        <v>1916</v>
      </c>
      <c r="E2609" s="4" t="s">
        <v>23</v>
      </c>
      <c r="F2609" s="4" t="s">
        <v>3364</v>
      </c>
      <c r="G2609" s="4" t="s">
        <v>3365</v>
      </c>
      <c r="H2609" s="4" t="s">
        <v>26</v>
      </c>
      <c r="I2609" s="4" t="s">
        <v>26</v>
      </c>
      <c r="J2609" s="5"/>
      <c r="K2609" s="5"/>
      <c r="L2609" s="5"/>
      <c r="M2609" s="4" t="s">
        <v>130</v>
      </c>
      <c r="N2609" s="5"/>
    </row>
    <row r="2610" spans="1:14" ht="14.4" thickBot="1" x14ac:dyDescent="0.35">
      <c r="A2610" s="4" t="s">
        <v>19</v>
      </c>
      <c r="B2610" s="4" t="s">
        <v>1077</v>
      </c>
      <c r="C2610" s="4" t="s">
        <v>188</v>
      </c>
      <c r="D2610" s="4" t="s">
        <v>1916</v>
      </c>
      <c r="E2610" s="4" t="s">
        <v>23</v>
      </c>
      <c r="F2610" s="4" t="s">
        <v>3366</v>
      </c>
      <c r="G2610" s="4" t="s">
        <v>3367</v>
      </c>
      <c r="H2610" s="4" t="s">
        <v>37</v>
      </c>
      <c r="I2610" s="4" t="s">
        <v>38</v>
      </c>
      <c r="J2610" s="4" t="s">
        <v>28</v>
      </c>
      <c r="K2610" s="4" t="s">
        <v>28</v>
      </c>
      <c r="L2610" s="4" t="s">
        <v>27</v>
      </c>
      <c r="M2610" s="4" t="s">
        <v>34</v>
      </c>
      <c r="N2610" s="4" t="s">
        <v>28</v>
      </c>
    </row>
    <row r="2611" spans="1:14" ht="14.4" thickBot="1" x14ac:dyDescent="0.35">
      <c r="A2611" s="4" t="s">
        <v>19</v>
      </c>
      <c r="B2611" s="4" t="s">
        <v>1077</v>
      </c>
      <c r="C2611" s="4" t="s">
        <v>188</v>
      </c>
      <c r="D2611" s="4" t="s">
        <v>1916</v>
      </c>
      <c r="E2611" s="4" t="s">
        <v>23</v>
      </c>
      <c r="F2611" s="4" t="s">
        <v>3368</v>
      </c>
      <c r="G2611" s="4" t="s">
        <v>3369</v>
      </c>
      <c r="H2611" s="4" t="s">
        <v>122</v>
      </c>
      <c r="I2611" s="4" t="s">
        <v>38</v>
      </c>
      <c r="J2611" s="4" t="s">
        <v>28</v>
      </c>
      <c r="K2611" s="4" t="s">
        <v>28</v>
      </c>
      <c r="L2611" s="4" t="s">
        <v>27</v>
      </c>
      <c r="M2611" s="4" t="s">
        <v>34</v>
      </c>
      <c r="N2611" s="4" t="s">
        <v>28</v>
      </c>
    </row>
    <row r="2612" spans="1:14" ht="14.4" thickBot="1" x14ac:dyDescent="0.35">
      <c r="A2612" s="4" t="s">
        <v>19</v>
      </c>
      <c r="B2612" s="4" t="s">
        <v>1077</v>
      </c>
      <c r="C2612" s="4" t="s">
        <v>188</v>
      </c>
      <c r="D2612" s="4" t="s">
        <v>1916</v>
      </c>
      <c r="E2612" s="4" t="s">
        <v>23</v>
      </c>
      <c r="F2612" s="4" t="s">
        <v>4160</v>
      </c>
      <c r="G2612" s="4" t="s">
        <v>4161</v>
      </c>
      <c r="H2612" s="4" t="s">
        <v>158</v>
      </c>
      <c r="I2612" s="4" t="s">
        <v>33</v>
      </c>
      <c r="J2612" s="4" t="s">
        <v>27</v>
      </c>
      <c r="K2612" s="4" t="s">
        <v>28</v>
      </c>
      <c r="L2612" s="4" t="s">
        <v>28</v>
      </c>
      <c r="M2612" s="4" t="s">
        <v>34</v>
      </c>
      <c r="N2612" s="4" t="s">
        <v>28</v>
      </c>
    </row>
    <row r="2613" spans="1:14" ht="14.4" thickBot="1" x14ac:dyDescent="0.35">
      <c r="A2613" s="4" t="s">
        <v>19</v>
      </c>
      <c r="B2613" s="4" t="s">
        <v>1077</v>
      </c>
      <c r="C2613" s="4" t="s">
        <v>188</v>
      </c>
      <c r="D2613" s="4" t="s">
        <v>1916</v>
      </c>
      <c r="E2613" s="4" t="s">
        <v>23</v>
      </c>
      <c r="F2613" s="4" t="s">
        <v>5561</v>
      </c>
      <c r="G2613" s="4" t="s">
        <v>5562</v>
      </c>
      <c r="H2613" s="4" t="s">
        <v>26</v>
      </c>
      <c r="I2613" s="4" t="s">
        <v>116</v>
      </c>
      <c r="J2613" s="4" t="s">
        <v>27</v>
      </c>
      <c r="K2613" s="4" t="s">
        <v>28</v>
      </c>
      <c r="L2613" s="4" t="s">
        <v>28</v>
      </c>
      <c r="M2613" s="4" t="s">
        <v>34</v>
      </c>
      <c r="N2613" s="4" t="s">
        <v>28</v>
      </c>
    </row>
    <row r="2614" spans="1:14" ht="14.4" thickBot="1" x14ac:dyDescent="0.35">
      <c r="A2614" s="4" t="s">
        <v>19</v>
      </c>
      <c r="B2614" s="4" t="s">
        <v>1077</v>
      </c>
      <c r="C2614" s="4" t="s">
        <v>1082</v>
      </c>
      <c r="D2614" s="4" t="s">
        <v>1083</v>
      </c>
      <c r="E2614" s="4" t="s">
        <v>48</v>
      </c>
      <c r="F2614" s="4" t="s">
        <v>1084</v>
      </c>
      <c r="G2614" s="4" t="s">
        <v>1085</v>
      </c>
      <c r="H2614" s="4" t="s">
        <v>37</v>
      </c>
      <c r="I2614" s="4" t="s">
        <v>38</v>
      </c>
      <c r="J2614" s="4" t="s">
        <v>28</v>
      </c>
      <c r="K2614" s="4" t="s">
        <v>28</v>
      </c>
      <c r="L2614" s="4" t="s">
        <v>27</v>
      </c>
      <c r="M2614" s="4" t="s">
        <v>34</v>
      </c>
      <c r="N2614" s="4" t="s">
        <v>28</v>
      </c>
    </row>
    <row r="2615" spans="1:14" ht="14.4" thickBot="1" x14ac:dyDescent="0.35">
      <c r="A2615" s="4" t="s">
        <v>19</v>
      </c>
      <c r="B2615" s="4" t="s">
        <v>1077</v>
      </c>
      <c r="C2615" s="4" t="s">
        <v>1082</v>
      </c>
      <c r="D2615" s="4" t="s">
        <v>1083</v>
      </c>
      <c r="E2615" s="4" t="s">
        <v>48</v>
      </c>
      <c r="F2615" s="4" t="s">
        <v>2576</v>
      </c>
      <c r="G2615" s="4" t="s">
        <v>2577</v>
      </c>
      <c r="H2615" s="4" t="s">
        <v>122</v>
      </c>
      <c r="I2615" s="4" t="s">
        <v>94</v>
      </c>
      <c r="J2615" s="4" t="s">
        <v>28</v>
      </c>
      <c r="K2615" s="4" t="s">
        <v>27</v>
      </c>
      <c r="L2615" s="4" t="s">
        <v>28</v>
      </c>
      <c r="M2615" s="4" t="s">
        <v>34</v>
      </c>
      <c r="N2615" s="4" t="s">
        <v>28</v>
      </c>
    </row>
    <row r="2616" spans="1:14" ht="14.4" thickBot="1" x14ac:dyDescent="0.35">
      <c r="A2616" s="4" t="s">
        <v>19</v>
      </c>
      <c r="B2616" s="4" t="s">
        <v>1077</v>
      </c>
      <c r="C2616" s="4" t="s">
        <v>1082</v>
      </c>
      <c r="D2616" s="4" t="s">
        <v>1083</v>
      </c>
      <c r="E2616" s="4" t="s">
        <v>48</v>
      </c>
      <c r="F2616" s="4" t="s">
        <v>5563</v>
      </c>
      <c r="G2616" s="4" t="s">
        <v>5564</v>
      </c>
      <c r="H2616" s="4" t="s">
        <v>26</v>
      </c>
      <c r="I2616" s="4" t="s">
        <v>26</v>
      </c>
      <c r="J2616" s="4" t="s">
        <v>27</v>
      </c>
      <c r="K2616" s="4" t="s">
        <v>28</v>
      </c>
      <c r="L2616" s="4" t="s">
        <v>28</v>
      </c>
      <c r="M2616" s="4" t="s">
        <v>29</v>
      </c>
      <c r="N2616" s="4" t="s">
        <v>28</v>
      </c>
    </row>
    <row r="2617" spans="1:14" ht="14.4" thickBot="1" x14ac:dyDescent="0.35">
      <c r="A2617" s="4" t="s">
        <v>19</v>
      </c>
      <c r="B2617" s="4" t="s">
        <v>1077</v>
      </c>
      <c r="C2617" s="4" t="s">
        <v>1082</v>
      </c>
      <c r="D2617" s="4" t="s">
        <v>1083</v>
      </c>
      <c r="E2617" s="4" t="s">
        <v>48</v>
      </c>
      <c r="F2617" s="4" t="s">
        <v>5565</v>
      </c>
      <c r="G2617" s="4" t="s">
        <v>5566</v>
      </c>
      <c r="H2617" s="4" t="s">
        <v>135</v>
      </c>
      <c r="I2617" s="4" t="s">
        <v>69</v>
      </c>
      <c r="J2617" s="4" t="s">
        <v>27</v>
      </c>
      <c r="K2617" s="4" t="s">
        <v>28</v>
      </c>
      <c r="L2617" s="4" t="s">
        <v>28</v>
      </c>
      <c r="M2617" s="4" t="s">
        <v>34</v>
      </c>
      <c r="N2617" s="4" t="s">
        <v>28</v>
      </c>
    </row>
    <row r="2618" spans="1:14" ht="14.4" thickBot="1" x14ac:dyDescent="0.35">
      <c r="A2618" s="4" t="s">
        <v>19</v>
      </c>
      <c r="B2618" s="4" t="s">
        <v>39</v>
      </c>
      <c r="C2618" s="4" t="s">
        <v>1040</v>
      </c>
      <c r="D2618" s="4" t="s">
        <v>1041</v>
      </c>
      <c r="E2618" s="4" t="s">
        <v>23</v>
      </c>
      <c r="F2618" s="4" t="s">
        <v>1042</v>
      </c>
      <c r="G2618" s="4" t="s">
        <v>1043</v>
      </c>
      <c r="H2618" s="4" t="s">
        <v>37</v>
      </c>
      <c r="I2618" s="4" t="s">
        <v>38</v>
      </c>
      <c r="J2618" s="4" t="s">
        <v>28</v>
      </c>
      <c r="K2618" s="4" t="s">
        <v>28</v>
      </c>
      <c r="L2618" s="4" t="s">
        <v>27</v>
      </c>
      <c r="M2618" s="4" t="s">
        <v>34</v>
      </c>
      <c r="N2618" s="4" t="s">
        <v>28</v>
      </c>
    </row>
    <row r="2619" spans="1:14" ht="14.4" thickBot="1" x14ac:dyDescent="0.35">
      <c r="A2619" s="4" t="s">
        <v>19</v>
      </c>
      <c r="B2619" s="4" t="s">
        <v>39</v>
      </c>
      <c r="C2619" s="4" t="s">
        <v>1040</v>
      </c>
      <c r="D2619" s="4" t="s">
        <v>1041</v>
      </c>
      <c r="E2619" s="4" t="s">
        <v>23</v>
      </c>
      <c r="F2619" s="4" t="s">
        <v>2550</v>
      </c>
      <c r="G2619" s="4" t="s">
        <v>2551</v>
      </c>
      <c r="H2619" s="4" t="s">
        <v>69</v>
      </c>
      <c r="I2619" s="4" t="s">
        <v>94</v>
      </c>
      <c r="J2619" s="4" t="s">
        <v>28</v>
      </c>
      <c r="K2619" s="4" t="s">
        <v>27</v>
      </c>
      <c r="L2619" s="4" t="s">
        <v>28</v>
      </c>
      <c r="M2619" s="4" t="s">
        <v>34</v>
      </c>
      <c r="N2619" s="4" t="s">
        <v>28</v>
      </c>
    </row>
    <row r="2620" spans="1:14" ht="14.4" thickBot="1" x14ac:dyDescent="0.35">
      <c r="A2620" s="4" t="s">
        <v>19</v>
      </c>
      <c r="B2620" s="4" t="s">
        <v>39</v>
      </c>
      <c r="C2620" s="4" t="s">
        <v>1040</v>
      </c>
      <c r="D2620" s="4" t="s">
        <v>1041</v>
      </c>
      <c r="E2620" s="4" t="s">
        <v>23</v>
      </c>
      <c r="F2620" s="4" t="s">
        <v>3325</v>
      </c>
      <c r="G2620" s="4" t="s">
        <v>3326</v>
      </c>
      <c r="H2620" s="4" t="s">
        <v>26</v>
      </c>
      <c r="I2620" s="4" t="s">
        <v>33</v>
      </c>
      <c r="J2620" s="4" t="s">
        <v>27</v>
      </c>
      <c r="K2620" s="4" t="s">
        <v>28</v>
      </c>
      <c r="L2620" s="4" t="s">
        <v>28</v>
      </c>
      <c r="M2620" s="4" t="s">
        <v>34</v>
      </c>
      <c r="N2620" s="4" t="s">
        <v>28</v>
      </c>
    </row>
    <row r="2621" spans="1:14" ht="14.4" thickBot="1" x14ac:dyDescent="0.35">
      <c r="A2621" s="4" t="s">
        <v>19</v>
      </c>
      <c r="B2621" s="4" t="s">
        <v>39</v>
      </c>
      <c r="C2621" s="4" t="s">
        <v>40</v>
      </c>
      <c r="D2621" s="4" t="s">
        <v>41</v>
      </c>
      <c r="E2621" s="4" t="s">
        <v>42</v>
      </c>
      <c r="F2621" s="4" t="s">
        <v>43</v>
      </c>
      <c r="G2621" s="4" t="s">
        <v>44</v>
      </c>
      <c r="H2621" s="4" t="s">
        <v>26</v>
      </c>
      <c r="I2621" s="4" t="s">
        <v>26</v>
      </c>
      <c r="J2621" s="4" t="s">
        <v>27</v>
      </c>
      <c r="K2621" s="4" t="s">
        <v>28</v>
      </c>
      <c r="L2621" s="4" t="s">
        <v>28</v>
      </c>
      <c r="M2621" s="4" t="s">
        <v>34</v>
      </c>
      <c r="N2621" s="4" t="s">
        <v>28</v>
      </c>
    </row>
    <row r="2622" spans="1:14" ht="14.4" thickBot="1" x14ac:dyDescent="0.35">
      <c r="A2622" s="4" t="s">
        <v>19</v>
      </c>
      <c r="B2622" s="4" t="s">
        <v>39</v>
      </c>
      <c r="C2622" s="4" t="s">
        <v>40</v>
      </c>
      <c r="D2622" s="4" t="s">
        <v>41</v>
      </c>
      <c r="E2622" s="4" t="s">
        <v>42</v>
      </c>
      <c r="F2622" s="4" t="s">
        <v>1044</v>
      </c>
      <c r="G2622" s="4" t="s">
        <v>1045</v>
      </c>
      <c r="H2622" s="4" t="s">
        <v>26</v>
      </c>
      <c r="I2622" s="4" t="s">
        <v>26</v>
      </c>
      <c r="J2622" s="4" t="s">
        <v>27</v>
      </c>
      <c r="K2622" s="4" t="s">
        <v>28</v>
      </c>
      <c r="L2622" s="4" t="s">
        <v>28</v>
      </c>
      <c r="M2622" s="4" t="s">
        <v>29</v>
      </c>
      <c r="N2622" s="4" t="s">
        <v>28</v>
      </c>
    </row>
    <row r="2623" spans="1:14" ht="14.4" thickBot="1" x14ac:dyDescent="0.35">
      <c r="A2623" s="4" t="s">
        <v>19</v>
      </c>
      <c r="B2623" s="4" t="s">
        <v>39</v>
      </c>
      <c r="C2623" s="4" t="s">
        <v>40</v>
      </c>
      <c r="D2623" s="4" t="s">
        <v>41</v>
      </c>
      <c r="E2623" s="4" t="s">
        <v>42</v>
      </c>
      <c r="F2623" s="4" t="s">
        <v>1046</v>
      </c>
      <c r="G2623" s="4" t="s">
        <v>1047</v>
      </c>
      <c r="H2623" s="4" t="s">
        <v>26</v>
      </c>
      <c r="I2623" s="4" t="s">
        <v>26</v>
      </c>
      <c r="J2623" s="4" t="s">
        <v>27</v>
      </c>
      <c r="K2623" s="4" t="s">
        <v>28</v>
      </c>
      <c r="L2623" s="4" t="s">
        <v>28</v>
      </c>
      <c r="M2623" s="4" t="s">
        <v>29</v>
      </c>
      <c r="N2623" s="4" t="s">
        <v>28</v>
      </c>
    </row>
    <row r="2624" spans="1:14" ht="14.4" thickBot="1" x14ac:dyDescent="0.35">
      <c r="A2624" s="4" t="s">
        <v>19</v>
      </c>
      <c r="B2624" s="4" t="s">
        <v>39</v>
      </c>
      <c r="C2624" s="4" t="s">
        <v>40</v>
      </c>
      <c r="D2624" s="4" t="s">
        <v>41</v>
      </c>
      <c r="E2624" s="4" t="s">
        <v>42</v>
      </c>
      <c r="F2624" s="4" t="s">
        <v>2552</v>
      </c>
      <c r="G2624" s="4" t="s">
        <v>2553</v>
      </c>
      <c r="H2624" s="4" t="s">
        <v>26</v>
      </c>
      <c r="I2624" s="4" t="s">
        <v>26</v>
      </c>
      <c r="J2624" s="4" t="s">
        <v>27</v>
      </c>
      <c r="K2624" s="4" t="s">
        <v>28</v>
      </c>
      <c r="L2624" s="4" t="s">
        <v>28</v>
      </c>
      <c r="M2624" s="4" t="s">
        <v>29</v>
      </c>
      <c r="N2624" s="4" t="s">
        <v>28</v>
      </c>
    </row>
    <row r="2625" spans="1:14" ht="14.4" thickBot="1" x14ac:dyDescent="0.35">
      <c r="A2625" s="4" t="s">
        <v>19</v>
      </c>
      <c r="B2625" s="4" t="s">
        <v>39</v>
      </c>
      <c r="C2625" s="4" t="s">
        <v>40</v>
      </c>
      <c r="D2625" s="4" t="s">
        <v>41</v>
      </c>
      <c r="E2625" s="4" t="s">
        <v>42</v>
      </c>
      <c r="F2625" s="4" t="s">
        <v>2554</v>
      </c>
      <c r="G2625" s="4" t="s">
        <v>2555</v>
      </c>
      <c r="H2625" s="4" t="s">
        <v>135</v>
      </c>
      <c r="I2625" s="4" t="s">
        <v>94</v>
      </c>
      <c r="J2625" s="4" t="s">
        <v>27</v>
      </c>
      <c r="K2625" s="4" t="s">
        <v>28</v>
      </c>
      <c r="L2625" s="4" t="s">
        <v>28</v>
      </c>
      <c r="M2625" s="4" t="s">
        <v>29</v>
      </c>
      <c r="N2625" s="4" t="s">
        <v>28</v>
      </c>
    </row>
    <row r="2626" spans="1:14" ht="14.4" thickBot="1" x14ac:dyDescent="0.35">
      <c r="A2626" s="4" t="s">
        <v>19</v>
      </c>
      <c r="B2626" s="4" t="s">
        <v>39</v>
      </c>
      <c r="C2626" s="4" t="s">
        <v>40</v>
      </c>
      <c r="D2626" s="4" t="s">
        <v>41</v>
      </c>
      <c r="E2626" s="4" t="s">
        <v>42</v>
      </c>
      <c r="F2626" s="4" t="s">
        <v>3327</v>
      </c>
      <c r="G2626" s="4" t="s">
        <v>3328</v>
      </c>
      <c r="H2626" s="4" t="s">
        <v>26</v>
      </c>
      <c r="I2626" s="4" t="s">
        <v>26</v>
      </c>
      <c r="J2626" s="4" t="s">
        <v>27</v>
      </c>
      <c r="K2626" s="4" t="s">
        <v>28</v>
      </c>
      <c r="L2626" s="4" t="s">
        <v>28</v>
      </c>
      <c r="M2626" s="4" t="s">
        <v>29</v>
      </c>
      <c r="N2626" s="4" t="s">
        <v>28</v>
      </c>
    </row>
    <row r="2627" spans="1:14" ht="14.4" thickBot="1" x14ac:dyDescent="0.35">
      <c r="A2627" s="4" t="s">
        <v>19</v>
      </c>
      <c r="B2627" s="4" t="s">
        <v>39</v>
      </c>
      <c r="C2627" s="4" t="s">
        <v>40</v>
      </c>
      <c r="D2627" s="4" t="s">
        <v>41</v>
      </c>
      <c r="E2627" s="4" t="s">
        <v>42</v>
      </c>
      <c r="F2627" s="4" t="s">
        <v>3329</v>
      </c>
      <c r="G2627" s="4" t="s">
        <v>3330</v>
      </c>
      <c r="H2627" s="4" t="s">
        <v>37</v>
      </c>
      <c r="I2627" s="4" t="s">
        <v>38</v>
      </c>
      <c r="J2627" s="4" t="s">
        <v>28</v>
      </c>
      <c r="K2627" s="4" t="s">
        <v>28</v>
      </c>
      <c r="L2627" s="4" t="s">
        <v>27</v>
      </c>
      <c r="M2627" s="4" t="s">
        <v>34</v>
      </c>
      <c r="N2627" s="4" t="s">
        <v>28</v>
      </c>
    </row>
    <row r="2628" spans="1:14" ht="14.4" thickBot="1" x14ac:dyDescent="0.35">
      <c r="A2628" s="4" t="s">
        <v>19</v>
      </c>
      <c r="B2628" s="4" t="s">
        <v>39</v>
      </c>
      <c r="C2628" s="4" t="s">
        <v>40</v>
      </c>
      <c r="D2628" s="4" t="s">
        <v>41</v>
      </c>
      <c r="E2628" s="4" t="s">
        <v>42</v>
      </c>
      <c r="F2628" s="4" t="s">
        <v>3331</v>
      </c>
      <c r="G2628" s="4" t="s">
        <v>3332</v>
      </c>
      <c r="H2628" s="4" t="s">
        <v>26</v>
      </c>
      <c r="I2628" s="4" t="s">
        <v>26</v>
      </c>
      <c r="J2628" s="4" t="s">
        <v>27</v>
      </c>
      <c r="K2628" s="4" t="s">
        <v>28</v>
      </c>
      <c r="L2628" s="4" t="s">
        <v>28</v>
      </c>
      <c r="M2628" s="4" t="s">
        <v>29</v>
      </c>
      <c r="N2628" s="4" t="s">
        <v>28</v>
      </c>
    </row>
    <row r="2629" spans="1:14" ht="14.4" thickBot="1" x14ac:dyDescent="0.35">
      <c r="A2629" s="4" t="s">
        <v>19</v>
      </c>
      <c r="B2629" s="4" t="s">
        <v>39</v>
      </c>
      <c r="C2629" s="4" t="s">
        <v>40</v>
      </c>
      <c r="D2629" s="4" t="s">
        <v>41</v>
      </c>
      <c r="E2629" s="4" t="s">
        <v>42</v>
      </c>
      <c r="F2629" s="4" t="s">
        <v>4135</v>
      </c>
      <c r="G2629" s="4" t="s">
        <v>4136</v>
      </c>
      <c r="H2629" s="4" t="s">
        <v>26</v>
      </c>
      <c r="I2629" s="4" t="s">
        <v>94</v>
      </c>
      <c r="J2629" s="4" t="s">
        <v>27</v>
      </c>
      <c r="K2629" s="4" t="s">
        <v>28</v>
      </c>
      <c r="L2629" s="4" t="s">
        <v>28</v>
      </c>
      <c r="M2629" s="4" t="s">
        <v>34</v>
      </c>
      <c r="N2629" s="4" t="s">
        <v>27</v>
      </c>
    </row>
    <row r="2630" spans="1:14" ht="14.4" thickBot="1" x14ac:dyDescent="0.35">
      <c r="A2630" s="4" t="s">
        <v>19</v>
      </c>
      <c r="B2630" s="4" t="s">
        <v>39</v>
      </c>
      <c r="C2630" s="4" t="s">
        <v>40</v>
      </c>
      <c r="D2630" s="4" t="s">
        <v>41</v>
      </c>
      <c r="E2630" s="4" t="s">
        <v>42</v>
      </c>
      <c r="F2630" s="4" t="s">
        <v>4137</v>
      </c>
      <c r="G2630" s="4" t="s">
        <v>4138</v>
      </c>
      <c r="H2630" s="4" t="s">
        <v>37</v>
      </c>
      <c r="I2630" s="4" t="s">
        <v>38</v>
      </c>
      <c r="J2630" s="5"/>
      <c r="K2630" s="5"/>
      <c r="L2630" s="5"/>
      <c r="M2630" s="4" t="s">
        <v>29</v>
      </c>
      <c r="N2630" s="5"/>
    </row>
    <row r="2631" spans="1:14" ht="14.4" thickBot="1" x14ac:dyDescent="0.35">
      <c r="A2631" s="4" t="s">
        <v>19</v>
      </c>
      <c r="B2631" s="4" t="s">
        <v>39</v>
      </c>
      <c r="C2631" s="4" t="s">
        <v>40</v>
      </c>
      <c r="D2631" s="4" t="s">
        <v>41</v>
      </c>
      <c r="E2631" s="4" t="s">
        <v>42</v>
      </c>
      <c r="F2631" s="4" t="s">
        <v>4139</v>
      </c>
      <c r="G2631" s="4" t="s">
        <v>4140</v>
      </c>
      <c r="H2631" s="4" t="s">
        <v>69</v>
      </c>
      <c r="I2631" s="4" t="s">
        <v>94</v>
      </c>
      <c r="J2631" s="4" t="s">
        <v>28</v>
      </c>
      <c r="K2631" s="4" t="s">
        <v>27</v>
      </c>
      <c r="L2631" s="4" t="s">
        <v>28</v>
      </c>
      <c r="M2631" s="4" t="s">
        <v>34</v>
      </c>
      <c r="N2631" s="4" t="s">
        <v>28</v>
      </c>
    </row>
    <row r="2632" spans="1:14" ht="14.4" thickBot="1" x14ac:dyDescent="0.35">
      <c r="A2632" s="4" t="s">
        <v>19</v>
      </c>
      <c r="B2632" s="4" t="s">
        <v>39</v>
      </c>
      <c r="C2632" s="4" t="s">
        <v>40</v>
      </c>
      <c r="D2632" s="4" t="s">
        <v>41</v>
      </c>
      <c r="E2632" s="4" t="s">
        <v>42</v>
      </c>
      <c r="F2632" s="4" t="s">
        <v>4141</v>
      </c>
      <c r="G2632" s="4" t="s">
        <v>4142</v>
      </c>
      <c r="H2632" s="4" t="s">
        <v>135</v>
      </c>
      <c r="I2632" s="4" t="s">
        <v>33</v>
      </c>
      <c r="J2632" s="4" t="s">
        <v>27</v>
      </c>
      <c r="K2632" s="4" t="s">
        <v>28</v>
      </c>
      <c r="L2632" s="4" t="s">
        <v>28</v>
      </c>
      <c r="M2632" s="4" t="s">
        <v>34</v>
      </c>
      <c r="N2632" s="4" t="s">
        <v>28</v>
      </c>
    </row>
    <row r="2633" spans="1:14" ht="14.4" thickBot="1" x14ac:dyDescent="0.35">
      <c r="A2633" s="4" t="s">
        <v>19</v>
      </c>
      <c r="B2633" s="4" t="s">
        <v>39</v>
      </c>
      <c r="C2633" s="4" t="s">
        <v>40</v>
      </c>
      <c r="D2633" s="4" t="s">
        <v>41</v>
      </c>
      <c r="E2633" s="4" t="s">
        <v>42</v>
      </c>
      <c r="F2633" s="4" t="s">
        <v>4818</v>
      </c>
      <c r="G2633" s="4" t="s">
        <v>4819</v>
      </c>
      <c r="H2633" s="4" t="s">
        <v>37</v>
      </c>
      <c r="I2633" s="4" t="s">
        <v>38</v>
      </c>
      <c r="J2633" s="4" t="s">
        <v>28</v>
      </c>
      <c r="K2633" s="4" t="s">
        <v>28</v>
      </c>
      <c r="L2633" s="4" t="s">
        <v>27</v>
      </c>
      <c r="M2633" s="4" t="s">
        <v>34</v>
      </c>
      <c r="N2633" s="4" t="s">
        <v>28</v>
      </c>
    </row>
    <row r="2634" spans="1:14" ht="14.4" thickBot="1" x14ac:dyDescent="0.35">
      <c r="A2634" s="4" t="s">
        <v>19</v>
      </c>
      <c r="B2634" s="4" t="s">
        <v>39</v>
      </c>
      <c r="C2634" s="4" t="s">
        <v>40</v>
      </c>
      <c r="D2634" s="4" t="s">
        <v>41</v>
      </c>
      <c r="E2634" s="4" t="s">
        <v>42</v>
      </c>
      <c r="F2634" s="4" t="s">
        <v>4820</v>
      </c>
      <c r="G2634" s="4" t="s">
        <v>4821</v>
      </c>
      <c r="H2634" s="4" t="s">
        <v>135</v>
      </c>
      <c r="I2634" s="4" t="s">
        <v>33</v>
      </c>
      <c r="J2634" s="4" t="s">
        <v>27</v>
      </c>
      <c r="K2634" s="4" t="s">
        <v>28</v>
      </c>
      <c r="L2634" s="4" t="s">
        <v>28</v>
      </c>
      <c r="M2634" s="4" t="s">
        <v>34</v>
      </c>
      <c r="N2634" s="4" t="s">
        <v>28</v>
      </c>
    </row>
    <row r="2635" spans="1:14" ht="14.4" thickBot="1" x14ac:dyDescent="0.35">
      <c r="A2635" s="4" t="s">
        <v>19</v>
      </c>
      <c r="B2635" s="4" t="s">
        <v>39</v>
      </c>
      <c r="C2635" s="4" t="s">
        <v>40</v>
      </c>
      <c r="D2635" s="4" t="s">
        <v>41</v>
      </c>
      <c r="E2635" s="4" t="s">
        <v>42</v>
      </c>
      <c r="F2635" s="4" t="s">
        <v>5537</v>
      </c>
      <c r="G2635" s="4" t="s">
        <v>5538</v>
      </c>
      <c r="H2635" s="4" t="s">
        <v>26</v>
      </c>
      <c r="I2635" s="4" t="s">
        <v>26</v>
      </c>
      <c r="J2635" s="4" t="s">
        <v>27</v>
      </c>
      <c r="K2635" s="4" t="s">
        <v>28</v>
      </c>
      <c r="L2635" s="4" t="s">
        <v>28</v>
      </c>
      <c r="M2635" s="4" t="s">
        <v>29</v>
      </c>
      <c r="N2635" s="4" t="s">
        <v>28</v>
      </c>
    </row>
    <row r="2636" spans="1:14" ht="14.4" thickBot="1" x14ac:dyDescent="0.35">
      <c r="A2636" s="4" t="s">
        <v>19</v>
      </c>
      <c r="B2636" s="4" t="s">
        <v>39</v>
      </c>
      <c r="C2636" s="4" t="s">
        <v>3333</v>
      </c>
      <c r="D2636" s="4" t="s">
        <v>3334</v>
      </c>
      <c r="E2636" s="4" t="s">
        <v>48</v>
      </c>
      <c r="F2636" s="4" t="s">
        <v>3335</v>
      </c>
      <c r="G2636" s="4" t="s">
        <v>3336</v>
      </c>
      <c r="H2636" s="4" t="s">
        <v>69</v>
      </c>
      <c r="I2636" s="4" t="s">
        <v>94</v>
      </c>
      <c r="J2636" s="4" t="s">
        <v>28</v>
      </c>
      <c r="K2636" s="4" t="s">
        <v>27</v>
      </c>
      <c r="L2636" s="4" t="s">
        <v>28</v>
      </c>
      <c r="M2636" s="4" t="s">
        <v>34</v>
      </c>
      <c r="N2636" s="4" t="s">
        <v>28</v>
      </c>
    </row>
    <row r="2637" spans="1:14" ht="14.4" thickBot="1" x14ac:dyDescent="0.35">
      <c r="A2637" s="4" t="s">
        <v>19</v>
      </c>
      <c r="B2637" s="4" t="s">
        <v>39</v>
      </c>
      <c r="C2637" s="4" t="s">
        <v>3333</v>
      </c>
      <c r="D2637" s="4" t="s">
        <v>3334</v>
      </c>
      <c r="E2637" s="4" t="s">
        <v>48</v>
      </c>
      <c r="F2637" s="4" t="s">
        <v>4822</v>
      </c>
      <c r="G2637" s="4" t="s">
        <v>4823</v>
      </c>
      <c r="H2637" s="4" t="s">
        <v>135</v>
      </c>
      <c r="I2637" s="4" t="s">
        <v>33</v>
      </c>
      <c r="J2637" s="4" t="s">
        <v>27</v>
      </c>
      <c r="K2637" s="4" t="s">
        <v>28</v>
      </c>
      <c r="L2637" s="4" t="s">
        <v>28</v>
      </c>
      <c r="M2637" s="4" t="s">
        <v>34</v>
      </c>
      <c r="N2637" s="4" t="s">
        <v>28</v>
      </c>
    </row>
    <row r="2638" spans="1:14" ht="14.4" thickBot="1" x14ac:dyDescent="0.35">
      <c r="A2638" s="4" t="s">
        <v>19</v>
      </c>
      <c r="B2638" s="4" t="s">
        <v>39</v>
      </c>
      <c r="C2638" s="4" t="s">
        <v>3333</v>
      </c>
      <c r="D2638" s="4" t="s">
        <v>3334</v>
      </c>
      <c r="E2638" s="4" t="s">
        <v>48</v>
      </c>
      <c r="F2638" s="4" t="s">
        <v>4824</v>
      </c>
      <c r="G2638" s="4" t="s">
        <v>4825</v>
      </c>
      <c r="H2638" s="4" t="s">
        <v>26</v>
      </c>
      <c r="I2638" s="4" t="s">
        <v>26</v>
      </c>
      <c r="J2638" s="4" t="s">
        <v>27</v>
      </c>
      <c r="K2638" s="4" t="s">
        <v>28</v>
      </c>
      <c r="L2638" s="4" t="s">
        <v>28</v>
      </c>
      <c r="M2638" s="4" t="s">
        <v>34</v>
      </c>
      <c r="N2638" s="4" t="s">
        <v>28</v>
      </c>
    </row>
    <row r="2639" spans="1:14" ht="14.4" thickBot="1" x14ac:dyDescent="0.35">
      <c r="A2639" s="4" t="s">
        <v>19</v>
      </c>
      <c r="B2639" s="4" t="s">
        <v>39</v>
      </c>
      <c r="C2639" s="4" t="s">
        <v>3333</v>
      </c>
      <c r="D2639" s="4" t="s">
        <v>3334</v>
      </c>
      <c r="E2639" s="4" t="s">
        <v>48</v>
      </c>
      <c r="F2639" s="4" t="s">
        <v>4826</v>
      </c>
      <c r="G2639" s="4" t="s">
        <v>4827</v>
      </c>
      <c r="H2639" s="4" t="s">
        <v>37</v>
      </c>
      <c r="I2639" s="4" t="s">
        <v>38</v>
      </c>
      <c r="J2639" s="4" t="s">
        <v>28</v>
      </c>
      <c r="K2639" s="4" t="s">
        <v>28</v>
      </c>
      <c r="L2639" s="4" t="s">
        <v>27</v>
      </c>
      <c r="M2639" s="4" t="s">
        <v>34</v>
      </c>
      <c r="N2639" s="4" t="s">
        <v>28</v>
      </c>
    </row>
    <row r="2640" spans="1:14" ht="14.4" thickBot="1" x14ac:dyDescent="0.35">
      <c r="A2640" s="4" t="s">
        <v>19</v>
      </c>
      <c r="B2640" s="4" t="s">
        <v>45</v>
      </c>
      <c r="C2640" s="4" t="s">
        <v>46</v>
      </c>
      <c r="D2640" s="4" t="s">
        <v>47</v>
      </c>
      <c r="E2640" s="4" t="s">
        <v>48</v>
      </c>
      <c r="F2640" s="4" t="s">
        <v>49</v>
      </c>
      <c r="G2640" s="4" t="s">
        <v>50</v>
      </c>
      <c r="H2640" s="4" t="s">
        <v>26</v>
      </c>
      <c r="I2640" s="4" t="s">
        <v>38</v>
      </c>
      <c r="J2640" s="4" t="s">
        <v>28</v>
      </c>
      <c r="K2640" s="4" t="s">
        <v>28</v>
      </c>
      <c r="L2640" s="4" t="s">
        <v>27</v>
      </c>
      <c r="M2640" s="4" t="s">
        <v>34</v>
      </c>
      <c r="N2640" s="4" t="s">
        <v>28</v>
      </c>
    </row>
    <row r="2641" spans="1:14" ht="14.4" thickBot="1" x14ac:dyDescent="0.35">
      <c r="A2641" s="4" t="s">
        <v>19</v>
      </c>
      <c r="B2641" s="4" t="s">
        <v>45</v>
      </c>
      <c r="C2641" s="4" t="s">
        <v>46</v>
      </c>
      <c r="D2641" s="4" t="s">
        <v>47</v>
      </c>
      <c r="E2641" s="4" t="s">
        <v>48</v>
      </c>
      <c r="F2641" s="4" t="s">
        <v>1900</v>
      </c>
      <c r="G2641" s="4" t="s">
        <v>1901</v>
      </c>
      <c r="H2641" s="4" t="s">
        <v>26</v>
      </c>
      <c r="I2641" s="4" t="s">
        <v>26</v>
      </c>
      <c r="J2641" s="5"/>
      <c r="K2641" s="5"/>
      <c r="L2641" s="5"/>
      <c r="M2641" s="4" t="s">
        <v>130</v>
      </c>
      <c r="N2641" s="5"/>
    </row>
    <row r="2642" spans="1:14" ht="14.4" thickBot="1" x14ac:dyDescent="0.35">
      <c r="A2642" s="4" t="s">
        <v>19</v>
      </c>
      <c r="B2642" s="4" t="s">
        <v>45</v>
      </c>
      <c r="C2642" s="4" t="s">
        <v>1048</v>
      </c>
      <c r="D2642" s="4" t="s">
        <v>1049</v>
      </c>
      <c r="E2642" s="4" t="s">
        <v>48</v>
      </c>
      <c r="F2642" s="4" t="s">
        <v>1050</v>
      </c>
      <c r="G2642" s="4" t="s">
        <v>1051</v>
      </c>
      <c r="H2642" s="4" t="s">
        <v>26</v>
      </c>
      <c r="I2642" s="4" t="s">
        <v>38</v>
      </c>
      <c r="J2642" s="4" t="s">
        <v>28</v>
      </c>
      <c r="K2642" s="4" t="s">
        <v>28</v>
      </c>
      <c r="L2642" s="4" t="s">
        <v>27</v>
      </c>
      <c r="M2642" s="4" t="s">
        <v>34</v>
      </c>
      <c r="N2642" s="4" t="s">
        <v>28</v>
      </c>
    </row>
    <row r="2643" spans="1:14" ht="14.4" thickBot="1" x14ac:dyDescent="0.35">
      <c r="A2643" s="4" t="s">
        <v>19</v>
      </c>
      <c r="B2643" s="4" t="s">
        <v>45</v>
      </c>
      <c r="C2643" s="4" t="s">
        <v>1048</v>
      </c>
      <c r="D2643" s="4" t="s">
        <v>1049</v>
      </c>
      <c r="E2643" s="4" t="s">
        <v>48</v>
      </c>
      <c r="F2643" s="4" t="s">
        <v>1902</v>
      </c>
      <c r="G2643" s="4" t="s">
        <v>1903</v>
      </c>
      <c r="H2643" s="4" t="s">
        <v>26</v>
      </c>
      <c r="I2643" s="4" t="s">
        <v>26</v>
      </c>
      <c r="J2643" s="5"/>
      <c r="K2643" s="5"/>
      <c r="L2643" s="5"/>
      <c r="M2643" s="4" t="s">
        <v>130</v>
      </c>
      <c r="N2643" s="5"/>
    </row>
    <row r="2644" spans="1:14" ht="14.4" thickBot="1" x14ac:dyDescent="0.35">
      <c r="A2644" s="4" t="s">
        <v>19</v>
      </c>
      <c r="B2644" s="4" t="s">
        <v>45</v>
      </c>
      <c r="C2644" s="4" t="s">
        <v>1048</v>
      </c>
      <c r="D2644" s="4" t="s">
        <v>1049</v>
      </c>
      <c r="E2644" s="4" t="s">
        <v>48</v>
      </c>
      <c r="F2644" s="4" t="s">
        <v>4828</v>
      </c>
      <c r="G2644" s="4" t="s">
        <v>4829</v>
      </c>
      <c r="H2644" s="4" t="s">
        <v>135</v>
      </c>
      <c r="I2644" s="4" t="s">
        <v>38</v>
      </c>
      <c r="J2644" s="4" t="s">
        <v>28</v>
      </c>
      <c r="K2644" s="4" t="s">
        <v>28</v>
      </c>
      <c r="L2644" s="4" t="s">
        <v>27</v>
      </c>
      <c r="M2644" s="4" t="s">
        <v>34</v>
      </c>
      <c r="N2644" s="4" t="s">
        <v>27</v>
      </c>
    </row>
    <row r="2645" spans="1:14" ht="14.4" thickBot="1" x14ac:dyDescent="0.35">
      <c r="A2645" s="4" t="s">
        <v>19</v>
      </c>
      <c r="B2645" s="4" t="s">
        <v>45</v>
      </c>
      <c r="C2645" s="4" t="s">
        <v>1732</v>
      </c>
      <c r="D2645" s="4" t="s">
        <v>1733</v>
      </c>
      <c r="E2645" s="4" t="s">
        <v>23</v>
      </c>
      <c r="F2645" s="4" t="s">
        <v>1734</v>
      </c>
      <c r="G2645" s="4" t="s">
        <v>1735</v>
      </c>
      <c r="H2645" s="4" t="s">
        <v>37</v>
      </c>
      <c r="I2645" s="4" t="s">
        <v>38</v>
      </c>
      <c r="J2645" s="4" t="s">
        <v>28</v>
      </c>
      <c r="K2645" s="4" t="s">
        <v>28</v>
      </c>
      <c r="L2645" s="4" t="s">
        <v>27</v>
      </c>
      <c r="M2645" s="4" t="s">
        <v>34</v>
      </c>
      <c r="N2645" s="4" t="s">
        <v>28</v>
      </c>
    </row>
    <row r="2646" spans="1:14" ht="14.4" thickBot="1" x14ac:dyDescent="0.35">
      <c r="A2646" s="4" t="s">
        <v>19</v>
      </c>
      <c r="B2646" s="4" t="s">
        <v>45</v>
      </c>
      <c r="C2646" s="4" t="s">
        <v>1732</v>
      </c>
      <c r="D2646" s="4" t="s">
        <v>1733</v>
      </c>
      <c r="E2646" s="4" t="s">
        <v>23</v>
      </c>
      <c r="F2646" s="4" t="s">
        <v>1736</v>
      </c>
      <c r="G2646" s="4" t="s">
        <v>1737</v>
      </c>
      <c r="H2646" s="4" t="s">
        <v>69</v>
      </c>
      <c r="I2646" s="4" t="s">
        <v>94</v>
      </c>
      <c r="J2646" s="4" t="s">
        <v>28</v>
      </c>
      <c r="K2646" s="4" t="s">
        <v>27</v>
      </c>
      <c r="L2646" s="4" t="s">
        <v>28</v>
      </c>
      <c r="M2646" s="4" t="s">
        <v>34</v>
      </c>
      <c r="N2646" s="4" t="s">
        <v>28</v>
      </c>
    </row>
    <row r="2647" spans="1:14" ht="14.4" thickBot="1" x14ac:dyDescent="0.35">
      <c r="A2647" s="4" t="s">
        <v>19</v>
      </c>
      <c r="B2647" s="4" t="s">
        <v>45</v>
      </c>
      <c r="C2647" s="4" t="s">
        <v>1732</v>
      </c>
      <c r="D2647" s="4" t="s">
        <v>1733</v>
      </c>
      <c r="E2647" s="4" t="s">
        <v>23</v>
      </c>
      <c r="F2647" s="4" t="s">
        <v>3264</v>
      </c>
      <c r="G2647" s="4" t="s">
        <v>3265</v>
      </c>
      <c r="H2647" s="4" t="s">
        <v>26</v>
      </c>
      <c r="I2647" s="4" t="s">
        <v>26</v>
      </c>
      <c r="J2647" s="5"/>
      <c r="K2647" s="5"/>
      <c r="L2647" s="5"/>
      <c r="M2647" s="4" t="s">
        <v>130</v>
      </c>
      <c r="N2647" s="5"/>
    </row>
    <row r="2648" spans="1:14" ht="14.4" thickBot="1" x14ac:dyDescent="0.35">
      <c r="A2648" s="4" t="s">
        <v>19</v>
      </c>
      <c r="B2648" s="4" t="s">
        <v>45</v>
      </c>
      <c r="C2648" s="4" t="s">
        <v>1732</v>
      </c>
      <c r="D2648" s="4" t="s">
        <v>1733</v>
      </c>
      <c r="E2648" s="4" t="s">
        <v>23</v>
      </c>
      <c r="F2648" s="4" t="s">
        <v>252</v>
      </c>
      <c r="G2648" s="4" t="s">
        <v>3993</v>
      </c>
      <c r="H2648" s="4" t="s">
        <v>37</v>
      </c>
      <c r="I2648" s="4" t="s">
        <v>38</v>
      </c>
      <c r="J2648" s="4" t="s">
        <v>28</v>
      </c>
      <c r="K2648" s="4" t="s">
        <v>28</v>
      </c>
      <c r="L2648" s="4" t="s">
        <v>27</v>
      </c>
      <c r="M2648" s="4" t="s">
        <v>34</v>
      </c>
      <c r="N2648" s="4" t="s">
        <v>28</v>
      </c>
    </row>
    <row r="2649" spans="1:14" ht="14.4" thickBot="1" x14ac:dyDescent="0.35">
      <c r="A2649" s="4" t="s">
        <v>19</v>
      </c>
      <c r="B2649" s="4" t="s">
        <v>45</v>
      </c>
      <c r="C2649" s="4" t="s">
        <v>1732</v>
      </c>
      <c r="D2649" s="4" t="s">
        <v>1733</v>
      </c>
      <c r="E2649" s="4" t="s">
        <v>23</v>
      </c>
      <c r="F2649" s="4" t="s">
        <v>3994</v>
      </c>
      <c r="G2649" s="4" t="s">
        <v>3995</v>
      </c>
      <c r="H2649" s="4" t="s">
        <v>26</v>
      </c>
      <c r="I2649" s="4" t="s">
        <v>33</v>
      </c>
      <c r="J2649" s="4" t="s">
        <v>27</v>
      </c>
      <c r="K2649" s="4" t="s">
        <v>28</v>
      </c>
      <c r="L2649" s="4" t="s">
        <v>28</v>
      </c>
      <c r="M2649" s="4" t="s">
        <v>34</v>
      </c>
      <c r="N2649" s="4" t="s">
        <v>28</v>
      </c>
    </row>
    <row r="2650" spans="1:14" ht="14.4" thickBot="1" x14ac:dyDescent="0.35">
      <c r="A2650" s="4" t="s">
        <v>19</v>
      </c>
      <c r="B2650" s="4" t="s">
        <v>45</v>
      </c>
      <c r="C2650" s="4" t="s">
        <v>1732</v>
      </c>
      <c r="D2650" s="4" t="s">
        <v>1733</v>
      </c>
      <c r="E2650" s="4" t="s">
        <v>23</v>
      </c>
      <c r="F2650" s="4" t="s">
        <v>4688</v>
      </c>
      <c r="G2650" s="4" t="s">
        <v>4689</v>
      </c>
      <c r="H2650" s="4" t="s">
        <v>37</v>
      </c>
      <c r="I2650" s="4" t="s">
        <v>38</v>
      </c>
      <c r="J2650" s="4" t="s">
        <v>28</v>
      </c>
      <c r="K2650" s="4" t="s">
        <v>28</v>
      </c>
      <c r="L2650" s="4" t="s">
        <v>27</v>
      </c>
      <c r="M2650" s="4" t="s">
        <v>34</v>
      </c>
      <c r="N2650" s="4" t="s">
        <v>28</v>
      </c>
    </row>
    <row r="2651" spans="1:14" ht="14.4" thickBot="1" x14ac:dyDescent="0.35">
      <c r="A2651" s="4" t="s">
        <v>19</v>
      </c>
      <c r="B2651" s="4" t="s">
        <v>45</v>
      </c>
      <c r="C2651" s="4" t="s">
        <v>1732</v>
      </c>
      <c r="D2651" s="4" t="s">
        <v>1733</v>
      </c>
      <c r="E2651" s="4" t="s">
        <v>23</v>
      </c>
      <c r="F2651" s="4" t="s">
        <v>4779</v>
      </c>
      <c r="G2651" s="4" t="s">
        <v>4780</v>
      </c>
      <c r="H2651" s="4" t="s">
        <v>26</v>
      </c>
      <c r="I2651" s="4" t="s">
        <v>26</v>
      </c>
      <c r="J2651" s="5"/>
      <c r="K2651" s="5"/>
      <c r="L2651" s="5"/>
      <c r="M2651" s="4" t="s">
        <v>130</v>
      </c>
      <c r="N2651" s="5"/>
    </row>
    <row r="2652" spans="1:14" ht="14.4" thickBot="1" x14ac:dyDescent="0.35">
      <c r="A2652" s="4" t="s">
        <v>19</v>
      </c>
      <c r="B2652" s="4" t="s">
        <v>45</v>
      </c>
      <c r="C2652" s="4" t="s">
        <v>1732</v>
      </c>
      <c r="D2652" s="4" t="s">
        <v>1733</v>
      </c>
      <c r="E2652" s="4" t="s">
        <v>23</v>
      </c>
      <c r="F2652" s="4" t="s">
        <v>5474</v>
      </c>
      <c r="G2652" s="4" t="s">
        <v>5475</v>
      </c>
      <c r="H2652" s="4" t="s">
        <v>135</v>
      </c>
      <c r="I2652" s="4" t="s">
        <v>94</v>
      </c>
      <c r="J2652" s="5"/>
      <c r="K2652" s="5"/>
      <c r="L2652" s="5"/>
      <c r="M2652" s="4" t="s">
        <v>29</v>
      </c>
      <c r="N2652" s="5"/>
    </row>
    <row r="2653" spans="1:14" ht="14.4" thickBot="1" x14ac:dyDescent="0.35">
      <c r="A2653" s="4" t="s">
        <v>19</v>
      </c>
      <c r="B2653" s="4" t="s">
        <v>51</v>
      </c>
      <c r="C2653" s="4" t="s">
        <v>52</v>
      </c>
      <c r="D2653" s="4" t="s">
        <v>53</v>
      </c>
      <c r="E2653" s="4" t="s">
        <v>48</v>
      </c>
      <c r="F2653" s="4" t="s">
        <v>54</v>
      </c>
      <c r="G2653" s="4" t="s">
        <v>55</v>
      </c>
      <c r="H2653" s="4" t="s">
        <v>26</v>
      </c>
      <c r="I2653" s="4" t="s">
        <v>33</v>
      </c>
      <c r="J2653" s="4" t="s">
        <v>27</v>
      </c>
      <c r="K2653" s="4" t="s">
        <v>28</v>
      </c>
      <c r="L2653" s="4" t="s">
        <v>28</v>
      </c>
      <c r="M2653" s="4" t="s">
        <v>34</v>
      </c>
      <c r="N2653" s="4" t="s">
        <v>28</v>
      </c>
    </row>
    <row r="2654" spans="1:14" ht="14.4" thickBot="1" x14ac:dyDescent="0.35">
      <c r="A2654" s="4" t="s">
        <v>19</v>
      </c>
      <c r="B2654" s="4" t="s">
        <v>51</v>
      </c>
      <c r="C2654" s="4" t="s">
        <v>52</v>
      </c>
      <c r="D2654" s="4" t="s">
        <v>53</v>
      </c>
      <c r="E2654" s="4" t="s">
        <v>48</v>
      </c>
      <c r="F2654" s="4" t="s">
        <v>1904</v>
      </c>
      <c r="G2654" s="4" t="s">
        <v>1905</v>
      </c>
      <c r="H2654" s="4" t="s">
        <v>26</v>
      </c>
      <c r="I2654" s="4" t="s">
        <v>26</v>
      </c>
      <c r="J2654" s="5"/>
      <c r="K2654" s="5"/>
      <c r="L2654" s="5"/>
      <c r="M2654" s="4" t="s">
        <v>29</v>
      </c>
      <c r="N2654" s="5"/>
    </row>
    <row r="2655" spans="1:14" ht="14.4" thickBot="1" x14ac:dyDescent="0.35">
      <c r="A2655" s="4" t="s">
        <v>19</v>
      </c>
      <c r="B2655" s="4" t="s">
        <v>51</v>
      </c>
      <c r="C2655" s="4" t="s">
        <v>52</v>
      </c>
      <c r="D2655" s="4" t="s">
        <v>53</v>
      </c>
      <c r="E2655" s="4" t="s">
        <v>48</v>
      </c>
      <c r="F2655" s="4" t="s">
        <v>3337</v>
      </c>
      <c r="G2655" s="4" t="s">
        <v>3338</v>
      </c>
      <c r="H2655" s="4" t="s">
        <v>69</v>
      </c>
      <c r="I2655" s="4" t="s">
        <v>94</v>
      </c>
      <c r="J2655" s="4" t="s">
        <v>28</v>
      </c>
      <c r="K2655" s="4" t="s">
        <v>27</v>
      </c>
      <c r="L2655" s="4" t="s">
        <v>28</v>
      </c>
      <c r="M2655" s="4" t="s">
        <v>34</v>
      </c>
      <c r="N2655" s="4" t="s">
        <v>28</v>
      </c>
    </row>
    <row r="2656" spans="1:14" ht="14.4" thickBot="1" x14ac:dyDescent="0.35">
      <c r="A2656" s="4" t="s">
        <v>19</v>
      </c>
      <c r="B2656" s="4" t="s">
        <v>51</v>
      </c>
      <c r="C2656" s="4" t="s">
        <v>52</v>
      </c>
      <c r="D2656" s="4" t="s">
        <v>53</v>
      </c>
      <c r="E2656" s="4" t="s">
        <v>48</v>
      </c>
      <c r="F2656" s="4" t="s">
        <v>4143</v>
      </c>
      <c r="G2656" s="4" t="s">
        <v>4144</v>
      </c>
      <c r="H2656" s="4" t="s">
        <v>37</v>
      </c>
      <c r="I2656" s="4" t="s">
        <v>38</v>
      </c>
      <c r="J2656" s="4" t="s">
        <v>28</v>
      </c>
      <c r="K2656" s="4" t="s">
        <v>28</v>
      </c>
      <c r="L2656" s="4" t="s">
        <v>27</v>
      </c>
      <c r="M2656" s="4" t="s">
        <v>34</v>
      </c>
      <c r="N2656" s="4" t="s">
        <v>28</v>
      </c>
    </row>
    <row r="2657" spans="1:14" ht="14.4" thickBot="1" x14ac:dyDescent="0.35">
      <c r="A2657" s="4" t="s">
        <v>19</v>
      </c>
      <c r="B2657" s="4" t="s">
        <v>56</v>
      </c>
      <c r="C2657" s="4" t="s">
        <v>57</v>
      </c>
      <c r="D2657" s="4" t="s">
        <v>58</v>
      </c>
      <c r="E2657" s="4" t="s">
        <v>23</v>
      </c>
      <c r="F2657" s="4" t="s">
        <v>59</v>
      </c>
      <c r="G2657" s="4" t="s">
        <v>60</v>
      </c>
      <c r="H2657" s="4" t="s">
        <v>26</v>
      </c>
      <c r="I2657" s="4" t="s">
        <v>61</v>
      </c>
      <c r="J2657" s="4" t="s">
        <v>27</v>
      </c>
      <c r="K2657" s="4" t="s">
        <v>28</v>
      </c>
      <c r="L2657" s="4" t="s">
        <v>28</v>
      </c>
      <c r="M2657" s="4" t="s">
        <v>34</v>
      </c>
      <c r="N2657" s="4" t="s">
        <v>28</v>
      </c>
    </row>
    <row r="2658" spans="1:14" ht="14.4" thickBot="1" x14ac:dyDescent="0.35">
      <c r="A2658" s="4" t="s">
        <v>19</v>
      </c>
      <c r="B2658" s="4" t="s">
        <v>56</v>
      </c>
      <c r="C2658" s="4" t="s">
        <v>57</v>
      </c>
      <c r="D2658" s="4" t="s">
        <v>58</v>
      </c>
      <c r="E2658" s="4" t="s">
        <v>23</v>
      </c>
      <c r="F2658" s="4" t="s">
        <v>62</v>
      </c>
      <c r="G2658" s="4" t="s">
        <v>63</v>
      </c>
      <c r="H2658" s="4" t="s">
        <v>26</v>
      </c>
      <c r="I2658" s="4" t="s">
        <v>26</v>
      </c>
      <c r="J2658" s="4" t="s">
        <v>27</v>
      </c>
      <c r="K2658" s="4" t="s">
        <v>28</v>
      </c>
      <c r="L2658" s="4" t="s">
        <v>28</v>
      </c>
      <c r="M2658" s="4" t="s">
        <v>29</v>
      </c>
      <c r="N2658" s="4" t="s">
        <v>28</v>
      </c>
    </row>
    <row r="2659" spans="1:14" ht="14.4" thickBot="1" x14ac:dyDescent="0.35">
      <c r="A2659" s="4" t="s">
        <v>19</v>
      </c>
      <c r="B2659" s="4" t="s">
        <v>56</v>
      </c>
      <c r="C2659" s="4" t="s">
        <v>57</v>
      </c>
      <c r="D2659" s="4" t="s">
        <v>58</v>
      </c>
      <c r="E2659" s="4" t="s">
        <v>23</v>
      </c>
      <c r="F2659" s="4" t="s">
        <v>2556</v>
      </c>
      <c r="G2659" s="4" t="s">
        <v>2557</v>
      </c>
      <c r="H2659" s="4" t="s">
        <v>26</v>
      </c>
      <c r="I2659" s="4" t="s">
        <v>26</v>
      </c>
      <c r="J2659" s="4" t="s">
        <v>27</v>
      </c>
      <c r="K2659" s="4" t="s">
        <v>28</v>
      </c>
      <c r="L2659" s="4" t="s">
        <v>28</v>
      </c>
      <c r="M2659" s="4" t="s">
        <v>29</v>
      </c>
      <c r="N2659" s="4" t="s">
        <v>28</v>
      </c>
    </row>
    <row r="2660" spans="1:14" ht="14.4" thickBot="1" x14ac:dyDescent="0.35">
      <c r="A2660" s="4" t="s">
        <v>19</v>
      </c>
      <c r="B2660" s="4" t="s">
        <v>56</v>
      </c>
      <c r="C2660" s="4" t="s">
        <v>57</v>
      </c>
      <c r="D2660" s="4" t="s">
        <v>58</v>
      </c>
      <c r="E2660" s="4" t="s">
        <v>23</v>
      </c>
      <c r="F2660" s="4" t="s">
        <v>3339</v>
      </c>
      <c r="G2660" s="4" t="s">
        <v>3340</v>
      </c>
      <c r="H2660" s="4" t="s">
        <v>26</v>
      </c>
      <c r="I2660" s="4" t="s">
        <v>26</v>
      </c>
      <c r="J2660" s="4" t="s">
        <v>27</v>
      </c>
      <c r="K2660" s="4" t="s">
        <v>28</v>
      </c>
      <c r="L2660" s="4" t="s">
        <v>28</v>
      </c>
      <c r="M2660" s="4" t="s">
        <v>130</v>
      </c>
      <c r="N2660" s="4" t="s">
        <v>28</v>
      </c>
    </row>
    <row r="2661" spans="1:14" ht="14.4" thickBot="1" x14ac:dyDescent="0.35">
      <c r="A2661" s="4" t="s">
        <v>19</v>
      </c>
      <c r="B2661" s="4" t="s">
        <v>56</v>
      </c>
      <c r="C2661" s="4" t="s">
        <v>57</v>
      </c>
      <c r="D2661" s="4" t="s">
        <v>58</v>
      </c>
      <c r="E2661" s="4" t="s">
        <v>23</v>
      </c>
      <c r="F2661" s="4" t="s">
        <v>4145</v>
      </c>
      <c r="G2661" s="4" t="s">
        <v>4146</v>
      </c>
      <c r="H2661" s="4" t="s">
        <v>37</v>
      </c>
      <c r="I2661" s="4" t="s">
        <v>38</v>
      </c>
      <c r="J2661" s="4" t="s">
        <v>28</v>
      </c>
      <c r="K2661" s="4" t="s">
        <v>28</v>
      </c>
      <c r="L2661" s="4" t="s">
        <v>27</v>
      </c>
      <c r="M2661" s="4" t="s">
        <v>34</v>
      </c>
      <c r="N2661" s="4" t="s">
        <v>28</v>
      </c>
    </row>
    <row r="2662" spans="1:14" ht="14.4" thickBot="1" x14ac:dyDescent="0.35">
      <c r="A2662" s="4" t="s">
        <v>19</v>
      </c>
      <c r="B2662" s="4" t="s">
        <v>56</v>
      </c>
      <c r="C2662" s="4" t="s">
        <v>57</v>
      </c>
      <c r="D2662" s="4" t="s">
        <v>58</v>
      </c>
      <c r="E2662" s="4" t="s">
        <v>23</v>
      </c>
      <c r="F2662" s="4" t="s">
        <v>4147</v>
      </c>
      <c r="G2662" s="4" t="s">
        <v>4148</v>
      </c>
      <c r="H2662" s="4" t="s">
        <v>32</v>
      </c>
      <c r="I2662" s="4" t="s">
        <v>69</v>
      </c>
      <c r="J2662" s="4" t="s">
        <v>27</v>
      </c>
      <c r="K2662" s="4" t="s">
        <v>28</v>
      </c>
      <c r="L2662" s="4" t="s">
        <v>28</v>
      </c>
      <c r="M2662" s="4" t="s">
        <v>34</v>
      </c>
      <c r="N2662" s="4" t="s">
        <v>28</v>
      </c>
    </row>
    <row r="2663" spans="1:14" ht="14.4" thickBot="1" x14ac:dyDescent="0.35">
      <c r="A2663" s="4" t="s">
        <v>19</v>
      </c>
      <c r="B2663" s="4" t="s">
        <v>56</v>
      </c>
      <c r="C2663" s="4" t="s">
        <v>57</v>
      </c>
      <c r="D2663" s="4" t="s">
        <v>58</v>
      </c>
      <c r="E2663" s="4" t="s">
        <v>23</v>
      </c>
      <c r="F2663" s="4" t="s">
        <v>5539</v>
      </c>
      <c r="G2663" s="4" t="s">
        <v>5540</v>
      </c>
      <c r="H2663" s="4" t="s">
        <v>26</v>
      </c>
      <c r="I2663" s="4" t="s">
        <v>38</v>
      </c>
      <c r="J2663" s="5"/>
      <c r="K2663" s="5"/>
      <c r="L2663" s="5"/>
      <c r="M2663" s="4" t="s">
        <v>29</v>
      </c>
      <c r="N2663" s="5"/>
    </row>
    <row r="2664" spans="1:14" ht="14.4" thickBot="1" x14ac:dyDescent="0.35">
      <c r="A2664" s="4" t="s">
        <v>19</v>
      </c>
      <c r="B2664" s="4" t="s">
        <v>56</v>
      </c>
      <c r="C2664" s="4" t="s">
        <v>57</v>
      </c>
      <c r="D2664" s="4" t="s">
        <v>58</v>
      </c>
      <c r="E2664" s="4" t="s">
        <v>23</v>
      </c>
      <c r="F2664" s="4" t="s">
        <v>5541</v>
      </c>
      <c r="G2664" s="4" t="s">
        <v>5542</v>
      </c>
      <c r="H2664" s="4" t="s">
        <v>26</v>
      </c>
      <c r="I2664" s="4" t="s">
        <v>26</v>
      </c>
      <c r="J2664" s="4" t="s">
        <v>27</v>
      </c>
      <c r="K2664" s="4" t="s">
        <v>28</v>
      </c>
      <c r="L2664" s="4" t="s">
        <v>28</v>
      </c>
      <c r="M2664" s="4" t="s">
        <v>29</v>
      </c>
      <c r="N2664" s="4" t="s">
        <v>28</v>
      </c>
    </row>
    <row r="2665" spans="1:14" ht="14.4" thickBot="1" x14ac:dyDescent="0.35">
      <c r="A2665" s="4" t="s">
        <v>19</v>
      </c>
      <c r="B2665" s="4" t="s">
        <v>56</v>
      </c>
      <c r="C2665" s="4" t="s">
        <v>57</v>
      </c>
      <c r="D2665" s="4" t="s">
        <v>58</v>
      </c>
      <c r="E2665" s="4" t="s">
        <v>23</v>
      </c>
      <c r="F2665" s="4" t="s">
        <v>5543</v>
      </c>
      <c r="G2665" s="4" t="s">
        <v>5544</v>
      </c>
      <c r="H2665" s="4" t="s">
        <v>122</v>
      </c>
      <c r="I2665" s="4" t="s">
        <v>94</v>
      </c>
      <c r="J2665" s="4" t="s">
        <v>28</v>
      </c>
      <c r="K2665" s="4" t="s">
        <v>27</v>
      </c>
      <c r="L2665" s="4" t="s">
        <v>28</v>
      </c>
      <c r="M2665" s="4" t="s">
        <v>34</v>
      </c>
      <c r="N2665" s="4" t="s">
        <v>28</v>
      </c>
    </row>
    <row r="2666" spans="1:14" ht="14.4" thickBot="1" x14ac:dyDescent="0.35">
      <c r="A2666" s="4" t="s">
        <v>19</v>
      </c>
      <c r="B2666" s="4" t="s">
        <v>56</v>
      </c>
      <c r="C2666" s="4" t="s">
        <v>850</v>
      </c>
      <c r="D2666" s="4" t="s">
        <v>851</v>
      </c>
      <c r="E2666" s="4" t="s">
        <v>48</v>
      </c>
      <c r="F2666" s="4" t="s">
        <v>852</v>
      </c>
      <c r="G2666" s="4" t="s">
        <v>853</v>
      </c>
      <c r="H2666" s="4" t="s">
        <v>26</v>
      </c>
      <c r="I2666" s="4" t="s">
        <v>38</v>
      </c>
      <c r="J2666" s="4" t="s">
        <v>28</v>
      </c>
      <c r="K2666" s="4" t="s">
        <v>28</v>
      </c>
      <c r="L2666" s="4" t="s">
        <v>27</v>
      </c>
      <c r="M2666" s="4" t="s">
        <v>34</v>
      </c>
      <c r="N2666" s="4" t="s">
        <v>28</v>
      </c>
    </row>
    <row r="2667" spans="1:14" ht="14.4" thickBot="1" x14ac:dyDescent="0.35">
      <c r="A2667" s="4" t="s">
        <v>19</v>
      </c>
      <c r="B2667" s="4" t="s">
        <v>56</v>
      </c>
      <c r="C2667" s="4" t="s">
        <v>850</v>
      </c>
      <c r="D2667" s="4" t="s">
        <v>851</v>
      </c>
      <c r="E2667" s="4" t="s">
        <v>48</v>
      </c>
      <c r="F2667" s="4" t="s">
        <v>2505</v>
      </c>
      <c r="G2667" s="4" t="s">
        <v>2506</v>
      </c>
      <c r="H2667" s="4" t="s">
        <v>26</v>
      </c>
      <c r="I2667" s="4" t="s">
        <v>26</v>
      </c>
      <c r="J2667" s="4" t="s">
        <v>27</v>
      </c>
      <c r="K2667" s="4" t="s">
        <v>28</v>
      </c>
      <c r="L2667" s="4" t="s">
        <v>28</v>
      </c>
      <c r="M2667" s="4" t="s">
        <v>29</v>
      </c>
      <c r="N2667" s="4" t="s">
        <v>28</v>
      </c>
    </row>
    <row r="2668" spans="1:14" ht="14.4" thickBot="1" x14ac:dyDescent="0.35">
      <c r="A2668" s="4" t="s">
        <v>19</v>
      </c>
      <c r="B2668" s="4" t="s">
        <v>1052</v>
      </c>
      <c r="C2668" s="4" t="s">
        <v>2558</v>
      </c>
      <c r="D2668" s="4" t="s">
        <v>2559</v>
      </c>
      <c r="E2668" s="4" t="s">
        <v>23</v>
      </c>
      <c r="F2668" s="4" t="s">
        <v>2560</v>
      </c>
      <c r="G2668" s="4" t="s">
        <v>2561</v>
      </c>
      <c r="H2668" s="4" t="s">
        <v>69</v>
      </c>
      <c r="I2668" s="4" t="s">
        <v>38</v>
      </c>
      <c r="J2668" s="4" t="s">
        <v>28</v>
      </c>
      <c r="K2668" s="4" t="s">
        <v>28</v>
      </c>
      <c r="L2668" s="4" t="s">
        <v>27</v>
      </c>
      <c r="M2668" s="4" t="s">
        <v>34</v>
      </c>
      <c r="N2668" s="4" t="s">
        <v>28</v>
      </c>
    </row>
    <row r="2669" spans="1:14" ht="14.4" thickBot="1" x14ac:dyDescent="0.35">
      <c r="A2669" s="4" t="s">
        <v>19</v>
      </c>
      <c r="B2669" s="4" t="s">
        <v>1052</v>
      </c>
      <c r="C2669" s="4" t="s">
        <v>2558</v>
      </c>
      <c r="D2669" s="4" t="s">
        <v>2559</v>
      </c>
      <c r="E2669" s="4" t="s">
        <v>23</v>
      </c>
      <c r="F2669" s="4" t="s">
        <v>3341</v>
      </c>
      <c r="G2669" s="4" t="s">
        <v>3342</v>
      </c>
      <c r="H2669" s="4" t="s">
        <v>26</v>
      </c>
      <c r="I2669" s="4" t="s">
        <v>69</v>
      </c>
      <c r="J2669" s="4" t="s">
        <v>27</v>
      </c>
      <c r="K2669" s="4" t="s">
        <v>28</v>
      </c>
      <c r="L2669" s="4" t="s">
        <v>28</v>
      </c>
      <c r="M2669" s="4" t="s">
        <v>34</v>
      </c>
      <c r="N2669" s="4" t="s">
        <v>28</v>
      </c>
    </row>
    <row r="2670" spans="1:14" ht="14.4" thickBot="1" x14ac:dyDescent="0.35">
      <c r="A2670" s="4" t="s">
        <v>19</v>
      </c>
      <c r="B2670" s="4" t="s">
        <v>1052</v>
      </c>
      <c r="C2670" s="4" t="s">
        <v>2558</v>
      </c>
      <c r="D2670" s="4" t="s">
        <v>2559</v>
      </c>
      <c r="E2670" s="4" t="s">
        <v>23</v>
      </c>
      <c r="F2670" s="4" t="s">
        <v>5545</v>
      </c>
      <c r="G2670" s="4" t="s">
        <v>5546</v>
      </c>
      <c r="H2670" s="4" t="s">
        <v>122</v>
      </c>
      <c r="I2670" s="4" t="s">
        <v>38</v>
      </c>
      <c r="J2670" s="4" t="s">
        <v>28</v>
      </c>
      <c r="K2670" s="4" t="s">
        <v>28</v>
      </c>
      <c r="L2670" s="4" t="s">
        <v>27</v>
      </c>
      <c r="M2670" s="4" t="s">
        <v>34</v>
      </c>
      <c r="N2670" s="4" t="s">
        <v>28</v>
      </c>
    </row>
    <row r="2671" spans="1:14" ht="14.4" thickBot="1" x14ac:dyDescent="0.35">
      <c r="A2671" s="4" t="s">
        <v>19</v>
      </c>
      <c r="B2671" s="4" t="s">
        <v>1052</v>
      </c>
      <c r="C2671" s="4" t="s">
        <v>1053</v>
      </c>
      <c r="D2671" s="4" t="s">
        <v>1054</v>
      </c>
      <c r="E2671" s="4" t="s">
        <v>48</v>
      </c>
      <c r="F2671" s="4" t="s">
        <v>1055</v>
      </c>
      <c r="G2671" s="4" t="s">
        <v>1056</v>
      </c>
      <c r="H2671" s="4" t="s">
        <v>135</v>
      </c>
      <c r="I2671" s="4" t="s">
        <v>69</v>
      </c>
      <c r="J2671" s="4" t="s">
        <v>27</v>
      </c>
      <c r="K2671" s="4" t="s">
        <v>28</v>
      </c>
      <c r="L2671" s="4" t="s">
        <v>28</v>
      </c>
      <c r="M2671" s="4" t="s">
        <v>34</v>
      </c>
      <c r="N2671" s="4" t="s">
        <v>28</v>
      </c>
    </row>
    <row r="2672" spans="1:14" ht="14.4" thickBot="1" x14ac:dyDescent="0.35">
      <c r="A2672" s="4" t="s">
        <v>19</v>
      </c>
      <c r="B2672" s="4" t="s">
        <v>1052</v>
      </c>
      <c r="C2672" s="4" t="s">
        <v>1053</v>
      </c>
      <c r="D2672" s="4" t="s">
        <v>1054</v>
      </c>
      <c r="E2672" s="4" t="s">
        <v>48</v>
      </c>
      <c r="F2672" s="4" t="s">
        <v>4830</v>
      </c>
      <c r="G2672" s="4" t="s">
        <v>4831</v>
      </c>
      <c r="H2672" s="4" t="s">
        <v>26</v>
      </c>
      <c r="I2672" s="4" t="s">
        <v>26</v>
      </c>
      <c r="J2672" s="4" t="s">
        <v>27</v>
      </c>
      <c r="K2672" s="4" t="s">
        <v>28</v>
      </c>
      <c r="L2672" s="4" t="s">
        <v>28</v>
      </c>
      <c r="M2672" s="4" t="s">
        <v>29</v>
      </c>
      <c r="N2672" s="4" t="s">
        <v>28</v>
      </c>
    </row>
    <row r="2673" spans="1:14" ht="14.4" thickBot="1" x14ac:dyDescent="0.35">
      <c r="A2673" s="4" t="s">
        <v>19</v>
      </c>
      <c r="B2673" s="4" t="s">
        <v>1052</v>
      </c>
      <c r="C2673" s="4" t="s">
        <v>1053</v>
      </c>
      <c r="D2673" s="4" t="s">
        <v>1054</v>
      </c>
      <c r="E2673" s="4" t="s">
        <v>48</v>
      </c>
      <c r="F2673" s="4" t="s">
        <v>4832</v>
      </c>
      <c r="G2673" s="4" t="s">
        <v>4833</v>
      </c>
      <c r="H2673" s="4" t="s">
        <v>122</v>
      </c>
      <c r="I2673" s="4" t="s">
        <v>38</v>
      </c>
      <c r="J2673" s="4" t="s">
        <v>28</v>
      </c>
      <c r="K2673" s="4" t="s">
        <v>28</v>
      </c>
      <c r="L2673" s="4" t="s">
        <v>27</v>
      </c>
      <c r="M2673" s="4" t="s">
        <v>34</v>
      </c>
      <c r="N2673" s="4" t="s">
        <v>28</v>
      </c>
    </row>
    <row r="2674" spans="1:14" ht="14.4" thickBot="1" x14ac:dyDescent="0.35">
      <c r="A2674" s="4" t="s">
        <v>19</v>
      </c>
      <c r="B2674" s="4" t="s">
        <v>1019</v>
      </c>
      <c r="C2674" s="4" t="s">
        <v>1020</v>
      </c>
      <c r="D2674" s="4" t="s">
        <v>1021</v>
      </c>
      <c r="E2674" s="4" t="s">
        <v>23</v>
      </c>
      <c r="F2674" s="4" t="s">
        <v>1022</v>
      </c>
      <c r="G2674" s="4" t="s">
        <v>1023</v>
      </c>
      <c r="H2674" s="4" t="s">
        <v>26</v>
      </c>
      <c r="I2674" s="4" t="s">
        <v>33</v>
      </c>
      <c r="J2674" s="4" t="s">
        <v>27</v>
      </c>
      <c r="K2674" s="4" t="s">
        <v>28</v>
      </c>
      <c r="L2674" s="4" t="s">
        <v>28</v>
      </c>
      <c r="M2674" s="4" t="s">
        <v>34</v>
      </c>
      <c r="N2674" s="4" t="s">
        <v>28</v>
      </c>
    </row>
    <row r="2675" spans="1:14" ht="14.4" thickBot="1" x14ac:dyDescent="0.35">
      <c r="A2675" s="4" t="s">
        <v>19</v>
      </c>
      <c r="B2675" s="4" t="s">
        <v>1019</v>
      </c>
      <c r="C2675" s="4" t="s">
        <v>1020</v>
      </c>
      <c r="D2675" s="4" t="s">
        <v>1021</v>
      </c>
      <c r="E2675" s="4" t="s">
        <v>23</v>
      </c>
      <c r="F2675" s="4" t="s">
        <v>1024</v>
      </c>
      <c r="G2675" s="4" t="s">
        <v>1025</v>
      </c>
      <c r="H2675" s="4" t="s">
        <v>26</v>
      </c>
      <c r="I2675" s="4" t="s">
        <v>33</v>
      </c>
      <c r="J2675" s="4" t="s">
        <v>27</v>
      </c>
      <c r="K2675" s="4" t="s">
        <v>28</v>
      </c>
      <c r="L2675" s="4" t="s">
        <v>28</v>
      </c>
      <c r="M2675" s="4" t="s">
        <v>34</v>
      </c>
      <c r="N2675" s="4" t="s">
        <v>28</v>
      </c>
    </row>
    <row r="2676" spans="1:14" ht="14.4" thickBot="1" x14ac:dyDescent="0.35">
      <c r="A2676" s="4" t="s">
        <v>19</v>
      </c>
      <c r="B2676" s="4" t="s">
        <v>1019</v>
      </c>
      <c r="C2676" s="4" t="s">
        <v>1020</v>
      </c>
      <c r="D2676" s="4" t="s">
        <v>1021</v>
      </c>
      <c r="E2676" s="4" t="s">
        <v>23</v>
      </c>
      <c r="F2676" s="4" t="s">
        <v>1026</v>
      </c>
      <c r="G2676" s="4" t="s">
        <v>1027</v>
      </c>
      <c r="H2676" s="4" t="s">
        <v>37</v>
      </c>
      <c r="I2676" s="4" t="s">
        <v>38</v>
      </c>
      <c r="J2676" s="4" t="s">
        <v>28</v>
      </c>
      <c r="K2676" s="4" t="s">
        <v>28</v>
      </c>
      <c r="L2676" s="4" t="s">
        <v>27</v>
      </c>
      <c r="M2676" s="4" t="s">
        <v>34</v>
      </c>
      <c r="N2676" s="4" t="s">
        <v>28</v>
      </c>
    </row>
    <row r="2677" spans="1:14" ht="14.4" thickBot="1" x14ac:dyDescent="0.35">
      <c r="A2677" s="4" t="s">
        <v>19</v>
      </c>
      <c r="B2677" s="4" t="s">
        <v>1019</v>
      </c>
      <c r="C2677" s="4" t="s">
        <v>1020</v>
      </c>
      <c r="D2677" s="4" t="s">
        <v>1021</v>
      </c>
      <c r="E2677" s="4" t="s">
        <v>23</v>
      </c>
      <c r="F2677" s="4" t="s">
        <v>1894</v>
      </c>
      <c r="G2677" s="4" t="s">
        <v>1895</v>
      </c>
      <c r="H2677" s="4" t="s">
        <v>69</v>
      </c>
      <c r="I2677" s="4" t="s">
        <v>94</v>
      </c>
      <c r="J2677" s="4" t="s">
        <v>28</v>
      </c>
      <c r="K2677" s="4" t="s">
        <v>27</v>
      </c>
      <c r="L2677" s="4" t="s">
        <v>28</v>
      </c>
      <c r="M2677" s="4" t="s">
        <v>34</v>
      </c>
      <c r="N2677" s="4" t="s">
        <v>28</v>
      </c>
    </row>
    <row r="2678" spans="1:14" ht="14.4" thickBot="1" x14ac:dyDescent="0.35">
      <c r="A2678" s="4" t="s">
        <v>19</v>
      </c>
      <c r="B2678" s="4" t="s">
        <v>1019</v>
      </c>
      <c r="C2678" s="4" t="s">
        <v>1020</v>
      </c>
      <c r="D2678" s="4" t="s">
        <v>1021</v>
      </c>
      <c r="E2678" s="4" t="s">
        <v>23</v>
      </c>
      <c r="F2678" s="4" t="s">
        <v>1896</v>
      </c>
      <c r="G2678" s="4" t="s">
        <v>1897</v>
      </c>
      <c r="H2678" s="4" t="s">
        <v>26</v>
      </c>
      <c r="I2678" s="4" t="s">
        <v>26</v>
      </c>
      <c r="J2678" s="4" t="s">
        <v>27</v>
      </c>
      <c r="K2678" s="4" t="s">
        <v>28</v>
      </c>
      <c r="L2678" s="4" t="s">
        <v>28</v>
      </c>
      <c r="M2678" s="4" t="s">
        <v>29</v>
      </c>
      <c r="N2678" s="4" t="s">
        <v>28</v>
      </c>
    </row>
    <row r="2679" spans="1:14" ht="14.4" thickBot="1" x14ac:dyDescent="0.35">
      <c r="A2679" s="4" t="s">
        <v>19</v>
      </c>
      <c r="B2679" s="4" t="s">
        <v>1019</v>
      </c>
      <c r="C2679" s="4" t="s">
        <v>1020</v>
      </c>
      <c r="D2679" s="4" t="s">
        <v>1021</v>
      </c>
      <c r="E2679" s="4" t="s">
        <v>23</v>
      </c>
      <c r="F2679" s="4" t="s">
        <v>2534</v>
      </c>
      <c r="G2679" s="4" t="s">
        <v>2535</v>
      </c>
      <c r="H2679" s="4" t="s">
        <v>26</v>
      </c>
      <c r="I2679" s="4" t="s">
        <v>26</v>
      </c>
      <c r="J2679" s="4" t="s">
        <v>27</v>
      </c>
      <c r="K2679" s="4" t="s">
        <v>28</v>
      </c>
      <c r="L2679" s="4" t="s">
        <v>28</v>
      </c>
      <c r="M2679" s="4" t="s">
        <v>29</v>
      </c>
      <c r="N2679" s="4" t="s">
        <v>28</v>
      </c>
    </row>
    <row r="2680" spans="1:14" ht="14.4" thickBot="1" x14ac:dyDescent="0.35">
      <c r="A2680" s="4" t="s">
        <v>19</v>
      </c>
      <c r="B2680" s="4" t="s">
        <v>1019</v>
      </c>
      <c r="C2680" s="4" t="s">
        <v>1020</v>
      </c>
      <c r="D2680" s="4" t="s">
        <v>1021</v>
      </c>
      <c r="E2680" s="4" t="s">
        <v>23</v>
      </c>
      <c r="F2680" s="4" t="s">
        <v>2536</v>
      </c>
      <c r="G2680" s="4" t="s">
        <v>2537</v>
      </c>
      <c r="H2680" s="4" t="s">
        <v>26</v>
      </c>
      <c r="I2680" s="4" t="s">
        <v>26</v>
      </c>
      <c r="J2680" s="4" t="s">
        <v>27</v>
      </c>
      <c r="K2680" s="4" t="s">
        <v>28</v>
      </c>
      <c r="L2680" s="4" t="s">
        <v>28</v>
      </c>
      <c r="M2680" s="4" t="s">
        <v>29</v>
      </c>
      <c r="N2680" s="4" t="s">
        <v>28</v>
      </c>
    </row>
    <row r="2681" spans="1:14" ht="14.4" thickBot="1" x14ac:dyDescent="0.35">
      <c r="A2681" s="4" t="s">
        <v>19</v>
      </c>
      <c r="B2681" s="4" t="s">
        <v>1019</v>
      </c>
      <c r="C2681" s="4" t="s">
        <v>1020</v>
      </c>
      <c r="D2681" s="4" t="s">
        <v>1021</v>
      </c>
      <c r="E2681" s="4" t="s">
        <v>23</v>
      </c>
      <c r="F2681" s="4" t="s">
        <v>3313</v>
      </c>
      <c r="G2681" s="4" t="s">
        <v>3314</v>
      </c>
      <c r="H2681" s="4" t="s">
        <v>69</v>
      </c>
      <c r="I2681" s="4" t="s">
        <v>38</v>
      </c>
      <c r="J2681" s="4" t="s">
        <v>28</v>
      </c>
      <c r="K2681" s="4" t="s">
        <v>28</v>
      </c>
      <c r="L2681" s="4" t="s">
        <v>27</v>
      </c>
      <c r="M2681" s="4" t="s">
        <v>29</v>
      </c>
      <c r="N2681" s="4" t="s">
        <v>28</v>
      </c>
    </row>
    <row r="2682" spans="1:14" ht="14.4" thickBot="1" x14ac:dyDescent="0.35">
      <c r="A2682" s="4" t="s">
        <v>19</v>
      </c>
      <c r="B2682" s="4" t="s">
        <v>1019</v>
      </c>
      <c r="C2682" s="4" t="s">
        <v>1020</v>
      </c>
      <c r="D2682" s="4" t="s">
        <v>1021</v>
      </c>
      <c r="E2682" s="4" t="s">
        <v>23</v>
      </c>
      <c r="F2682" s="4" t="s">
        <v>4127</v>
      </c>
      <c r="G2682" s="4" t="s">
        <v>4128</v>
      </c>
      <c r="H2682" s="4" t="s">
        <v>26</v>
      </c>
      <c r="I2682" s="4" t="s">
        <v>33</v>
      </c>
      <c r="J2682" s="4" t="s">
        <v>27</v>
      </c>
      <c r="K2682" s="4" t="s">
        <v>28</v>
      </c>
      <c r="L2682" s="4" t="s">
        <v>28</v>
      </c>
      <c r="M2682" s="4" t="s">
        <v>34</v>
      </c>
      <c r="N2682" s="4" t="s">
        <v>28</v>
      </c>
    </row>
    <row r="2683" spans="1:14" ht="14.4" thickBot="1" x14ac:dyDescent="0.35">
      <c r="A2683" s="4" t="s">
        <v>19</v>
      </c>
      <c r="B2683" s="4" t="s">
        <v>1019</v>
      </c>
      <c r="C2683" s="4" t="s">
        <v>1020</v>
      </c>
      <c r="D2683" s="4" t="s">
        <v>1021</v>
      </c>
      <c r="E2683" s="4" t="s">
        <v>23</v>
      </c>
      <c r="F2683" s="4" t="s">
        <v>4129</v>
      </c>
      <c r="G2683" s="4" t="s">
        <v>4130</v>
      </c>
      <c r="H2683" s="4" t="s">
        <v>26</v>
      </c>
      <c r="I2683" s="4" t="s">
        <v>26</v>
      </c>
      <c r="J2683" s="4" t="s">
        <v>27</v>
      </c>
      <c r="K2683" s="4" t="s">
        <v>28</v>
      </c>
      <c r="L2683" s="4" t="s">
        <v>28</v>
      </c>
      <c r="M2683" s="4" t="s">
        <v>29</v>
      </c>
      <c r="N2683" s="4" t="s">
        <v>28</v>
      </c>
    </row>
    <row r="2684" spans="1:14" ht="14.4" thickBot="1" x14ac:dyDescent="0.35">
      <c r="A2684" s="4" t="s">
        <v>19</v>
      </c>
      <c r="B2684" s="4" t="s">
        <v>1019</v>
      </c>
      <c r="C2684" s="4" t="s">
        <v>1020</v>
      </c>
      <c r="D2684" s="4" t="s">
        <v>1021</v>
      </c>
      <c r="E2684" s="4" t="s">
        <v>23</v>
      </c>
      <c r="F2684" s="4" t="s">
        <v>4812</v>
      </c>
      <c r="G2684" s="4" t="s">
        <v>4813</v>
      </c>
      <c r="H2684" s="4" t="s">
        <v>122</v>
      </c>
      <c r="I2684" s="4" t="s">
        <v>38</v>
      </c>
      <c r="J2684" s="4" t="s">
        <v>28</v>
      </c>
      <c r="K2684" s="4" t="s">
        <v>28</v>
      </c>
      <c r="L2684" s="4" t="s">
        <v>27</v>
      </c>
      <c r="M2684" s="4" t="s">
        <v>34</v>
      </c>
      <c r="N2684" s="4" t="s">
        <v>28</v>
      </c>
    </row>
    <row r="2685" spans="1:14" ht="14.4" thickBot="1" x14ac:dyDescent="0.35">
      <c r="A2685" s="4" t="s">
        <v>19</v>
      </c>
      <c r="B2685" s="4" t="s">
        <v>1019</v>
      </c>
      <c r="C2685" s="4" t="s">
        <v>1020</v>
      </c>
      <c r="D2685" s="4" t="s">
        <v>1021</v>
      </c>
      <c r="E2685" s="4" t="s">
        <v>23</v>
      </c>
      <c r="F2685" s="4" t="s">
        <v>4814</v>
      </c>
      <c r="G2685" s="4" t="s">
        <v>4815</v>
      </c>
      <c r="H2685" s="4" t="s">
        <v>26</v>
      </c>
      <c r="I2685" s="4" t="s">
        <v>33</v>
      </c>
      <c r="J2685" s="4" t="s">
        <v>27</v>
      </c>
      <c r="K2685" s="4" t="s">
        <v>28</v>
      </c>
      <c r="L2685" s="4" t="s">
        <v>28</v>
      </c>
      <c r="M2685" s="4" t="s">
        <v>34</v>
      </c>
      <c r="N2685" s="4" t="s">
        <v>28</v>
      </c>
    </row>
    <row r="2686" spans="1:14" ht="14.4" thickBot="1" x14ac:dyDescent="0.35">
      <c r="A2686" s="4" t="s">
        <v>19</v>
      </c>
      <c r="B2686" s="4" t="s">
        <v>1019</v>
      </c>
      <c r="C2686" s="4" t="s">
        <v>1020</v>
      </c>
      <c r="D2686" s="4" t="s">
        <v>1021</v>
      </c>
      <c r="E2686" s="4" t="s">
        <v>23</v>
      </c>
      <c r="F2686" s="4" t="s">
        <v>5521</v>
      </c>
      <c r="G2686" s="4" t="s">
        <v>5522</v>
      </c>
      <c r="H2686" s="4" t="s">
        <v>26</v>
      </c>
      <c r="I2686" s="4" t="s">
        <v>33</v>
      </c>
      <c r="J2686" s="4" t="s">
        <v>27</v>
      </c>
      <c r="K2686" s="4" t="s">
        <v>28</v>
      </c>
      <c r="L2686" s="4" t="s">
        <v>28</v>
      </c>
      <c r="M2686" s="4" t="s">
        <v>34</v>
      </c>
      <c r="N2686" s="4" t="s">
        <v>28</v>
      </c>
    </row>
    <row r="2687" spans="1:14" ht="14.4" thickBot="1" x14ac:dyDescent="0.35">
      <c r="A2687" s="4" t="s">
        <v>19</v>
      </c>
      <c r="B2687" s="4" t="s">
        <v>1019</v>
      </c>
      <c r="C2687" s="4" t="s">
        <v>1020</v>
      </c>
      <c r="D2687" s="4" t="s">
        <v>1021</v>
      </c>
      <c r="E2687" s="4" t="s">
        <v>23</v>
      </c>
      <c r="F2687" s="4" t="s">
        <v>5525</v>
      </c>
      <c r="G2687" s="4" t="s">
        <v>5526</v>
      </c>
      <c r="H2687" s="4" t="s">
        <v>26</v>
      </c>
      <c r="I2687" s="4" t="s">
        <v>26</v>
      </c>
      <c r="J2687" s="4" t="s">
        <v>27</v>
      </c>
      <c r="K2687" s="4" t="s">
        <v>28</v>
      </c>
      <c r="L2687" s="4" t="s">
        <v>28</v>
      </c>
      <c r="M2687" s="4" t="s">
        <v>130</v>
      </c>
      <c r="N2687" s="4" t="s">
        <v>28</v>
      </c>
    </row>
    <row r="2688" spans="1:14" ht="14.4" thickBot="1" x14ac:dyDescent="0.35">
      <c r="A2688" s="4" t="s">
        <v>19</v>
      </c>
      <c r="B2688" s="4" t="s">
        <v>1019</v>
      </c>
      <c r="C2688" s="4" t="s">
        <v>1020</v>
      </c>
      <c r="D2688" s="4" t="s">
        <v>1021</v>
      </c>
      <c r="E2688" s="4" t="s">
        <v>23</v>
      </c>
      <c r="F2688" s="4" t="s">
        <v>6221</v>
      </c>
      <c r="G2688" s="4" t="s">
        <v>6222</v>
      </c>
      <c r="H2688" s="4" t="s">
        <v>135</v>
      </c>
      <c r="I2688" s="4" t="s">
        <v>33</v>
      </c>
      <c r="J2688" s="4" t="s">
        <v>27</v>
      </c>
      <c r="K2688" s="4" t="s">
        <v>28</v>
      </c>
      <c r="L2688" s="4" t="s">
        <v>28</v>
      </c>
      <c r="M2688" s="4" t="s">
        <v>34</v>
      </c>
      <c r="N2688" s="4" t="s">
        <v>28</v>
      </c>
    </row>
    <row r="2689" spans="1:14" ht="14.4" thickBot="1" x14ac:dyDescent="0.35">
      <c r="A2689" s="4" t="s">
        <v>19</v>
      </c>
      <c r="B2689" s="4" t="s">
        <v>1019</v>
      </c>
      <c r="C2689" s="4" t="s">
        <v>1020</v>
      </c>
      <c r="D2689" s="4" t="s">
        <v>1021</v>
      </c>
      <c r="E2689" s="4" t="s">
        <v>23</v>
      </c>
      <c r="F2689" s="4" t="s">
        <v>6229</v>
      </c>
      <c r="G2689" s="4" t="s">
        <v>6230</v>
      </c>
      <c r="H2689" s="4" t="s">
        <v>26</v>
      </c>
      <c r="I2689" s="4" t="s">
        <v>26</v>
      </c>
      <c r="J2689" s="4" t="s">
        <v>27</v>
      </c>
      <c r="K2689" s="4" t="s">
        <v>28</v>
      </c>
      <c r="L2689" s="4" t="s">
        <v>28</v>
      </c>
      <c r="M2689" s="4" t="s">
        <v>29</v>
      </c>
      <c r="N2689" s="4" t="s">
        <v>28</v>
      </c>
    </row>
    <row r="2690" spans="1:14" ht="14.4" thickBot="1" x14ac:dyDescent="0.35">
      <c r="A2690" s="4" t="s">
        <v>19</v>
      </c>
      <c r="B2690" s="4" t="s">
        <v>972</v>
      </c>
      <c r="C2690" s="4" t="s">
        <v>3315</v>
      </c>
      <c r="D2690" s="4" t="s">
        <v>3316</v>
      </c>
      <c r="E2690" s="4" t="s">
        <v>48</v>
      </c>
      <c r="F2690" s="4" t="s">
        <v>3317</v>
      </c>
      <c r="G2690" s="4" t="s">
        <v>3318</v>
      </c>
      <c r="H2690" s="4" t="s">
        <v>26</v>
      </c>
      <c r="I2690" s="4" t="s">
        <v>26</v>
      </c>
      <c r="J2690" s="4" t="s">
        <v>27</v>
      </c>
      <c r="K2690" s="4" t="s">
        <v>28</v>
      </c>
      <c r="L2690" s="4" t="s">
        <v>28</v>
      </c>
      <c r="M2690" s="4" t="s">
        <v>130</v>
      </c>
      <c r="N2690" s="4" t="s">
        <v>28</v>
      </c>
    </row>
    <row r="2691" spans="1:14" ht="14.4" thickBot="1" x14ac:dyDescent="0.35">
      <c r="A2691" s="4" t="s">
        <v>19</v>
      </c>
      <c r="B2691" s="4" t="s">
        <v>972</v>
      </c>
      <c r="C2691" s="4" t="s">
        <v>3315</v>
      </c>
      <c r="D2691" s="4" t="s">
        <v>3316</v>
      </c>
      <c r="E2691" s="4" t="s">
        <v>48</v>
      </c>
      <c r="F2691" s="4" t="s">
        <v>5523</v>
      </c>
      <c r="G2691" s="4" t="s">
        <v>5524</v>
      </c>
      <c r="H2691" s="4" t="s">
        <v>69</v>
      </c>
      <c r="I2691" s="4" t="s">
        <v>38</v>
      </c>
      <c r="J2691" s="4" t="s">
        <v>28</v>
      </c>
      <c r="K2691" s="4" t="s">
        <v>28</v>
      </c>
      <c r="L2691" s="4" t="s">
        <v>27</v>
      </c>
      <c r="M2691" s="4" t="s">
        <v>34</v>
      </c>
      <c r="N2691" s="4" t="s">
        <v>28</v>
      </c>
    </row>
    <row r="2692" spans="1:14" ht="14.4" thickBot="1" x14ac:dyDescent="0.35">
      <c r="A2692" s="4" t="s">
        <v>19</v>
      </c>
      <c r="B2692" s="4" t="s">
        <v>972</v>
      </c>
      <c r="C2692" s="4" t="s">
        <v>3315</v>
      </c>
      <c r="D2692" s="4" t="s">
        <v>3316</v>
      </c>
      <c r="E2692" s="4" t="s">
        <v>48</v>
      </c>
      <c r="F2692" s="4" t="s">
        <v>6223</v>
      </c>
      <c r="G2692" s="4" t="s">
        <v>6224</v>
      </c>
      <c r="H2692" s="4" t="s">
        <v>190</v>
      </c>
      <c r="I2692" s="4" t="s">
        <v>33</v>
      </c>
      <c r="J2692" s="4" t="s">
        <v>27</v>
      </c>
      <c r="K2692" s="4" t="s">
        <v>28</v>
      </c>
      <c r="L2692" s="4" t="s">
        <v>28</v>
      </c>
      <c r="M2692" s="4" t="s">
        <v>34</v>
      </c>
      <c r="N2692" s="4" t="s">
        <v>28</v>
      </c>
    </row>
    <row r="2693" spans="1:14" ht="14.4" thickBot="1" x14ac:dyDescent="0.35">
      <c r="A2693" s="4" t="s">
        <v>19</v>
      </c>
      <c r="B2693" s="4" t="s">
        <v>972</v>
      </c>
      <c r="C2693" s="4" t="s">
        <v>973</v>
      </c>
      <c r="D2693" s="4" t="s">
        <v>974</v>
      </c>
      <c r="E2693" s="4" t="s">
        <v>23</v>
      </c>
      <c r="F2693" s="4" t="s">
        <v>975</v>
      </c>
      <c r="G2693" s="4" t="s">
        <v>976</v>
      </c>
      <c r="H2693" s="4" t="s">
        <v>26</v>
      </c>
      <c r="I2693" s="4" t="s">
        <v>26</v>
      </c>
      <c r="J2693" s="4" t="s">
        <v>27</v>
      </c>
      <c r="K2693" s="4" t="s">
        <v>28</v>
      </c>
      <c r="L2693" s="4" t="s">
        <v>28</v>
      </c>
      <c r="M2693" s="4" t="s">
        <v>29</v>
      </c>
      <c r="N2693" s="4" t="s">
        <v>28</v>
      </c>
    </row>
    <row r="2694" spans="1:14" ht="14.4" thickBot="1" x14ac:dyDescent="0.35">
      <c r="A2694" s="4" t="s">
        <v>19</v>
      </c>
      <c r="B2694" s="4" t="s">
        <v>972</v>
      </c>
      <c r="C2694" s="4" t="s">
        <v>973</v>
      </c>
      <c r="D2694" s="4" t="s">
        <v>974</v>
      </c>
      <c r="E2694" s="4" t="s">
        <v>23</v>
      </c>
      <c r="F2694" s="4" t="s">
        <v>1738</v>
      </c>
      <c r="G2694" s="4" t="s">
        <v>1739</v>
      </c>
      <c r="H2694" s="4" t="s">
        <v>37</v>
      </c>
      <c r="I2694" s="4" t="s">
        <v>38</v>
      </c>
      <c r="J2694" s="4" t="s">
        <v>28</v>
      </c>
      <c r="K2694" s="4" t="s">
        <v>28</v>
      </c>
      <c r="L2694" s="4" t="s">
        <v>27</v>
      </c>
      <c r="M2694" s="4" t="s">
        <v>34</v>
      </c>
      <c r="N2694" s="4" t="s">
        <v>28</v>
      </c>
    </row>
    <row r="2695" spans="1:14" ht="14.4" thickBot="1" x14ac:dyDescent="0.35">
      <c r="A2695" s="4" t="s">
        <v>19</v>
      </c>
      <c r="B2695" s="4" t="s">
        <v>972</v>
      </c>
      <c r="C2695" s="4" t="s">
        <v>973</v>
      </c>
      <c r="D2695" s="4" t="s">
        <v>974</v>
      </c>
      <c r="E2695" s="4" t="s">
        <v>23</v>
      </c>
      <c r="F2695" s="4" t="s">
        <v>1850</v>
      </c>
      <c r="G2695" s="4" t="s">
        <v>1851</v>
      </c>
      <c r="H2695" s="4" t="s">
        <v>26</v>
      </c>
      <c r="I2695" s="4" t="s">
        <v>116</v>
      </c>
      <c r="J2695" s="4" t="s">
        <v>27</v>
      </c>
      <c r="K2695" s="4" t="s">
        <v>28</v>
      </c>
      <c r="L2695" s="4" t="s">
        <v>28</v>
      </c>
      <c r="M2695" s="4" t="s">
        <v>29</v>
      </c>
      <c r="N2695" s="4" t="s">
        <v>28</v>
      </c>
    </row>
    <row r="2696" spans="1:14" ht="14.4" thickBot="1" x14ac:dyDescent="0.35">
      <c r="A2696" s="4" t="s">
        <v>19</v>
      </c>
      <c r="B2696" s="4" t="s">
        <v>972</v>
      </c>
      <c r="C2696" s="4" t="s">
        <v>973</v>
      </c>
      <c r="D2696" s="4" t="s">
        <v>974</v>
      </c>
      <c r="E2696" s="4" t="s">
        <v>23</v>
      </c>
      <c r="F2696" s="4" t="s">
        <v>2424</v>
      </c>
      <c r="G2696" s="4" t="s">
        <v>2425</v>
      </c>
      <c r="H2696" s="4" t="s">
        <v>26</v>
      </c>
      <c r="I2696" s="4" t="s">
        <v>33</v>
      </c>
      <c r="J2696" s="4" t="s">
        <v>27</v>
      </c>
      <c r="K2696" s="4" t="s">
        <v>28</v>
      </c>
      <c r="L2696" s="4" t="s">
        <v>28</v>
      </c>
      <c r="M2696" s="4" t="s">
        <v>34</v>
      </c>
      <c r="N2696" s="4" t="s">
        <v>28</v>
      </c>
    </row>
    <row r="2697" spans="1:14" ht="14.4" thickBot="1" x14ac:dyDescent="0.35">
      <c r="A2697" s="4" t="s">
        <v>19</v>
      </c>
      <c r="B2697" s="4" t="s">
        <v>972</v>
      </c>
      <c r="C2697" s="4" t="s">
        <v>973</v>
      </c>
      <c r="D2697" s="4" t="s">
        <v>974</v>
      </c>
      <c r="E2697" s="4" t="s">
        <v>23</v>
      </c>
      <c r="F2697" s="4" t="s">
        <v>3996</v>
      </c>
      <c r="G2697" s="4" t="s">
        <v>3997</v>
      </c>
      <c r="H2697" s="4" t="s">
        <v>26</v>
      </c>
      <c r="I2697" s="4" t="s">
        <v>33</v>
      </c>
      <c r="J2697" s="4" t="s">
        <v>27</v>
      </c>
      <c r="K2697" s="4" t="s">
        <v>28</v>
      </c>
      <c r="L2697" s="4" t="s">
        <v>28</v>
      </c>
      <c r="M2697" s="4" t="s">
        <v>34</v>
      </c>
      <c r="N2697" s="4" t="s">
        <v>28</v>
      </c>
    </row>
    <row r="2698" spans="1:14" ht="14.4" thickBot="1" x14ac:dyDescent="0.35">
      <c r="A2698" s="4" t="s">
        <v>19</v>
      </c>
      <c r="B2698" s="4" t="s">
        <v>972</v>
      </c>
      <c r="C2698" s="4" t="s">
        <v>973</v>
      </c>
      <c r="D2698" s="4" t="s">
        <v>974</v>
      </c>
      <c r="E2698" s="4" t="s">
        <v>23</v>
      </c>
      <c r="F2698" s="4" t="s">
        <v>4076</v>
      </c>
      <c r="G2698" s="4" t="s">
        <v>4077</v>
      </c>
      <c r="H2698" s="4" t="s">
        <v>26</v>
      </c>
      <c r="I2698" s="4" t="s">
        <v>26</v>
      </c>
      <c r="J2698" s="4" t="s">
        <v>27</v>
      </c>
      <c r="K2698" s="4" t="s">
        <v>28</v>
      </c>
      <c r="L2698" s="4" t="s">
        <v>28</v>
      </c>
      <c r="M2698" s="4" t="s">
        <v>29</v>
      </c>
      <c r="N2698" s="4" t="s">
        <v>28</v>
      </c>
    </row>
    <row r="2699" spans="1:14" ht="14.4" thickBot="1" x14ac:dyDescent="0.35">
      <c r="A2699" s="4" t="s">
        <v>19</v>
      </c>
      <c r="B2699" s="4" t="s">
        <v>972</v>
      </c>
      <c r="C2699" s="4" t="s">
        <v>973</v>
      </c>
      <c r="D2699" s="4" t="s">
        <v>974</v>
      </c>
      <c r="E2699" s="4" t="s">
        <v>23</v>
      </c>
      <c r="F2699" s="4" t="s">
        <v>4690</v>
      </c>
      <c r="G2699" s="4" t="s">
        <v>1313</v>
      </c>
      <c r="H2699" s="4" t="s">
        <v>26</v>
      </c>
      <c r="I2699" s="4" t="s">
        <v>33</v>
      </c>
      <c r="J2699" s="4" t="s">
        <v>27</v>
      </c>
      <c r="K2699" s="4" t="s">
        <v>28</v>
      </c>
      <c r="L2699" s="4" t="s">
        <v>28</v>
      </c>
      <c r="M2699" s="4" t="s">
        <v>34</v>
      </c>
      <c r="N2699" s="4" t="s">
        <v>28</v>
      </c>
    </row>
    <row r="2700" spans="1:14" ht="14.4" thickBot="1" x14ac:dyDescent="0.35">
      <c r="A2700" s="4" t="s">
        <v>19</v>
      </c>
      <c r="B2700" s="4" t="s">
        <v>972</v>
      </c>
      <c r="C2700" s="4" t="s">
        <v>973</v>
      </c>
      <c r="D2700" s="4" t="s">
        <v>974</v>
      </c>
      <c r="E2700" s="4" t="s">
        <v>23</v>
      </c>
      <c r="F2700" s="4" t="s">
        <v>4781</v>
      </c>
      <c r="G2700" s="4" t="s">
        <v>4782</v>
      </c>
      <c r="H2700" s="4" t="s">
        <v>26</v>
      </c>
      <c r="I2700" s="4" t="s">
        <v>69</v>
      </c>
      <c r="J2700" s="4" t="s">
        <v>27</v>
      </c>
      <c r="K2700" s="4" t="s">
        <v>28</v>
      </c>
      <c r="L2700" s="4" t="s">
        <v>28</v>
      </c>
      <c r="M2700" s="4" t="s">
        <v>29</v>
      </c>
      <c r="N2700" s="4" t="s">
        <v>28</v>
      </c>
    </row>
    <row r="2701" spans="1:14" ht="14.4" thickBot="1" x14ac:dyDescent="0.35">
      <c r="A2701" s="4" t="s">
        <v>19</v>
      </c>
      <c r="B2701" s="4" t="s">
        <v>972</v>
      </c>
      <c r="C2701" s="4" t="s">
        <v>973</v>
      </c>
      <c r="D2701" s="4" t="s">
        <v>974</v>
      </c>
      <c r="E2701" s="4" t="s">
        <v>23</v>
      </c>
      <c r="F2701" s="4" t="s">
        <v>4783</v>
      </c>
      <c r="G2701" s="4" t="s">
        <v>4784</v>
      </c>
      <c r="H2701" s="4" t="s">
        <v>26</v>
      </c>
      <c r="I2701" s="4" t="s">
        <v>26</v>
      </c>
      <c r="J2701" s="4" t="s">
        <v>27</v>
      </c>
      <c r="K2701" s="4" t="s">
        <v>28</v>
      </c>
      <c r="L2701" s="4" t="s">
        <v>28</v>
      </c>
      <c r="M2701" s="4" t="s">
        <v>29</v>
      </c>
      <c r="N2701" s="4" t="s">
        <v>28</v>
      </c>
    </row>
    <row r="2702" spans="1:14" ht="14.4" thickBot="1" x14ac:dyDescent="0.35">
      <c r="A2702" s="4" t="s">
        <v>19</v>
      </c>
      <c r="B2702" s="4" t="s">
        <v>972</v>
      </c>
      <c r="C2702" s="4" t="s">
        <v>973</v>
      </c>
      <c r="D2702" s="4" t="s">
        <v>974</v>
      </c>
      <c r="E2702" s="4" t="s">
        <v>23</v>
      </c>
      <c r="F2702" s="4" t="s">
        <v>6083</v>
      </c>
      <c r="G2702" s="4" t="s">
        <v>6084</v>
      </c>
      <c r="H2702" s="4" t="s">
        <v>69</v>
      </c>
      <c r="I2702" s="4" t="s">
        <v>94</v>
      </c>
      <c r="J2702" s="4" t="s">
        <v>28</v>
      </c>
      <c r="K2702" s="4" t="s">
        <v>27</v>
      </c>
      <c r="L2702" s="4" t="s">
        <v>28</v>
      </c>
      <c r="M2702" s="4" t="s">
        <v>34</v>
      </c>
      <c r="N2702" s="4" t="s">
        <v>28</v>
      </c>
    </row>
    <row r="2703" spans="1:14" ht="14.4" thickBot="1" x14ac:dyDescent="0.35">
      <c r="A2703" s="4" t="s">
        <v>19</v>
      </c>
      <c r="B2703" s="4" t="s">
        <v>854</v>
      </c>
      <c r="C2703" s="4" t="s">
        <v>2538</v>
      </c>
      <c r="D2703" s="4" t="s">
        <v>2539</v>
      </c>
      <c r="E2703" s="4" t="s">
        <v>23</v>
      </c>
      <c r="F2703" s="4" t="s">
        <v>2540</v>
      </c>
      <c r="G2703" s="4" t="s">
        <v>2541</v>
      </c>
      <c r="H2703" s="4" t="s">
        <v>26</v>
      </c>
      <c r="I2703" s="4" t="s">
        <v>26</v>
      </c>
      <c r="J2703" s="4" t="s">
        <v>27</v>
      </c>
      <c r="K2703" s="4" t="s">
        <v>28</v>
      </c>
      <c r="L2703" s="4" t="s">
        <v>28</v>
      </c>
      <c r="M2703" s="4" t="s">
        <v>130</v>
      </c>
      <c r="N2703" s="4" t="s">
        <v>28</v>
      </c>
    </row>
    <row r="2704" spans="1:14" ht="14.4" thickBot="1" x14ac:dyDescent="0.35">
      <c r="A2704" s="4" t="s">
        <v>19</v>
      </c>
      <c r="B2704" s="4" t="s">
        <v>854</v>
      </c>
      <c r="C2704" s="4" t="s">
        <v>2538</v>
      </c>
      <c r="D2704" s="4" t="s">
        <v>2539</v>
      </c>
      <c r="E2704" s="4" t="s">
        <v>23</v>
      </c>
      <c r="F2704" s="4" t="s">
        <v>6225</v>
      </c>
      <c r="G2704" s="4" t="s">
        <v>6226</v>
      </c>
      <c r="H2704" s="4" t="s">
        <v>26</v>
      </c>
      <c r="I2704" s="4" t="s">
        <v>94</v>
      </c>
      <c r="J2704" s="4" t="s">
        <v>27</v>
      </c>
      <c r="K2704" s="4" t="s">
        <v>28</v>
      </c>
      <c r="L2704" s="4" t="s">
        <v>28</v>
      </c>
      <c r="M2704" s="4" t="s">
        <v>34</v>
      </c>
      <c r="N2704" s="4" t="s">
        <v>28</v>
      </c>
    </row>
    <row r="2705" spans="1:14" ht="14.4" thickBot="1" x14ac:dyDescent="0.35">
      <c r="A2705" s="4" t="s">
        <v>19</v>
      </c>
      <c r="B2705" s="4" t="s">
        <v>854</v>
      </c>
      <c r="C2705" s="4" t="s">
        <v>2538</v>
      </c>
      <c r="D2705" s="4" t="s">
        <v>2539</v>
      </c>
      <c r="E2705" s="4" t="s">
        <v>23</v>
      </c>
      <c r="F2705" s="4" t="s">
        <v>6227</v>
      </c>
      <c r="G2705" s="4" t="s">
        <v>6228</v>
      </c>
      <c r="H2705" s="4" t="s">
        <v>37</v>
      </c>
      <c r="I2705" s="4" t="s">
        <v>38</v>
      </c>
      <c r="J2705" s="4" t="s">
        <v>28</v>
      </c>
      <c r="K2705" s="4" t="s">
        <v>28</v>
      </c>
      <c r="L2705" s="4" t="s">
        <v>27</v>
      </c>
      <c r="M2705" s="4" t="s">
        <v>34</v>
      </c>
      <c r="N2705" s="4" t="s">
        <v>28</v>
      </c>
    </row>
    <row r="2706" spans="1:14" ht="14.4" thickBot="1" x14ac:dyDescent="0.35">
      <c r="A2706" s="4" t="s">
        <v>19</v>
      </c>
      <c r="B2706" s="4" t="s">
        <v>854</v>
      </c>
      <c r="C2706" s="4" t="s">
        <v>2538</v>
      </c>
      <c r="D2706" s="4" t="s">
        <v>2539</v>
      </c>
      <c r="E2706" s="4" t="s">
        <v>23</v>
      </c>
      <c r="F2706" s="4" t="s">
        <v>6231</v>
      </c>
      <c r="G2706" s="4" t="s">
        <v>6232</v>
      </c>
      <c r="H2706" s="4" t="s">
        <v>26</v>
      </c>
      <c r="I2706" s="4" t="s">
        <v>26</v>
      </c>
      <c r="J2706" s="4" t="s">
        <v>27</v>
      </c>
      <c r="K2706" s="4" t="s">
        <v>28</v>
      </c>
      <c r="L2706" s="4" t="s">
        <v>28</v>
      </c>
      <c r="M2706" s="4" t="s">
        <v>29</v>
      </c>
      <c r="N2706" s="4" t="s">
        <v>28</v>
      </c>
    </row>
    <row r="2707" spans="1:14" ht="14.4" thickBot="1" x14ac:dyDescent="0.35">
      <c r="A2707" s="4" t="s">
        <v>19</v>
      </c>
      <c r="B2707" s="4" t="s">
        <v>854</v>
      </c>
      <c r="C2707" s="4" t="s">
        <v>3309</v>
      </c>
      <c r="D2707" s="4" t="s">
        <v>3310</v>
      </c>
      <c r="E2707" s="4" t="s">
        <v>48</v>
      </c>
      <c r="F2707" s="4" t="s">
        <v>3311</v>
      </c>
      <c r="G2707" s="4" t="s">
        <v>3312</v>
      </c>
      <c r="H2707" s="4" t="s">
        <v>69</v>
      </c>
      <c r="I2707" s="4" t="s">
        <v>38</v>
      </c>
      <c r="J2707" s="4" t="s">
        <v>28</v>
      </c>
      <c r="K2707" s="4" t="s">
        <v>28</v>
      </c>
      <c r="L2707" s="4" t="s">
        <v>27</v>
      </c>
      <c r="M2707" s="4" t="s">
        <v>34</v>
      </c>
      <c r="N2707" s="4" t="s">
        <v>28</v>
      </c>
    </row>
    <row r="2708" spans="1:14" ht="14.4" thickBot="1" x14ac:dyDescent="0.35">
      <c r="A2708" s="4" t="s">
        <v>19</v>
      </c>
      <c r="B2708" s="4" t="s">
        <v>854</v>
      </c>
      <c r="C2708" s="4" t="s">
        <v>3309</v>
      </c>
      <c r="D2708" s="4" t="s">
        <v>3310</v>
      </c>
      <c r="E2708" s="4" t="s">
        <v>48</v>
      </c>
      <c r="F2708" s="4" t="s">
        <v>4816</v>
      </c>
      <c r="G2708" s="4" t="s">
        <v>4817</v>
      </c>
      <c r="H2708" s="4" t="s">
        <v>26</v>
      </c>
      <c r="I2708" s="4" t="s">
        <v>33</v>
      </c>
      <c r="J2708" s="4" t="s">
        <v>27</v>
      </c>
      <c r="K2708" s="4" t="s">
        <v>28</v>
      </c>
      <c r="L2708" s="4" t="s">
        <v>28</v>
      </c>
      <c r="M2708" s="4" t="s">
        <v>34</v>
      </c>
      <c r="N2708" s="4" t="s">
        <v>28</v>
      </c>
    </row>
    <row r="2709" spans="1:14" ht="14.4" thickBot="1" x14ac:dyDescent="0.35">
      <c r="A2709" s="4" t="s">
        <v>19</v>
      </c>
      <c r="B2709" s="4" t="s">
        <v>854</v>
      </c>
      <c r="C2709" s="4" t="s">
        <v>1028</v>
      </c>
      <c r="D2709" s="4" t="s">
        <v>1029</v>
      </c>
      <c r="E2709" s="4" t="s">
        <v>48</v>
      </c>
      <c r="F2709" s="4" t="s">
        <v>1030</v>
      </c>
      <c r="G2709" s="4" t="s">
        <v>1031</v>
      </c>
      <c r="H2709" s="4" t="s">
        <v>69</v>
      </c>
      <c r="I2709" s="4" t="s">
        <v>38</v>
      </c>
      <c r="J2709" s="4" t="s">
        <v>28</v>
      </c>
      <c r="K2709" s="4" t="s">
        <v>28</v>
      </c>
      <c r="L2709" s="4" t="s">
        <v>27</v>
      </c>
      <c r="M2709" s="4" t="s">
        <v>34</v>
      </c>
      <c r="N2709" s="4" t="s">
        <v>28</v>
      </c>
    </row>
    <row r="2710" spans="1:14" ht="14.4" thickBot="1" x14ac:dyDescent="0.35">
      <c r="A2710" s="4" t="s">
        <v>19</v>
      </c>
      <c r="B2710" s="4" t="s">
        <v>854</v>
      </c>
      <c r="C2710" s="4" t="s">
        <v>1028</v>
      </c>
      <c r="D2710" s="4" t="s">
        <v>1029</v>
      </c>
      <c r="E2710" s="4" t="s">
        <v>48</v>
      </c>
      <c r="F2710" s="4" t="s">
        <v>5527</v>
      </c>
      <c r="G2710" s="4" t="s">
        <v>5528</v>
      </c>
      <c r="H2710" s="4" t="s">
        <v>26</v>
      </c>
      <c r="I2710" s="4" t="s">
        <v>33</v>
      </c>
      <c r="J2710" s="4" t="s">
        <v>27</v>
      </c>
      <c r="K2710" s="4" t="s">
        <v>28</v>
      </c>
      <c r="L2710" s="4" t="s">
        <v>28</v>
      </c>
      <c r="M2710" s="4" t="s">
        <v>34</v>
      </c>
      <c r="N2710" s="4" t="s">
        <v>28</v>
      </c>
    </row>
    <row r="2711" spans="1:14" ht="14.4" thickBot="1" x14ac:dyDescent="0.35">
      <c r="A2711" s="4" t="s">
        <v>19</v>
      </c>
      <c r="B2711" s="4" t="s">
        <v>854</v>
      </c>
      <c r="C2711" s="4" t="s">
        <v>2542</v>
      </c>
      <c r="D2711" s="4" t="s">
        <v>2543</v>
      </c>
      <c r="E2711" s="4" t="s">
        <v>48</v>
      </c>
      <c r="F2711" s="4" t="s">
        <v>2544</v>
      </c>
      <c r="G2711" s="4" t="s">
        <v>2545</v>
      </c>
      <c r="H2711" s="4" t="s">
        <v>69</v>
      </c>
      <c r="I2711" s="4" t="s">
        <v>94</v>
      </c>
      <c r="J2711" s="4" t="s">
        <v>28</v>
      </c>
      <c r="K2711" s="4" t="s">
        <v>27</v>
      </c>
      <c r="L2711" s="4" t="s">
        <v>28</v>
      </c>
      <c r="M2711" s="4" t="s">
        <v>34</v>
      </c>
      <c r="N2711" s="4" t="s">
        <v>28</v>
      </c>
    </row>
    <row r="2712" spans="1:14" ht="14.4" thickBot="1" x14ac:dyDescent="0.35">
      <c r="A2712" s="4" t="s">
        <v>19</v>
      </c>
      <c r="B2712" s="4" t="s">
        <v>854</v>
      </c>
      <c r="C2712" s="4" t="s">
        <v>2542</v>
      </c>
      <c r="D2712" s="4" t="s">
        <v>2543</v>
      </c>
      <c r="E2712" s="4" t="s">
        <v>48</v>
      </c>
      <c r="F2712" s="4" t="s">
        <v>3319</v>
      </c>
      <c r="G2712" s="4" t="s">
        <v>3320</v>
      </c>
      <c r="H2712" s="4" t="s">
        <v>37</v>
      </c>
      <c r="I2712" s="4" t="s">
        <v>38</v>
      </c>
      <c r="J2712" s="4" t="s">
        <v>28</v>
      </c>
      <c r="K2712" s="4" t="s">
        <v>28</v>
      </c>
      <c r="L2712" s="4" t="s">
        <v>27</v>
      </c>
      <c r="M2712" s="4" t="s">
        <v>34</v>
      </c>
      <c r="N2712" s="4" t="s">
        <v>28</v>
      </c>
    </row>
    <row r="2713" spans="1:14" ht="14.4" thickBot="1" x14ac:dyDescent="0.35">
      <c r="A2713" s="4" t="s">
        <v>19</v>
      </c>
      <c r="B2713" s="4" t="s">
        <v>854</v>
      </c>
      <c r="C2713" s="4" t="s">
        <v>2542</v>
      </c>
      <c r="D2713" s="4" t="s">
        <v>2543</v>
      </c>
      <c r="E2713" s="4" t="s">
        <v>48</v>
      </c>
      <c r="F2713" s="4" t="s">
        <v>3321</v>
      </c>
      <c r="G2713" s="4" t="s">
        <v>3322</v>
      </c>
      <c r="H2713" s="4" t="s">
        <v>135</v>
      </c>
      <c r="I2713" s="4" t="s">
        <v>33</v>
      </c>
      <c r="J2713" s="4" t="s">
        <v>27</v>
      </c>
      <c r="K2713" s="4" t="s">
        <v>28</v>
      </c>
      <c r="L2713" s="4" t="s">
        <v>28</v>
      </c>
      <c r="M2713" s="4" t="s">
        <v>34</v>
      </c>
      <c r="N2713" s="4" t="s">
        <v>28</v>
      </c>
    </row>
    <row r="2714" spans="1:14" ht="14.4" thickBot="1" x14ac:dyDescent="0.35">
      <c r="A2714" s="4" t="s">
        <v>19</v>
      </c>
      <c r="B2714" s="4" t="s">
        <v>854</v>
      </c>
      <c r="C2714" s="4" t="s">
        <v>855</v>
      </c>
      <c r="D2714" s="4" t="s">
        <v>856</v>
      </c>
      <c r="E2714" s="4" t="s">
        <v>48</v>
      </c>
      <c r="F2714" s="4" t="s">
        <v>857</v>
      </c>
      <c r="G2714" s="4" t="s">
        <v>858</v>
      </c>
      <c r="H2714" s="4" t="s">
        <v>69</v>
      </c>
      <c r="I2714" s="4" t="s">
        <v>38</v>
      </c>
      <c r="J2714" s="4" t="s">
        <v>28</v>
      </c>
      <c r="K2714" s="4" t="s">
        <v>28</v>
      </c>
      <c r="L2714" s="4" t="s">
        <v>27</v>
      </c>
      <c r="M2714" s="4" t="s">
        <v>34</v>
      </c>
      <c r="N2714" s="4" t="s">
        <v>28</v>
      </c>
    </row>
    <row r="2715" spans="1:14" ht="14.4" thickBot="1" x14ac:dyDescent="0.35">
      <c r="A2715" s="4" t="s">
        <v>19</v>
      </c>
      <c r="B2715" s="4" t="s">
        <v>854</v>
      </c>
      <c r="C2715" s="4" t="s">
        <v>855</v>
      </c>
      <c r="D2715" s="4" t="s">
        <v>856</v>
      </c>
      <c r="E2715" s="4" t="s">
        <v>48</v>
      </c>
      <c r="F2715" s="4" t="s">
        <v>4691</v>
      </c>
      <c r="G2715" s="4" t="s">
        <v>4692</v>
      </c>
      <c r="H2715" s="4" t="s">
        <v>26</v>
      </c>
      <c r="I2715" s="4" t="s">
        <v>33</v>
      </c>
      <c r="J2715" s="4" t="s">
        <v>27</v>
      </c>
      <c r="K2715" s="4" t="s">
        <v>28</v>
      </c>
      <c r="L2715" s="4" t="s">
        <v>28</v>
      </c>
      <c r="M2715" s="4" t="s">
        <v>34</v>
      </c>
      <c r="N2715" s="4" t="s">
        <v>28</v>
      </c>
    </row>
    <row r="2716" spans="1:14" ht="14.4" thickBot="1" x14ac:dyDescent="0.35">
      <c r="A2716" s="4" t="s">
        <v>19</v>
      </c>
      <c r="B2716" s="4" t="s">
        <v>20</v>
      </c>
      <c r="C2716" s="4" t="s">
        <v>1032</v>
      </c>
      <c r="D2716" s="4" t="s">
        <v>1033</v>
      </c>
      <c r="E2716" s="4" t="s">
        <v>23</v>
      </c>
      <c r="F2716" s="4" t="s">
        <v>1034</v>
      </c>
      <c r="G2716" s="4" t="s">
        <v>1035</v>
      </c>
      <c r="H2716" s="4" t="s">
        <v>69</v>
      </c>
      <c r="I2716" s="4" t="s">
        <v>94</v>
      </c>
      <c r="J2716" s="4" t="s">
        <v>28</v>
      </c>
      <c r="K2716" s="4" t="s">
        <v>27</v>
      </c>
      <c r="L2716" s="4" t="s">
        <v>28</v>
      </c>
      <c r="M2716" s="4" t="s">
        <v>34</v>
      </c>
      <c r="N2716" s="4" t="s">
        <v>28</v>
      </c>
    </row>
    <row r="2717" spans="1:14" ht="14.4" thickBot="1" x14ac:dyDescent="0.35">
      <c r="A2717" s="4" t="s">
        <v>19</v>
      </c>
      <c r="B2717" s="4" t="s">
        <v>20</v>
      </c>
      <c r="C2717" s="4" t="s">
        <v>1032</v>
      </c>
      <c r="D2717" s="4" t="s">
        <v>1033</v>
      </c>
      <c r="E2717" s="4" t="s">
        <v>23</v>
      </c>
      <c r="F2717" s="4" t="s">
        <v>1898</v>
      </c>
      <c r="G2717" s="4" t="s">
        <v>1899</v>
      </c>
      <c r="H2717" s="4" t="s">
        <v>26</v>
      </c>
      <c r="I2717" s="4" t="s">
        <v>26</v>
      </c>
      <c r="J2717" s="4" t="s">
        <v>27</v>
      </c>
      <c r="K2717" s="4" t="s">
        <v>28</v>
      </c>
      <c r="L2717" s="4" t="s">
        <v>28</v>
      </c>
      <c r="M2717" s="4" t="s">
        <v>130</v>
      </c>
      <c r="N2717" s="4" t="s">
        <v>28</v>
      </c>
    </row>
    <row r="2718" spans="1:14" ht="14.4" thickBot="1" x14ac:dyDescent="0.35">
      <c r="A2718" s="4" t="s">
        <v>19</v>
      </c>
      <c r="B2718" s="4" t="s">
        <v>20</v>
      </c>
      <c r="C2718" s="4" t="s">
        <v>1032</v>
      </c>
      <c r="D2718" s="4" t="s">
        <v>1033</v>
      </c>
      <c r="E2718" s="4" t="s">
        <v>23</v>
      </c>
      <c r="F2718" s="4" t="s">
        <v>2546</v>
      </c>
      <c r="G2718" s="4" t="s">
        <v>2547</v>
      </c>
      <c r="H2718" s="4" t="s">
        <v>69</v>
      </c>
      <c r="I2718" s="4" t="s">
        <v>94</v>
      </c>
      <c r="J2718" s="4" t="s">
        <v>28</v>
      </c>
      <c r="K2718" s="4" t="s">
        <v>27</v>
      </c>
      <c r="L2718" s="4" t="s">
        <v>28</v>
      </c>
      <c r="M2718" s="4" t="s">
        <v>34</v>
      </c>
      <c r="N2718" s="4" t="s">
        <v>28</v>
      </c>
    </row>
    <row r="2719" spans="1:14" ht="14.4" thickBot="1" x14ac:dyDescent="0.35">
      <c r="A2719" s="4" t="s">
        <v>19</v>
      </c>
      <c r="B2719" s="4" t="s">
        <v>20</v>
      </c>
      <c r="C2719" s="4" t="s">
        <v>1032</v>
      </c>
      <c r="D2719" s="4" t="s">
        <v>1033</v>
      </c>
      <c r="E2719" s="4" t="s">
        <v>23</v>
      </c>
      <c r="F2719" s="4" t="s">
        <v>3323</v>
      </c>
      <c r="G2719" s="4" t="s">
        <v>3324</v>
      </c>
      <c r="H2719" s="4" t="s">
        <v>26</v>
      </c>
      <c r="I2719" s="4" t="s">
        <v>33</v>
      </c>
      <c r="J2719" s="4" t="s">
        <v>27</v>
      </c>
      <c r="K2719" s="4" t="s">
        <v>28</v>
      </c>
      <c r="L2719" s="4" t="s">
        <v>28</v>
      </c>
      <c r="M2719" s="4" t="s">
        <v>34</v>
      </c>
      <c r="N2719" s="4" t="s">
        <v>28</v>
      </c>
    </row>
    <row r="2720" spans="1:14" ht="14.4" thickBot="1" x14ac:dyDescent="0.35">
      <c r="A2720" s="4" t="s">
        <v>19</v>
      </c>
      <c r="B2720" s="4" t="s">
        <v>20</v>
      </c>
      <c r="C2720" s="4" t="s">
        <v>1032</v>
      </c>
      <c r="D2720" s="4" t="s">
        <v>1033</v>
      </c>
      <c r="E2720" s="4" t="s">
        <v>23</v>
      </c>
      <c r="F2720" s="4" t="s">
        <v>4131</v>
      </c>
      <c r="G2720" s="4" t="s">
        <v>4132</v>
      </c>
      <c r="H2720" s="4" t="s">
        <v>26</v>
      </c>
      <c r="I2720" s="4" t="s">
        <v>26</v>
      </c>
      <c r="J2720" s="4" t="s">
        <v>27</v>
      </c>
      <c r="K2720" s="4" t="s">
        <v>28</v>
      </c>
      <c r="L2720" s="4" t="s">
        <v>28</v>
      </c>
      <c r="M2720" s="4" t="s">
        <v>130</v>
      </c>
      <c r="N2720" s="4" t="s">
        <v>28</v>
      </c>
    </row>
    <row r="2721" spans="1:14" ht="14.4" thickBot="1" x14ac:dyDescent="0.35">
      <c r="A2721" s="4" t="s">
        <v>19</v>
      </c>
      <c r="B2721" s="4" t="s">
        <v>20</v>
      </c>
      <c r="C2721" s="4" t="s">
        <v>1032</v>
      </c>
      <c r="D2721" s="4" t="s">
        <v>1033</v>
      </c>
      <c r="E2721" s="4" t="s">
        <v>23</v>
      </c>
      <c r="F2721" s="4" t="s">
        <v>5529</v>
      </c>
      <c r="G2721" s="4" t="s">
        <v>5530</v>
      </c>
      <c r="H2721" s="4" t="s">
        <v>37</v>
      </c>
      <c r="I2721" s="4" t="s">
        <v>38</v>
      </c>
      <c r="J2721" s="4" t="s">
        <v>28</v>
      </c>
      <c r="K2721" s="4" t="s">
        <v>28</v>
      </c>
      <c r="L2721" s="4" t="s">
        <v>27</v>
      </c>
      <c r="M2721" s="4" t="s">
        <v>34</v>
      </c>
      <c r="N2721" s="4" t="s">
        <v>28</v>
      </c>
    </row>
    <row r="2722" spans="1:14" ht="14.4" thickBot="1" x14ac:dyDescent="0.35">
      <c r="A2722" s="4" t="s">
        <v>19</v>
      </c>
      <c r="B2722" s="4" t="s">
        <v>20</v>
      </c>
      <c r="C2722" s="4" t="s">
        <v>1032</v>
      </c>
      <c r="D2722" s="4" t="s">
        <v>1033</v>
      </c>
      <c r="E2722" s="4" t="s">
        <v>23</v>
      </c>
      <c r="F2722" s="4" t="s">
        <v>5531</v>
      </c>
      <c r="G2722" s="4" t="s">
        <v>5532</v>
      </c>
      <c r="H2722" s="4" t="s">
        <v>26</v>
      </c>
      <c r="I2722" s="4" t="s">
        <v>33</v>
      </c>
      <c r="J2722" s="4" t="s">
        <v>27</v>
      </c>
      <c r="K2722" s="4" t="s">
        <v>28</v>
      </c>
      <c r="L2722" s="4" t="s">
        <v>28</v>
      </c>
      <c r="M2722" s="4" t="s">
        <v>34</v>
      </c>
      <c r="N2722" s="4" t="s">
        <v>28</v>
      </c>
    </row>
    <row r="2723" spans="1:14" ht="14.4" thickBot="1" x14ac:dyDescent="0.35">
      <c r="A2723" s="4" t="s">
        <v>19</v>
      </c>
      <c r="B2723" s="4" t="s">
        <v>20</v>
      </c>
      <c r="C2723" s="4" t="s">
        <v>1032</v>
      </c>
      <c r="D2723" s="4" t="s">
        <v>1033</v>
      </c>
      <c r="E2723" s="4" t="s">
        <v>23</v>
      </c>
      <c r="F2723" s="4" t="s">
        <v>5533</v>
      </c>
      <c r="G2723" s="4" t="s">
        <v>5534</v>
      </c>
      <c r="H2723" s="4" t="s">
        <v>26</v>
      </c>
      <c r="I2723" s="4" t="s">
        <v>33</v>
      </c>
      <c r="J2723" s="4" t="s">
        <v>27</v>
      </c>
      <c r="K2723" s="4" t="s">
        <v>28</v>
      </c>
      <c r="L2723" s="4" t="s">
        <v>28</v>
      </c>
      <c r="M2723" s="4" t="s">
        <v>34</v>
      </c>
      <c r="N2723" s="4" t="s">
        <v>28</v>
      </c>
    </row>
    <row r="2724" spans="1:14" ht="14.4" thickBot="1" x14ac:dyDescent="0.35">
      <c r="A2724" s="4" t="s">
        <v>19</v>
      </c>
      <c r="B2724" s="4" t="s">
        <v>20</v>
      </c>
      <c r="C2724" s="4" t="s">
        <v>21</v>
      </c>
      <c r="D2724" s="4" t="s">
        <v>22</v>
      </c>
      <c r="E2724" s="4" t="s">
        <v>23</v>
      </c>
      <c r="F2724" s="4" t="s">
        <v>24</v>
      </c>
      <c r="G2724" s="4" t="s">
        <v>25</v>
      </c>
      <c r="H2724" s="4" t="s">
        <v>26</v>
      </c>
      <c r="I2724" s="4" t="s">
        <v>26</v>
      </c>
      <c r="J2724" s="4" t="s">
        <v>27</v>
      </c>
      <c r="K2724" s="4" t="s">
        <v>28</v>
      </c>
      <c r="L2724" s="4" t="s">
        <v>28</v>
      </c>
      <c r="M2724" s="4" t="s">
        <v>29</v>
      </c>
      <c r="N2724" s="4" t="s">
        <v>28</v>
      </c>
    </row>
    <row r="2725" spans="1:14" ht="14.4" thickBot="1" x14ac:dyDescent="0.35">
      <c r="A2725" s="4" t="s">
        <v>19</v>
      </c>
      <c r="B2725" s="4" t="s">
        <v>20</v>
      </c>
      <c r="C2725" s="4" t="s">
        <v>21</v>
      </c>
      <c r="D2725" s="4" t="s">
        <v>22</v>
      </c>
      <c r="E2725" s="4" t="s">
        <v>23</v>
      </c>
      <c r="F2725" s="4" t="s">
        <v>30</v>
      </c>
      <c r="G2725" s="4" t="s">
        <v>31</v>
      </c>
      <c r="H2725" s="4" t="s">
        <v>32</v>
      </c>
      <c r="I2725" s="4" t="s">
        <v>33</v>
      </c>
      <c r="J2725" s="4" t="s">
        <v>27</v>
      </c>
      <c r="K2725" s="4" t="s">
        <v>28</v>
      </c>
      <c r="L2725" s="4" t="s">
        <v>28</v>
      </c>
      <c r="M2725" s="4" t="s">
        <v>34</v>
      </c>
      <c r="N2725" s="4" t="s">
        <v>28</v>
      </c>
    </row>
    <row r="2726" spans="1:14" ht="14.4" thickBot="1" x14ac:dyDescent="0.35">
      <c r="A2726" s="4" t="s">
        <v>19</v>
      </c>
      <c r="B2726" s="4" t="s">
        <v>20</v>
      </c>
      <c r="C2726" s="4" t="s">
        <v>21</v>
      </c>
      <c r="D2726" s="4" t="s">
        <v>22</v>
      </c>
      <c r="E2726" s="4" t="s">
        <v>23</v>
      </c>
      <c r="F2726" s="4" t="s">
        <v>35</v>
      </c>
      <c r="G2726" s="4" t="s">
        <v>36</v>
      </c>
      <c r="H2726" s="4" t="s">
        <v>37</v>
      </c>
      <c r="I2726" s="4" t="s">
        <v>38</v>
      </c>
      <c r="J2726" s="4" t="s">
        <v>28</v>
      </c>
      <c r="K2726" s="4" t="s">
        <v>28</v>
      </c>
      <c r="L2726" s="4" t="s">
        <v>27</v>
      </c>
      <c r="M2726" s="4" t="s">
        <v>34</v>
      </c>
      <c r="N2726" s="4" t="s">
        <v>28</v>
      </c>
    </row>
    <row r="2727" spans="1:14" ht="14.4" thickBot="1" x14ac:dyDescent="0.35">
      <c r="A2727" s="4" t="s">
        <v>19</v>
      </c>
      <c r="B2727" s="4" t="s">
        <v>20</v>
      </c>
      <c r="C2727" s="4" t="s">
        <v>21</v>
      </c>
      <c r="D2727" s="4" t="s">
        <v>22</v>
      </c>
      <c r="E2727" s="4" t="s">
        <v>23</v>
      </c>
      <c r="F2727" s="4" t="s">
        <v>1036</v>
      </c>
      <c r="G2727" s="4" t="s">
        <v>1037</v>
      </c>
      <c r="H2727" s="4" t="s">
        <v>26</v>
      </c>
      <c r="I2727" s="4" t="s">
        <v>61</v>
      </c>
      <c r="J2727" s="4" t="s">
        <v>27</v>
      </c>
      <c r="K2727" s="4" t="s">
        <v>28</v>
      </c>
      <c r="L2727" s="4" t="s">
        <v>28</v>
      </c>
      <c r="M2727" s="4" t="s">
        <v>34</v>
      </c>
      <c r="N2727" s="4" t="s">
        <v>28</v>
      </c>
    </row>
    <row r="2728" spans="1:14" ht="14.4" thickBot="1" x14ac:dyDescent="0.35">
      <c r="A2728" s="4" t="s">
        <v>19</v>
      </c>
      <c r="B2728" s="4" t="s">
        <v>20</v>
      </c>
      <c r="C2728" s="4" t="s">
        <v>21</v>
      </c>
      <c r="D2728" s="4" t="s">
        <v>22</v>
      </c>
      <c r="E2728" s="4" t="s">
        <v>23</v>
      </c>
      <c r="F2728" s="4" t="s">
        <v>1038</v>
      </c>
      <c r="G2728" s="4" t="s">
        <v>1039</v>
      </c>
      <c r="H2728" s="4" t="s">
        <v>69</v>
      </c>
      <c r="I2728" s="4" t="s">
        <v>94</v>
      </c>
      <c r="J2728" s="4" t="s">
        <v>28</v>
      </c>
      <c r="K2728" s="4" t="s">
        <v>27</v>
      </c>
      <c r="L2728" s="4" t="s">
        <v>28</v>
      </c>
      <c r="M2728" s="4" t="s">
        <v>34</v>
      </c>
      <c r="N2728" s="4" t="s">
        <v>28</v>
      </c>
    </row>
    <row r="2729" spans="1:14" ht="14.4" thickBot="1" x14ac:dyDescent="0.35">
      <c r="A2729" s="4" t="s">
        <v>19</v>
      </c>
      <c r="B2729" s="4" t="s">
        <v>20</v>
      </c>
      <c r="C2729" s="4" t="s">
        <v>21</v>
      </c>
      <c r="D2729" s="4" t="s">
        <v>22</v>
      </c>
      <c r="E2729" s="4" t="s">
        <v>23</v>
      </c>
      <c r="F2729" s="4" t="s">
        <v>2548</v>
      </c>
      <c r="G2729" s="4" t="s">
        <v>2549</v>
      </c>
      <c r="H2729" s="4" t="s">
        <v>135</v>
      </c>
      <c r="I2729" s="4" t="s">
        <v>33</v>
      </c>
      <c r="J2729" s="4" t="s">
        <v>27</v>
      </c>
      <c r="K2729" s="4" t="s">
        <v>28</v>
      </c>
      <c r="L2729" s="4" t="s">
        <v>28</v>
      </c>
      <c r="M2729" s="4" t="s">
        <v>29</v>
      </c>
      <c r="N2729" s="4" t="s">
        <v>28</v>
      </c>
    </row>
    <row r="2730" spans="1:14" ht="14.4" thickBot="1" x14ac:dyDescent="0.35">
      <c r="A2730" s="4" t="s">
        <v>19</v>
      </c>
      <c r="B2730" s="4" t="s">
        <v>20</v>
      </c>
      <c r="C2730" s="4" t="s">
        <v>21</v>
      </c>
      <c r="D2730" s="4" t="s">
        <v>22</v>
      </c>
      <c r="E2730" s="4" t="s">
        <v>23</v>
      </c>
      <c r="F2730" s="4" t="s">
        <v>4133</v>
      </c>
      <c r="G2730" s="4" t="s">
        <v>4134</v>
      </c>
      <c r="H2730" s="4" t="s">
        <v>135</v>
      </c>
      <c r="I2730" s="4" t="s">
        <v>94</v>
      </c>
      <c r="J2730" s="5"/>
      <c r="K2730" s="5"/>
      <c r="L2730" s="5"/>
      <c r="M2730" s="4" t="s">
        <v>29</v>
      </c>
      <c r="N2730" s="5"/>
    </row>
    <row r="2731" spans="1:14" ht="14.4" thickBot="1" x14ac:dyDescent="0.35">
      <c r="A2731" s="4" t="s">
        <v>19</v>
      </c>
      <c r="B2731" s="4" t="s">
        <v>20</v>
      </c>
      <c r="C2731" s="4" t="s">
        <v>21</v>
      </c>
      <c r="D2731" s="4" t="s">
        <v>22</v>
      </c>
      <c r="E2731" s="4" t="s">
        <v>23</v>
      </c>
      <c r="F2731" s="4" t="s">
        <v>5535</v>
      </c>
      <c r="G2731" s="4" t="s">
        <v>5536</v>
      </c>
      <c r="H2731" s="4" t="s">
        <v>135</v>
      </c>
      <c r="I2731" s="4" t="s">
        <v>33</v>
      </c>
      <c r="J2731" s="4" t="s">
        <v>27</v>
      </c>
      <c r="K2731" s="4" t="s">
        <v>28</v>
      </c>
      <c r="L2731" s="4" t="s">
        <v>28</v>
      </c>
      <c r="M2731" s="4" t="s">
        <v>34</v>
      </c>
      <c r="N2731" s="4" t="s">
        <v>28</v>
      </c>
    </row>
    <row r="2732" spans="1:14" ht="14.4" thickBot="1" x14ac:dyDescent="0.35">
      <c r="A2732" s="4" t="s">
        <v>19</v>
      </c>
      <c r="B2732" s="4" t="s">
        <v>20</v>
      </c>
      <c r="C2732" s="4" t="s">
        <v>859</v>
      </c>
      <c r="D2732" s="4" t="s">
        <v>860</v>
      </c>
      <c r="E2732" s="4" t="s">
        <v>48</v>
      </c>
      <c r="F2732" s="4" t="s">
        <v>861</v>
      </c>
      <c r="G2732" s="4" t="s">
        <v>862</v>
      </c>
      <c r="H2732" s="4" t="s">
        <v>26</v>
      </c>
      <c r="I2732" s="4" t="s">
        <v>33</v>
      </c>
      <c r="J2732" s="4" t="s">
        <v>27</v>
      </c>
      <c r="K2732" s="4" t="s">
        <v>28</v>
      </c>
      <c r="L2732" s="4" t="s">
        <v>28</v>
      </c>
      <c r="M2732" s="4" t="s">
        <v>34</v>
      </c>
      <c r="N2732" s="4" t="s">
        <v>28</v>
      </c>
    </row>
    <row r="2733" spans="1:14" ht="14.4" thickBot="1" x14ac:dyDescent="0.35">
      <c r="A2733" s="4" t="s">
        <v>19</v>
      </c>
      <c r="B2733" s="4" t="s">
        <v>20</v>
      </c>
      <c r="C2733" s="4" t="s">
        <v>859</v>
      </c>
      <c r="D2733" s="4" t="s">
        <v>860</v>
      </c>
      <c r="E2733" s="4" t="s">
        <v>48</v>
      </c>
      <c r="F2733" s="4" t="s">
        <v>1740</v>
      </c>
      <c r="G2733" s="4" t="s">
        <v>1741</v>
      </c>
      <c r="H2733" s="4" t="s">
        <v>69</v>
      </c>
      <c r="I2733" s="4" t="s">
        <v>94</v>
      </c>
      <c r="J2733" s="4" t="s">
        <v>28</v>
      </c>
      <c r="K2733" s="4" t="s">
        <v>27</v>
      </c>
      <c r="L2733" s="4" t="s">
        <v>28</v>
      </c>
      <c r="M2733" s="4" t="s">
        <v>34</v>
      </c>
      <c r="N2733" s="4" t="s">
        <v>28</v>
      </c>
    </row>
    <row r="2734" spans="1:14" ht="14.4" thickBot="1" x14ac:dyDescent="0.35">
      <c r="A2734" s="4" t="s">
        <v>19</v>
      </c>
      <c r="B2734" s="4" t="s">
        <v>20</v>
      </c>
      <c r="C2734" s="4" t="s">
        <v>859</v>
      </c>
      <c r="D2734" s="4" t="s">
        <v>860</v>
      </c>
      <c r="E2734" s="4" t="s">
        <v>48</v>
      </c>
      <c r="F2734" s="4" t="s">
        <v>2426</v>
      </c>
      <c r="G2734" s="4" t="s">
        <v>2427</v>
      </c>
      <c r="H2734" s="4" t="s">
        <v>26</v>
      </c>
      <c r="I2734" s="4" t="s">
        <v>61</v>
      </c>
      <c r="J2734" s="4" t="s">
        <v>27</v>
      </c>
      <c r="K2734" s="4" t="s">
        <v>28</v>
      </c>
      <c r="L2734" s="4" t="s">
        <v>28</v>
      </c>
      <c r="M2734" s="4" t="s">
        <v>34</v>
      </c>
      <c r="N2734" s="4" t="s">
        <v>28</v>
      </c>
    </row>
    <row r="2735" spans="1:14" ht="14.4" thickBot="1" x14ac:dyDescent="0.35">
      <c r="A2735" s="4" t="s">
        <v>19</v>
      </c>
      <c r="B2735" s="4" t="s">
        <v>20</v>
      </c>
      <c r="C2735" s="4" t="s">
        <v>859</v>
      </c>
      <c r="D2735" s="4" t="s">
        <v>860</v>
      </c>
      <c r="E2735" s="4" t="s">
        <v>48</v>
      </c>
      <c r="F2735" s="4" t="s">
        <v>859</v>
      </c>
      <c r="G2735" s="4" t="s">
        <v>3167</v>
      </c>
      <c r="H2735" s="4" t="s">
        <v>32</v>
      </c>
      <c r="I2735" s="4" t="s">
        <v>33</v>
      </c>
      <c r="J2735" s="4" t="s">
        <v>27</v>
      </c>
      <c r="K2735" s="4" t="s">
        <v>28</v>
      </c>
      <c r="L2735" s="4" t="s">
        <v>28</v>
      </c>
      <c r="M2735" s="4" t="s">
        <v>34</v>
      </c>
      <c r="N2735" s="4" t="s">
        <v>28</v>
      </c>
    </row>
    <row r="2736" spans="1:14" ht="14.4" thickBot="1" x14ac:dyDescent="0.35">
      <c r="A2736" s="4" t="s">
        <v>19</v>
      </c>
      <c r="B2736" s="4" t="s">
        <v>20</v>
      </c>
      <c r="C2736" s="4" t="s">
        <v>859</v>
      </c>
      <c r="D2736" s="4" t="s">
        <v>860</v>
      </c>
      <c r="E2736" s="4" t="s">
        <v>48</v>
      </c>
      <c r="F2736" s="4" t="s">
        <v>3266</v>
      </c>
      <c r="G2736" s="4" t="s">
        <v>3267</v>
      </c>
      <c r="H2736" s="4" t="s">
        <v>26</v>
      </c>
      <c r="I2736" s="4" t="s">
        <v>26</v>
      </c>
      <c r="J2736" s="4" t="s">
        <v>27</v>
      </c>
      <c r="K2736" s="4" t="s">
        <v>28</v>
      </c>
      <c r="L2736" s="4" t="s">
        <v>28</v>
      </c>
      <c r="M2736" s="4" t="s">
        <v>29</v>
      </c>
      <c r="N2736" s="4" t="s">
        <v>28</v>
      </c>
    </row>
    <row r="2737" spans="1:14" ht="14.4" thickBot="1" x14ac:dyDescent="0.35">
      <c r="A2737" s="4" t="s">
        <v>19</v>
      </c>
      <c r="B2737" s="4" t="s">
        <v>20</v>
      </c>
      <c r="C2737" s="4" t="s">
        <v>859</v>
      </c>
      <c r="D2737" s="4" t="s">
        <v>860</v>
      </c>
      <c r="E2737" s="4" t="s">
        <v>48</v>
      </c>
      <c r="F2737" s="4" t="s">
        <v>4693</v>
      </c>
      <c r="G2737" s="4" t="s">
        <v>4694</v>
      </c>
      <c r="H2737" s="4" t="s">
        <v>37</v>
      </c>
      <c r="I2737" s="4" t="s">
        <v>38</v>
      </c>
      <c r="J2737" s="4" t="s">
        <v>28</v>
      </c>
      <c r="K2737" s="4" t="s">
        <v>28</v>
      </c>
      <c r="L2737" s="4" t="s">
        <v>27</v>
      </c>
      <c r="M2737" s="4" t="s">
        <v>34</v>
      </c>
      <c r="N2737" s="4" t="s">
        <v>28</v>
      </c>
    </row>
    <row r="2738" spans="1:14" ht="14.4" thickBot="1" x14ac:dyDescent="0.35">
      <c r="A2738" s="4" t="s">
        <v>19</v>
      </c>
      <c r="B2738" s="4" t="s">
        <v>20</v>
      </c>
      <c r="C2738" s="4" t="s">
        <v>859</v>
      </c>
      <c r="D2738" s="4" t="s">
        <v>860</v>
      </c>
      <c r="E2738" s="4" t="s">
        <v>48</v>
      </c>
      <c r="F2738" s="4" t="s">
        <v>1078</v>
      </c>
      <c r="G2738" s="4" t="s">
        <v>4785</v>
      </c>
      <c r="H2738" s="4" t="s">
        <v>26</v>
      </c>
      <c r="I2738" s="4" t="s">
        <v>26</v>
      </c>
      <c r="J2738" s="5"/>
      <c r="K2738" s="5"/>
      <c r="L2738" s="5"/>
      <c r="M2738" s="4" t="s">
        <v>130</v>
      </c>
      <c r="N2738" s="5"/>
    </row>
    <row r="2739" spans="1:14" ht="14.4" thickBot="1" x14ac:dyDescent="0.35">
      <c r="A2739" s="4" t="s">
        <v>19</v>
      </c>
      <c r="B2739" s="4" t="s">
        <v>20</v>
      </c>
      <c r="C2739" s="4" t="s">
        <v>859</v>
      </c>
      <c r="D2739" s="4" t="s">
        <v>860</v>
      </c>
      <c r="E2739" s="4" t="s">
        <v>48</v>
      </c>
      <c r="F2739" s="4" t="s">
        <v>5393</v>
      </c>
      <c r="G2739" s="4" t="s">
        <v>5394</v>
      </c>
      <c r="H2739" s="4" t="s">
        <v>135</v>
      </c>
      <c r="I2739" s="4" t="s">
        <v>94</v>
      </c>
      <c r="J2739" s="4" t="s">
        <v>27</v>
      </c>
      <c r="K2739" s="4" t="s">
        <v>28</v>
      </c>
      <c r="L2739" s="4" t="s">
        <v>28</v>
      </c>
      <c r="M2739" s="4" t="s">
        <v>34</v>
      </c>
      <c r="N2739" s="4" t="s">
        <v>27</v>
      </c>
    </row>
    <row r="2740" spans="1:14" ht="14.4" thickBot="1" x14ac:dyDescent="0.35">
      <c r="A2740" s="4" t="s">
        <v>19</v>
      </c>
      <c r="B2740" s="4" t="s">
        <v>20</v>
      </c>
      <c r="C2740" s="4" t="s">
        <v>859</v>
      </c>
      <c r="D2740" s="4" t="s">
        <v>860</v>
      </c>
      <c r="E2740" s="4" t="s">
        <v>48</v>
      </c>
      <c r="F2740" s="4" t="s">
        <v>6085</v>
      </c>
      <c r="G2740" s="4" t="s">
        <v>6086</v>
      </c>
      <c r="H2740" s="4" t="s">
        <v>26</v>
      </c>
      <c r="I2740" s="4" t="s">
        <v>33</v>
      </c>
      <c r="J2740" s="4" t="s">
        <v>27</v>
      </c>
      <c r="K2740" s="4" t="s">
        <v>28</v>
      </c>
      <c r="L2740" s="4" t="s">
        <v>28</v>
      </c>
      <c r="M2740" s="4" t="s">
        <v>34</v>
      </c>
      <c r="N2740" s="4" t="s">
        <v>28</v>
      </c>
    </row>
    <row r="2741" spans="1:14" ht="14.4" thickBot="1" x14ac:dyDescent="0.35">
      <c r="A2741" s="4" t="s">
        <v>19</v>
      </c>
      <c r="B2741" s="4" t="s">
        <v>20</v>
      </c>
      <c r="C2741" s="4" t="s">
        <v>480</v>
      </c>
      <c r="D2741" s="4" t="s">
        <v>481</v>
      </c>
      <c r="E2741" s="4" t="s">
        <v>23</v>
      </c>
      <c r="F2741" s="4" t="s">
        <v>482</v>
      </c>
      <c r="G2741" s="4" t="s">
        <v>483</v>
      </c>
      <c r="H2741" s="4" t="s">
        <v>69</v>
      </c>
      <c r="I2741" s="4" t="s">
        <v>94</v>
      </c>
      <c r="J2741" s="4" t="s">
        <v>28</v>
      </c>
      <c r="K2741" s="4" t="s">
        <v>27</v>
      </c>
      <c r="L2741" s="4" t="s">
        <v>28</v>
      </c>
      <c r="M2741" s="4" t="s">
        <v>34</v>
      </c>
      <c r="N2741" s="4" t="s">
        <v>27</v>
      </c>
    </row>
    <row r="2742" spans="1:14" ht="14.4" thickBot="1" x14ac:dyDescent="0.35">
      <c r="A2742" s="4" t="s">
        <v>19</v>
      </c>
      <c r="B2742" s="4" t="s">
        <v>20</v>
      </c>
      <c r="C2742" s="4" t="s">
        <v>480</v>
      </c>
      <c r="D2742" s="4" t="s">
        <v>481</v>
      </c>
      <c r="E2742" s="4" t="s">
        <v>23</v>
      </c>
      <c r="F2742" s="4" t="s">
        <v>484</v>
      </c>
      <c r="G2742" s="4" t="s">
        <v>485</v>
      </c>
      <c r="H2742" s="4" t="s">
        <v>37</v>
      </c>
      <c r="I2742" s="4" t="s">
        <v>486</v>
      </c>
      <c r="J2742" s="4" t="s">
        <v>28</v>
      </c>
      <c r="K2742" s="4" t="s">
        <v>28</v>
      </c>
      <c r="L2742" s="4" t="s">
        <v>27</v>
      </c>
      <c r="M2742" s="4" t="s">
        <v>34</v>
      </c>
      <c r="N2742" s="4" t="s">
        <v>28</v>
      </c>
    </row>
    <row r="2743" spans="1:14" ht="14.4" thickBot="1" x14ac:dyDescent="0.35">
      <c r="A2743" s="4" t="s">
        <v>19</v>
      </c>
      <c r="B2743" s="4" t="s">
        <v>20</v>
      </c>
      <c r="C2743" s="4" t="s">
        <v>480</v>
      </c>
      <c r="D2743" s="4" t="s">
        <v>481</v>
      </c>
      <c r="E2743" s="4" t="s">
        <v>23</v>
      </c>
      <c r="F2743" s="4" t="s">
        <v>487</v>
      </c>
      <c r="G2743" s="4" t="s">
        <v>488</v>
      </c>
      <c r="H2743" s="4" t="s">
        <v>69</v>
      </c>
      <c r="I2743" s="4" t="s">
        <v>94</v>
      </c>
      <c r="J2743" s="4" t="s">
        <v>28</v>
      </c>
      <c r="K2743" s="4" t="s">
        <v>27</v>
      </c>
      <c r="L2743" s="4" t="s">
        <v>28</v>
      </c>
      <c r="M2743" s="4" t="s">
        <v>34</v>
      </c>
      <c r="N2743" s="4" t="s">
        <v>28</v>
      </c>
    </row>
    <row r="2744" spans="1:14" ht="14.4" thickBot="1" x14ac:dyDescent="0.35">
      <c r="A2744" s="4" t="s">
        <v>19</v>
      </c>
      <c r="B2744" s="4" t="s">
        <v>20</v>
      </c>
      <c r="C2744" s="4" t="s">
        <v>480</v>
      </c>
      <c r="D2744" s="4" t="s">
        <v>481</v>
      </c>
      <c r="E2744" s="4" t="s">
        <v>23</v>
      </c>
      <c r="F2744" s="4" t="s">
        <v>489</v>
      </c>
      <c r="G2744" s="4" t="s">
        <v>490</v>
      </c>
      <c r="H2744" s="4" t="s">
        <v>69</v>
      </c>
      <c r="I2744" s="4" t="s">
        <v>94</v>
      </c>
      <c r="J2744" s="4" t="s">
        <v>28</v>
      </c>
      <c r="K2744" s="4" t="s">
        <v>27</v>
      </c>
      <c r="L2744" s="4" t="s">
        <v>28</v>
      </c>
      <c r="M2744" s="4" t="s">
        <v>34</v>
      </c>
      <c r="N2744" s="4" t="s">
        <v>28</v>
      </c>
    </row>
    <row r="2745" spans="1:14" ht="14.4" thickBot="1" x14ac:dyDescent="0.35">
      <c r="A2745" s="4" t="s">
        <v>19</v>
      </c>
      <c r="B2745" s="4" t="s">
        <v>20</v>
      </c>
      <c r="C2745" s="4" t="s">
        <v>480</v>
      </c>
      <c r="D2745" s="4" t="s">
        <v>481</v>
      </c>
      <c r="E2745" s="4" t="s">
        <v>23</v>
      </c>
      <c r="F2745" s="4" t="s">
        <v>1417</v>
      </c>
      <c r="G2745" s="4" t="s">
        <v>1418</v>
      </c>
      <c r="H2745" s="4" t="s">
        <v>116</v>
      </c>
      <c r="I2745" s="4" t="s">
        <v>38</v>
      </c>
      <c r="J2745" s="4" t="s">
        <v>28</v>
      </c>
      <c r="K2745" s="4" t="s">
        <v>28</v>
      </c>
      <c r="L2745" s="4" t="s">
        <v>27</v>
      </c>
      <c r="M2745" s="4" t="s">
        <v>34</v>
      </c>
      <c r="N2745" s="4" t="s">
        <v>28</v>
      </c>
    </row>
    <row r="2746" spans="1:14" ht="14.4" thickBot="1" x14ac:dyDescent="0.35">
      <c r="A2746" s="4" t="s">
        <v>19</v>
      </c>
      <c r="B2746" s="4" t="s">
        <v>20</v>
      </c>
      <c r="C2746" s="4" t="s">
        <v>480</v>
      </c>
      <c r="D2746" s="4" t="s">
        <v>481</v>
      </c>
      <c r="E2746" s="4" t="s">
        <v>23</v>
      </c>
      <c r="F2746" s="4" t="s">
        <v>1419</v>
      </c>
      <c r="G2746" s="4" t="s">
        <v>1420</v>
      </c>
      <c r="H2746" s="4" t="s">
        <v>26</v>
      </c>
      <c r="I2746" s="4" t="s">
        <v>33</v>
      </c>
      <c r="J2746" s="4" t="s">
        <v>27</v>
      </c>
      <c r="K2746" s="4" t="s">
        <v>28</v>
      </c>
      <c r="L2746" s="4" t="s">
        <v>28</v>
      </c>
      <c r="M2746" s="4" t="s">
        <v>34</v>
      </c>
      <c r="N2746" s="4" t="s">
        <v>28</v>
      </c>
    </row>
    <row r="2747" spans="1:14" ht="14.4" thickBot="1" x14ac:dyDescent="0.35">
      <c r="A2747" s="4" t="s">
        <v>19</v>
      </c>
      <c r="B2747" s="4" t="s">
        <v>20</v>
      </c>
      <c r="C2747" s="4" t="s">
        <v>480</v>
      </c>
      <c r="D2747" s="4" t="s">
        <v>481</v>
      </c>
      <c r="E2747" s="4" t="s">
        <v>23</v>
      </c>
      <c r="F2747" s="4" t="s">
        <v>1421</v>
      </c>
      <c r="G2747" s="4" t="s">
        <v>1422</v>
      </c>
      <c r="H2747" s="4" t="s">
        <v>135</v>
      </c>
      <c r="I2747" s="4" t="s">
        <v>33</v>
      </c>
      <c r="J2747" s="4" t="s">
        <v>27</v>
      </c>
      <c r="K2747" s="4" t="s">
        <v>28</v>
      </c>
      <c r="L2747" s="4" t="s">
        <v>28</v>
      </c>
      <c r="M2747" s="4" t="s">
        <v>34</v>
      </c>
      <c r="N2747" s="4" t="s">
        <v>27</v>
      </c>
    </row>
    <row r="2748" spans="1:14" ht="14.4" thickBot="1" x14ac:dyDescent="0.35">
      <c r="A2748" s="4" t="s">
        <v>19</v>
      </c>
      <c r="B2748" s="4" t="s">
        <v>20</v>
      </c>
      <c r="C2748" s="4" t="s">
        <v>480</v>
      </c>
      <c r="D2748" s="4" t="s">
        <v>481</v>
      </c>
      <c r="E2748" s="4" t="s">
        <v>23</v>
      </c>
      <c r="F2748" s="4" t="s">
        <v>1532</v>
      </c>
      <c r="G2748" s="4" t="s">
        <v>1533</v>
      </c>
      <c r="H2748" s="4" t="s">
        <v>26</v>
      </c>
      <c r="I2748" s="4" t="s">
        <v>26</v>
      </c>
      <c r="J2748" s="4" t="s">
        <v>27</v>
      </c>
      <c r="K2748" s="4" t="s">
        <v>28</v>
      </c>
      <c r="L2748" s="4" t="s">
        <v>28</v>
      </c>
      <c r="M2748" s="4" t="s">
        <v>29</v>
      </c>
      <c r="N2748" s="4" t="s">
        <v>28</v>
      </c>
    </row>
    <row r="2749" spans="1:14" ht="14.4" thickBot="1" x14ac:dyDescent="0.35">
      <c r="A2749" s="4" t="s">
        <v>19</v>
      </c>
      <c r="B2749" s="4" t="s">
        <v>20</v>
      </c>
      <c r="C2749" s="4" t="s">
        <v>480</v>
      </c>
      <c r="D2749" s="4" t="s">
        <v>481</v>
      </c>
      <c r="E2749" s="4" t="s">
        <v>23</v>
      </c>
      <c r="F2749" s="4" t="s">
        <v>2193</v>
      </c>
      <c r="G2749" s="4" t="s">
        <v>2194</v>
      </c>
      <c r="H2749" s="4" t="s">
        <v>37</v>
      </c>
      <c r="I2749" s="4" t="s">
        <v>38</v>
      </c>
      <c r="J2749" s="4" t="s">
        <v>28</v>
      </c>
      <c r="K2749" s="4" t="s">
        <v>28</v>
      </c>
      <c r="L2749" s="4" t="s">
        <v>27</v>
      </c>
      <c r="M2749" s="4" t="s">
        <v>34</v>
      </c>
      <c r="N2749" s="4" t="s">
        <v>28</v>
      </c>
    </row>
    <row r="2750" spans="1:14" ht="14.4" thickBot="1" x14ac:dyDescent="0.35">
      <c r="A2750" s="4" t="s">
        <v>19</v>
      </c>
      <c r="B2750" s="4" t="s">
        <v>20</v>
      </c>
      <c r="C2750" s="4" t="s">
        <v>480</v>
      </c>
      <c r="D2750" s="4" t="s">
        <v>481</v>
      </c>
      <c r="E2750" s="4" t="s">
        <v>23</v>
      </c>
      <c r="F2750" s="4" t="s">
        <v>2927</v>
      </c>
      <c r="G2750" s="4" t="s">
        <v>2928</v>
      </c>
      <c r="H2750" s="4" t="s">
        <v>26</v>
      </c>
      <c r="I2750" s="4" t="s">
        <v>33</v>
      </c>
      <c r="J2750" s="4" t="s">
        <v>27</v>
      </c>
      <c r="K2750" s="4" t="s">
        <v>28</v>
      </c>
      <c r="L2750" s="4" t="s">
        <v>28</v>
      </c>
      <c r="M2750" s="4" t="s">
        <v>34</v>
      </c>
      <c r="N2750" s="4" t="s">
        <v>28</v>
      </c>
    </row>
    <row r="2751" spans="1:14" ht="14.4" thickBot="1" x14ac:dyDescent="0.35">
      <c r="A2751" s="4" t="s">
        <v>19</v>
      </c>
      <c r="B2751" s="4" t="s">
        <v>20</v>
      </c>
      <c r="C2751" s="4" t="s">
        <v>480</v>
      </c>
      <c r="D2751" s="4" t="s">
        <v>481</v>
      </c>
      <c r="E2751" s="4" t="s">
        <v>23</v>
      </c>
      <c r="F2751" s="4" t="s">
        <v>5149</v>
      </c>
      <c r="G2751" s="4" t="s">
        <v>5150</v>
      </c>
      <c r="H2751" s="4" t="s">
        <v>37</v>
      </c>
      <c r="I2751" s="4" t="s">
        <v>38</v>
      </c>
      <c r="J2751" s="4" t="s">
        <v>28</v>
      </c>
      <c r="K2751" s="4" t="s">
        <v>28</v>
      </c>
      <c r="L2751" s="4" t="s">
        <v>27</v>
      </c>
      <c r="M2751" s="4" t="s">
        <v>34</v>
      </c>
      <c r="N2751" s="4" t="s">
        <v>27</v>
      </c>
    </row>
    <row r="2752" spans="1:14" ht="14.4" thickBot="1" x14ac:dyDescent="0.35">
      <c r="A2752" s="4" t="s">
        <v>19</v>
      </c>
      <c r="B2752" s="4" t="s">
        <v>20</v>
      </c>
      <c r="C2752" s="4" t="s">
        <v>480</v>
      </c>
      <c r="D2752" s="4" t="s">
        <v>481</v>
      </c>
      <c r="E2752" s="4" t="s">
        <v>23</v>
      </c>
      <c r="F2752" s="4" t="s">
        <v>5151</v>
      </c>
      <c r="G2752" s="4" t="s">
        <v>1309</v>
      </c>
      <c r="H2752" s="4" t="s">
        <v>32</v>
      </c>
      <c r="I2752" s="4" t="s">
        <v>33</v>
      </c>
      <c r="J2752" s="4" t="s">
        <v>27</v>
      </c>
      <c r="K2752" s="4" t="s">
        <v>28</v>
      </c>
      <c r="L2752" s="4" t="s">
        <v>28</v>
      </c>
      <c r="M2752" s="4" t="s">
        <v>34</v>
      </c>
      <c r="N2752" s="4" t="s">
        <v>28</v>
      </c>
    </row>
    <row r="2753" spans="1:14" ht="14.4" thickBot="1" x14ac:dyDescent="0.35">
      <c r="A2753" s="4" t="s">
        <v>19</v>
      </c>
      <c r="B2753" s="4" t="s">
        <v>20</v>
      </c>
      <c r="C2753" s="4" t="s">
        <v>480</v>
      </c>
      <c r="D2753" s="4" t="s">
        <v>481</v>
      </c>
      <c r="E2753" s="4" t="s">
        <v>23</v>
      </c>
      <c r="F2753" s="4" t="s">
        <v>5821</v>
      </c>
      <c r="G2753" s="4" t="s">
        <v>5822</v>
      </c>
      <c r="H2753" s="4" t="s">
        <v>26</v>
      </c>
      <c r="I2753" s="4" t="s">
        <v>33</v>
      </c>
      <c r="J2753" s="4" t="s">
        <v>27</v>
      </c>
      <c r="K2753" s="4" t="s">
        <v>28</v>
      </c>
      <c r="L2753" s="4" t="s">
        <v>28</v>
      </c>
      <c r="M2753" s="4" t="s">
        <v>34</v>
      </c>
      <c r="N2753" s="4" t="s">
        <v>28</v>
      </c>
    </row>
    <row r="2754" spans="1:14" ht="14.4" thickBot="1" x14ac:dyDescent="0.35">
      <c r="A2754" s="4" t="s">
        <v>19</v>
      </c>
      <c r="B2754" s="4" t="s">
        <v>20</v>
      </c>
      <c r="C2754" s="4" t="s">
        <v>480</v>
      </c>
      <c r="D2754" s="4" t="s">
        <v>481</v>
      </c>
      <c r="E2754" s="4" t="s">
        <v>23</v>
      </c>
      <c r="F2754" s="4" t="s">
        <v>5823</v>
      </c>
      <c r="G2754" s="4" t="s">
        <v>5824</v>
      </c>
      <c r="H2754" s="4" t="s">
        <v>26</v>
      </c>
      <c r="I2754" s="4" t="s">
        <v>61</v>
      </c>
      <c r="J2754" s="4" t="s">
        <v>27</v>
      </c>
      <c r="K2754" s="4" t="s">
        <v>28</v>
      </c>
      <c r="L2754" s="4" t="s">
        <v>28</v>
      </c>
      <c r="M2754" s="4" t="s">
        <v>34</v>
      </c>
      <c r="N2754" s="4" t="s">
        <v>28</v>
      </c>
    </row>
    <row r="2755" spans="1:14" ht="14.4" thickBot="1" x14ac:dyDescent="0.35">
      <c r="A2755" s="4" t="s">
        <v>19</v>
      </c>
      <c r="B2755" s="4" t="s">
        <v>20</v>
      </c>
      <c r="C2755" s="4" t="s">
        <v>1423</v>
      </c>
      <c r="D2755" s="4" t="s">
        <v>1424</v>
      </c>
      <c r="E2755" s="4" t="s">
        <v>23</v>
      </c>
      <c r="F2755" s="4" t="s">
        <v>1425</v>
      </c>
      <c r="G2755" s="4" t="s">
        <v>1426</v>
      </c>
      <c r="H2755" s="4" t="s">
        <v>135</v>
      </c>
      <c r="I2755" s="4" t="s">
        <v>33</v>
      </c>
      <c r="J2755" s="4" t="s">
        <v>27</v>
      </c>
      <c r="K2755" s="4" t="s">
        <v>28</v>
      </c>
      <c r="L2755" s="4" t="s">
        <v>28</v>
      </c>
      <c r="M2755" s="4" t="s">
        <v>34</v>
      </c>
      <c r="N2755" s="4" t="s">
        <v>28</v>
      </c>
    </row>
    <row r="2756" spans="1:14" ht="14.4" thickBot="1" x14ac:dyDescent="0.35">
      <c r="A2756" s="4" t="s">
        <v>19</v>
      </c>
      <c r="B2756" s="4" t="s">
        <v>20</v>
      </c>
      <c r="C2756" s="4" t="s">
        <v>1423</v>
      </c>
      <c r="D2756" s="4" t="s">
        <v>1424</v>
      </c>
      <c r="E2756" s="4" t="s">
        <v>23</v>
      </c>
      <c r="F2756" s="4" t="s">
        <v>1427</v>
      </c>
      <c r="G2756" s="4" t="s">
        <v>1428</v>
      </c>
      <c r="H2756" s="4" t="s">
        <v>26</v>
      </c>
      <c r="I2756" s="4" t="s">
        <v>33</v>
      </c>
      <c r="J2756" s="4" t="s">
        <v>27</v>
      </c>
      <c r="K2756" s="4" t="s">
        <v>28</v>
      </c>
      <c r="L2756" s="4" t="s">
        <v>28</v>
      </c>
      <c r="M2756" s="4" t="s">
        <v>34</v>
      </c>
      <c r="N2756" s="4" t="s">
        <v>28</v>
      </c>
    </row>
    <row r="2757" spans="1:14" ht="14.4" thickBot="1" x14ac:dyDescent="0.35">
      <c r="A2757" s="4" t="s">
        <v>19</v>
      </c>
      <c r="B2757" s="4" t="s">
        <v>20</v>
      </c>
      <c r="C2757" s="4" t="s">
        <v>1423</v>
      </c>
      <c r="D2757" s="4" t="s">
        <v>1424</v>
      </c>
      <c r="E2757" s="4" t="s">
        <v>23</v>
      </c>
      <c r="F2757" s="4" t="s">
        <v>3003</v>
      </c>
      <c r="G2757" s="4" t="s">
        <v>3004</v>
      </c>
      <c r="H2757" s="4" t="s">
        <v>190</v>
      </c>
      <c r="I2757" s="4" t="s">
        <v>69</v>
      </c>
      <c r="J2757" s="4" t="s">
        <v>27</v>
      </c>
      <c r="K2757" s="4" t="s">
        <v>28</v>
      </c>
      <c r="L2757" s="4" t="s">
        <v>28</v>
      </c>
      <c r="M2757" s="4" t="s">
        <v>29</v>
      </c>
      <c r="N2757" s="4" t="s">
        <v>28</v>
      </c>
    </row>
    <row r="2758" spans="1:14" ht="14.4" thickBot="1" x14ac:dyDescent="0.35">
      <c r="A2758" s="4" t="s">
        <v>19</v>
      </c>
      <c r="B2758" s="4" t="s">
        <v>20</v>
      </c>
      <c r="C2758" s="4" t="s">
        <v>1423</v>
      </c>
      <c r="D2758" s="4" t="s">
        <v>1424</v>
      </c>
      <c r="E2758" s="4" t="s">
        <v>23</v>
      </c>
      <c r="F2758" s="4" t="s">
        <v>3672</v>
      </c>
      <c r="G2758" s="4" t="s">
        <v>3673</v>
      </c>
      <c r="H2758" s="4" t="s">
        <v>69</v>
      </c>
      <c r="I2758" s="4" t="s">
        <v>94</v>
      </c>
      <c r="J2758" s="4" t="s">
        <v>28</v>
      </c>
      <c r="K2758" s="4" t="s">
        <v>27</v>
      </c>
      <c r="L2758" s="4" t="s">
        <v>28</v>
      </c>
      <c r="M2758" s="4" t="s">
        <v>34</v>
      </c>
      <c r="N2758" s="4" t="s">
        <v>28</v>
      </c>
    </row>
    <row r="2759" spans="1:14" ht="14.4" thickBot="1" x14ac:dyDescent="0.35">
      <c r="A2759" s="4" t="s">
        <v>19</v>
      </c>
      <c r="B2759" s="4" t="s">
        <v>20</v>
      </c>
      <c r="C2759" s="4" t="s">
        <v>1423</v>
      </c>
      <c r="D2759" s="4" t="s">
        <v>1424</v>
      </c>
      <c r="E2759" s="4" t="s">
        <v>23</v>
      </c>
      <c r="F2759" s="4" t="s">
        <v>3733</v>
      </c>
      <c r="G2759" s="4" t="s">
        <v>3734</v>
      </c>
      <c r="H2759" s="4" t="s">
        <v>26</v>
      </c>
      <c r="I2759" s="4" t="s">
        <v>116</v>
      </c>
      <c r="J2759" s="4" t="s">
        <v>27</v>
      </c>
      <c r="K2759" s="4" t="s">
        <v>28</v>
      </c>
      <c r="L2759" s="4" t="s">
        <v>28</v>
      </c>
      <c r="M2759" s="4" t="s">
        <v>29</v>
      </c>
      <c r="N2759" s="4" t="s">
        <v>28</v>
      </c>
    </row>
    <row r="2760" spans="1:14" ht="14.4" thickBot="1" x14ac:dyDescent="0.35">
      <c r="A2760" s="4" t="s">
        <v>19</v>
      </c>
      <c r="B2760" s="4" t="s">
        <v>20</v>
      </c>
      <c r="C2760" s="4" t="s">
        <v>1423</v>
      </c>
      <c r="D2760" s="4" t="s">
        <v>1424</v>
      </c>
      <c r="E2760" s="4" t="s">
        <v>23</v>
      </c>
      <c r="F2760" s="4" t="s">
        <v>3735</v>
      </c>
      <c r="G2760" s="4" t="s">
        <v>3736</v>
      </c>
      <c r="H2760" s="4" t="s">
        <v>26</v>
      </c>
      <c r="I2760" s="4" t="s">
        <v>26</v>
      </c>
      <c r="J2760" s="4" t="s">
        <v>27</v>
      </c>
      <c r="K2760" s="4" t="s">
        <v>28</v>
      </c>
      <c r="L2760" s="4" t="s">
        <v>28</v>
      </c>
      <c r="M2760" s="4" t="s">
        <v>130</v>
      </c>
      <c r="N2760" s="4" t="s">
        <v>28</v>
      </c>
    </row>
    <row r="2761" spans="1:14" ht="14.4" thickBot="1" x14ac:dyDescent="0.35">
      <c r="A2761" s="4" t="s">
        <v>19</v>
      </c>
      <c r="B2761" s="4" t="s">
        <v>20</v>
      </c>
      <c r="C2761" s="4" t="s">
        <v>1423</v>
      </c>
      <c r="D2761" s="4" t="s">
        <v>1424</v>
      </c>
      <c r="E2761" s="4" t="s">
        <v>23</v>
      </c>
      <c r="F2761" s="4" t="s">
        <v>3737</v>
      </c>
      <c r="G2761" s="4" t="s">
        <v>3738</v>
      </c>
      <c r="H2761" s="4" t="s">
        <v>26</v>
      </c>
      <c r="I2761" s="4" t="s">
        <v>26</v>
      </c>
      <c r="J2761" s="4" t="s">
        <v>27</v>
      </c>
      <c r="K2761" s="4" t="s">
        <v>28</v>
      </c>
      <c r="L2761" s="4" t="s">
        <v>28</v>
      </c>
      <c r="M2761" s="4" t="s">
        <v>29</v>
      </c>
      <c r="N2761" s="4" t="s">
        <v>28</v>
      </c>
    </row>
    <row r="2762" spans="1:14" ht="14.4" thickBot="1" x14ac:dyDescent="0.35">
      <c r="A2762" s="4" t="s">
        <v>19</v>
      </c>
      <c r="B2762" s="4" t="s">
        <v>20</v>
      </c>
      <c r="C2762" s="4" t="s">
        <v>1423</v>
      </c>
      <c r="D2762" s="4" t="s">
        <v>1424</v>
      </c>
      <c r="E2762" s="4" t="s">
        <v>23</v>
      </c>
      <c r="F2762" s="4" t="s">
        <v>5152</v>
      </c>
      <c r="G2762" s="4" t="s">
        <v>5153</v>
      </c>
      <c r="H2762" s="4" t="s">
        <v>135</v>
      </c>
      <c r="I2762" s="4" t="s">
        <v>94</v>
      </c>
      <c r="J2762" s="4" t="s">
        <v>27</v>
      </c>
      <c r="K2762" s="4" t="s">
        <v>28</v>
      </c>
      <c r="L2762" s="4" t="s">
        <v>28</v>
      </c>
      <c r="M2762" s="4" t="s">
        <v>34</v>
      </c>
      <c r="N2762" s="4" t="s">
        <v>27</v>
      </c>
    </row>
    <row r="2763" spans="1:14" ht="14.4" thickBot="1" x14ac:dyDescent="0.35">
      <c r="A2763" s="4" t="s">
        <v>19</v>
      </c>
      <c r="B2763" s="4" t="s">
        <v>20</v>
      </c>
      <c r="C2763" s="4" t="s">
        <v>1423</v>
      </c>
      <c r="D2763" s="4" t="s">
        <v>1424</v>
      </c>
      <c r="E2763" s="4" t="s">
        <v>23</v>
      </c>
      <c r="F2763" s="4" t="s">
        <v>5154</v>
      </c>
      <c r="G2763" s="4" t="s">
        <v>5155</v>
      </c>
      <c r="H2763" s="4" t="s">
        <v>37</v>
      </c>
      <c r="I2763" s="4" t="s">
        <v>38</v>
      </c>
      <c r="J2763" s="4" t="s">
        <v>28</v>
      </c>
      <c r="K2763" s="4" t="s">
        <v>28</v>
      </c>
      <c r="L2763" s="4" t="s">
        <v>27</v>
      </c>
      <c r="M2763" s="4" t="s">
        <v>34</v>
      </c>
      <c r="N2763" s="4" t="s">
        <v>28</v>
      </c>
    </row>
    <row r="2764" spans="1:14" ht="14.4" thickBot="1" x14ac:dyDescent="0.35">
      <c r="A2764" s="4" t="s">
        <v>19</v>
      </c>
      <c r="B2764" s="4" t="s">
        <v>20</v>
      </c>
      <c r="C2764" s="4" t="s">
        <v>1423</v>
      </c>
      <c r="D2764" s="4" t="s">
        <v>1424</v>
      </c>
      <c r="E2764" s="4" t="s">
        <v>23</v>
      </c>
      <c r="F2764" s="4" t="s">
        <v>5825</v>
      </c>
      <c r="G2764" s="4" t="s">
        <v>5826</v>
      </c>
      <c r="H2764" s="4" t="s">
        <v>26</v>
      </c>
      <c r="I2764" s="4" t="s">
        <v>33</v>
      </c>
      <c r="J2764" s="4" t="s">
        <v>27</v>
      </c>
      <c r="K2764" s="4" t="s">
        <v>28</v>
      </c>
      <c r="L2764" s="4" t="s">
        <v>28</v>
      </c>
      <c r="M2764" s="4" t="s">
        <v>34</v>
      </c>
      <c r="N2764" s="4" t="s">
        <v>28</v>
      </c>
    </row>
    <row r="2765" spans="1:14" ht="14.4" thickBot="1" x14ac:dyDescent="0.35">
      <c r="A2765" s="4" t="s">
        <v>19</v>
      </c>
      <c r="B2765" s="4" t="s">
        <v>20</v>
      </c>
      <c r="C2765" s="4" t="s">
        <v>863</v>
      </c>
      <c r="D2765" s="4" t="s">
        <v>864</v>
      </c>
      <c r="E2765" s="4" t="s">
        <v>87</v>
      </c>
      <c r="F2765" s="4" t="s">
        <v>865</v>
      </c>
      <c r="G2765" s="4" t="s">
        <v>866</v>
      </c>
      <c r="H2765" s="4" t="s">
        <v>69</v>
      </c>
      <c r="I2765" s="4" t="s">
        <v>38</v>
      </c>
      <c r="J2765" s="4" t="s">
        <v>28</v>
      </c>
      <c r="K2765" s="4" t="s">
        <v>28</v>
      </c>
      <c r="L2765" s="4" t="s">
        <v>27</v>
      </c>
      <c r="M2765" s="4" t="s">
        <v>34</v>
      </c>
      <c r="N2765" s="4" t="s">
        <v>27</v>
      </c>
    </row>
    <row r="2766" spans="1:14" ht="14.4" thickBot="1" x14ac:dyDescent="0.35">
      <c r="A2766" s="4" t="s">
        <v>19</v>
      </c>
      <c r="B2766" s="4" t="s">
        <v>20</v>
      </c>
      <c r="C2766" s="4" t="s">
        <v>863</v>
      </c>
      <c r="D2766" s="4" t="s">
        <v>864</v>
      </c>
      <c r="E2766" s="4" t="s">
        <v>87</v>
      </c>
      <c r="F2766" s="4" t="s">
        <v>867</v>
      </c>
      <c r="G2766" s="4" t="s">
        <v>868</v>
      </c>
      <c r="H2766" s="4" t="s">
        <v>37</v>
      </c>
      <c r="I2766" s="4" t="s">
        <v>38</v>
      </c>
      <c r="J2766" s="4" t="s">
        <v>28</v>
      </c>
      <c r="K2766" s="4" t="s">
        <v>28</v>
      </c>
      <c r="L2766" s="4" t="s">
        <v>27</v>
      </c>
      <c r="M2766" s="4" t="s">
        <v>34</v>
      </c>
      <c r="N2766" s="4" t="s">
        <v>28</v>
      </c>
    </row>
    <row r="2767" spans="1:14" ht="14.4" thickBot="1" x14ac:dyDescent="0.35">
      <c r="A2767" s="4" t="s">
        <v>19</v>
      </c>
      <c r="B2767" s="4" t="s">
        <v>20</v>
      </c>
      <c r="C2767" s="4" t="s">
        <v>863</v>
      </c>
      <c r="D2767" s="4" t="s">
        <v>864</v>
      </c>
      <c r="E2767" s="4" t="s">
        <v>87</v>
      </c>
      <c r="F2767" s="4" t="s">
        <v>869</v>
      </c>
      <c r="G2767" s="4" t="s">
        <v>870</v>
      </c>
      <c r="H2767" s="4" t="s">
        <v>135</v>
      </c>
      <c r="I2767" s="4" t="s">
        <v>94</v>
      </c>
      <c r="J2767" s="4" t="s">
        <v>27</v>
      </c>
      <c r="K2767" s="4" t="s">
        <v>28</v>
      </c>
      <c r="L2767" s="4" t="s">
        <v>28</v>
      </c>
      <c r="M2767" s="4" t="s">
        <v>34</v>
      </c>
      <c r="N2767" s="4" t="s">
        <v>27</v>
      </c>
    </row>
    <row r="2768" spans="1:14" ht="14.4" thickBot="1" x14ac:dyDescent="0.35">
      <c r="A2768" s="4" t="s">
        <v>19</v>
      </c>
      <c r="B2768" s="4" t="s">
        <v>20</v>
      </c>
      <c r="C2768" s="4" t="s">
        <v>863</v>
      </c>
      <c r="D2768" s="4" t="s">
        <v>864</v>
      </c>
      <c r="E2768" s="4" t="s">
        <v>87</v>
      </c>
      <c r="F2768" s="4" t="s">
        <v>871</v>
      </c>
      <c r="G2768" s="4" t="s">
        <v>872</v>
      </c>
      <c r="H2768" s="4" t="s">
        <v>135</v>
      </c>
      <c r="I2768" s="4" t="s">
        <v>33</v>
      </c>
      <c r="J2768" s="4" t="s">
        <v>27</v>
      </c>
      <c r="K2768" s="4" t="s">
        <v>28</v>
      </c>
      <c r="L2768" s="4" t="s">
        <v>28</v>
      </c>
      <c r="M2768" s="4" t="s">
        <v>34</v>
      </c>
      <c r="N2768" s="4" t="s">
        <v>28</v>
      </c>
    </row>
    <row r="2769" spans="1:14" ht="14.4" thickBot="1" x14ac:dyDescent="0.35">
      <c r="A2769" s="4" t="s">
        <v>19</v>
      </c>
      <c r="B2769" s="4" t="s">
        <v>20</v>
      </c>
      <c r="C2769" s="4" t="s">
        <v>863</v>
      </c>
      <c r="D2769" s="4" t="s">
        <v>864</v>
      </c>
      <c r="E2769" s="4" t="s">
        <v>87</v>
      </c>
      <c r="F2769" s="4" t="s">
        <v>873</v>
      </c>
      <c r="G2769" s="4" t="s">
        <v>874</v>
      </c>
      <c r="H2769" s="4" t="s">
        <v>135</v>
      </c>
      <c r="I2769" s="4" t="s">
        <v>38</v>
      </c>
      <c r="J2769" s="4" t="s">
        <v>28</v>
      </c>
      <c r="K2769" s="4" t="s">
        <v>28</v>
      </c>
      <c r="L2769" s="4" t="s">
        <v>27</v>
      </c>
      <c r="M2769" s="4" t="s">
        <v>34</v>
      </c>
      <c r="N2769" s="4" t="s">
        <v>27</v>
      </c>
    </row>
    <row r="2770" spans="1:14" ht="14.4" thickBot="1" x14ac:dyDescent="0.35">
      <c r="A2770" s="4" t="s">
        <v>19</v>
      </c>
      <c r="B2770" s="4" t="s">
        <v>20</v>
      </c>
      <c r="C2770" s="4" t="s">
        <v>863</v>
      </c>
      <c r="D2770" s="4" t="s">
        <v>864</v>
      </c>
      <c r="E2770" s="4" t="s">
        <v>87</v>
      </c>
      <c r="F2770" s="4" t="s">
        <v>875</v>
      </c>
      <c r="G2770" s="4" t="s">
        <v>876</v>
      </c>
      <c r="H2770" s="4" t="s">
        <v>135</v>
      </c>
      <c r="I2770" s="4" t="s">
        <v>33</v>
      </c>
      <c r="J2770" s="4" t="s">
        <v>27</v>
      </c>
      <c r="K2770" s="4" t="s">
        <v>28</v>
      </c>
      <c r="L2770" s="4" t="s">
        <v>28</v>
      </c>
      <c r="M2770" s="4" t="s">
        <v>34</v>
      </c>
      <c r="N2770" s="4" t="s">
        <v>28</v>
      </c>
    </row>
    <row r="2771" spans="1:14" ht="14.4" thickBot="1" x14ac:dyDescent="0.35">
      <c r="A2771" s="4" t="s">
        <v>19</v>
      </c>
      <c r="B2771" s="4" t="s">
        <v>20</v>
      </c>
      <c r="C2771" s="4" t="s">
        <v>863</v>
      </c>
      <c r="D2771" s="4" t="s">
        <v>864</v>
      </c>
      <c r="E2771" s="4" t="s">
        <v>87</v>
      </c>
      <c r="F2771" s="4" t="s">
        <v>877</v>
      </c>
      <c r="G2771" s="4" t="s">
        <v>878</v>
      </c>
      <c r="H2771" s="4" t="s">
        <v>69</v>
      </c>
      <c r="I2771" s="4" t="s">
        <v>94</v>
      </c>
      <c r="J2771" s="4" t="s">
        <v>28</v>
      </c>
      <c r="K2771" s="4" t="s">
        <v>27</v>
      </c>
      <c r="L2771" s="4" t="s">
        <v>28</v>
      </c>
      <c r="M2771" s="4" t="s">
        <v>34</v>
      </c>
      <c r="N2771" s="4" t="s">
        <v>28</v>
      </c>
    </row>
    <row r="2772" spans="1:14" ht="14.4" thickBot="1" x14ac:dyDescent="0.35">
      <c r="A2772" s="4" t="s">
        <v>19</v>
      </c>
      <c r="B2772" s="4" t="s">
        <v>20</v>
      </c>
      <c r="C2772" s="4" t="s">
        <v>863</v>
      </c>
      <c r="D2772" s="4" t="s">
        <v>864</v>
      </c>
      <c r="E2772" s="4" t="s">
        <v>87</v>
      </c>
      <c r="F2772" s="4" t="s">
        <v>879</v>
      </c>
      <c r="G2772" s="4" t="s">
        <v>880</v>
      </c>
      <c r="H2772" s="4" t="s">
        <v>135</v>
      </c>
      <c r="I2772" s="4" t="s">
        <v>38</v>
      </c>
      <c r="J2772" s="4" t="s">
        <v>28</v>
      </c>
      <c r="K2772" s="4" t="s">
        <v>28</v>
      </c>
      <c r="L2772" s="4" t="s">
        <v>27</v>
      </c>
      <c r="M2772" s="4" t="s">
        <v>34</v>
      </c>
      <c r="N2772" s="4" t="s">
        <v>27</v>
      </c>
    </row>
    <row r="2773" spans="1:14" ht="14.4" thickBot="1" x14ac:dyDescent="0.35">
      <c r="A2773" s="4" t="s">
        <v>19</v>
      </c>
      <c r="B2773" s="4" t="s">
        <v>20</v>
      </c>
      <c r="C2773" s="4" t="s">
        <v>863</v>
      </c>
      <c r="D2773" s="4" t="s">
        <v>864</v>
      </c>
      <c r="E2773" s="4" t="s">
        <v>87</v>
      </c>
      <c r="F2773" s="4" t="s">
        <v>977</v>
      </c>
      <c r="G2773" s="4" t="s">
        <v>978</v>
      </c>
      <c r="H2773" s="4" t="s">
        <v>26</v>
      </c>
      <c r="I2773" s="4" t="s">
        <v>26</v>
      </c>
      <c r="J2773" s="4" t="s">
        <v>27</v>
      </c>
      <c r="K2773" s="4" t="s">
        <v>28</v>
      </c>
      <c r="L2773" s="4" t="s">
        <v>28</v>
      </c>
      <c r="M2773" s="4" t="s">
        <v>29</v>
      </c>
      <c r="N2773" s="4" t="s">
        <v>28</v>
      </c>
    </row>
    <row r="2774" spans="1:14" ht="14.4" thickBot="1" x14ac:dyDescent="0.35">
      <c r="A2774" s="4" t="s">
        <v>19</v>
      </c>
      <c r="B2774" s="4" t="s">
        <v>20</v>
      </c>
      <c r="C2774" s="4" t="s">
        <v>863</v>
      </c>
      <c r="D2774" s="4" t="s">
        <v>864</v>
      </c>
      <c r="E2774" s="4" t="s">
        <v>87</v>
      </c>
      <c r="F2774" s="4" t="s">
        <v>1742</v>
      </c>
      <c r="G2774" s="4" t="s">
        <v>1743</v>
      </c>
      <c r="H2774" s="4" t="s">
        <v>135</v>
      </c>
      <c r="I2774" s="4" t="s">
        <v>94</v>
      </c>
      <c r="J2774" s="4" t="s">
        <v>27</v>
      </c>
      <c r="K2774" s="4" t="s">
        <v>28</v>
      </c>
      <c r="L2774" s="4" t="s">
        <v>28</v>
      </c>
      <c r="M2774" s="4" t="s">
        <v>34</v>
      </c>
      <c r="N2774" s="4" t="s">
        <v>27</v>
      </c>
    </row>
    <row r="2775" spans="1:14" ht="14.4" thickBot="1" x14ac:dyDescent="0.35">
      <c r="A2775" s="4" t="s">
        <v>19</v>
      </c>
      <c r="B2775" s="4" t="s">
        <v>20</v>
      </c>
      <c r="C2775" s="4" t="s">
        <v>863</v>
      </c>
      <c r="D2775" s="4" t="s">
        <v>864</v>
      </c>
      <c r="E2775" s="4" t="s">
        <v>87</v>
      </c>
      <c r="F2775" s="4" t="s">
        <v>1744</v>
      </c>
      <c r="G2775" s="4" t="s">
        <v>1745</v>
      </c>
      <c r="H2775" s="4" t="s">
        <v>69</v>
      </c>
      <c r="I2775" s="4" t="s">
        <v>94</v>
      </c>
      <c r="J2775" s="4" t="s">
        <v>28</v>
      </c>
      <c r="K2775" s="4" t="s">
        <v>27</v>
      </c>
      <c r="L2775" s="4" t="s">
        <v>28</v>
      </c>
      <c r="M2775" s="4" t="s">
        <v>34</v>
      </c>
      <c r="N2775" s="4" t="s">
        <v>28</v>
      </c>
    </row>
    <row r="2776" spans="1:14" ht="14.4" thickBot="1" x14ac:dyDescent="0.35">
      <c r="A2776" s="4" t="s">
        <v>19</v>
      </c>
      <c r="B2776" s="4" t="s">
        <v>20</v>
      </c>
      <c r="C2776" s="4" t="s">
        <v>863</v>
      </c>
      <c r="D2776" s="4" t="s">
        <v>864</v>
      </c>
      <c r="E2776" s="4" t="s">
        <v>87</v>
      </c>
      <c r="F2776" s="4" t="s">
        <v>1746</v>
      </c>
      <c r="G2776" s="4" t="s">
        <v>1747</v>
      </c>
      <c r="H2776" s="4" t="s">
        <v>37</v>
      </c>
      <c r="I2776" s="4" t="s">
        <v>38</v>
      </c>
      <c r="J2776" s="4" t="s">
        <v>28</v>
      </c>
      <c r="K2776" s="4" t="s">
        <v>28</v>
      </c>
      <c r="L2776" s="4" t="s">
        <v>27</v>
      </c>
      <c r="M2776" s="4" t="s">
        <v>34</v>
      </c>
      <c r="N2776" s="4" t="s">
        <v>28</v>
      </c>
    </row>
    <row r="2777" spans="1:14" ht="14.4" thickBot="1" x14ac:dyDescent="0.35">
      <c r="A2777" s="4" t="s">
        <v>19</v>
      </c>
      <c r="B2777" s="4" t="s">
        <v>20</v>
      </c>
      <c r="C2777" s="4" t="s">
        <v>863</v>
      </c>
      <c r="D2777" s="4" t="s">
        <v>864</v>
      </c>
      <c r="E2777" s="4" t="s">
        <v>87</v>
      </c>
      <c r="F2777" s="4" t="s">
        <v>1852</v>
      </c>
      <c r="G2777" s="4" t="s">
        <v>1853</v>
      </c>
      <c r="H2777" s="4" t="s">
        <v>26</v>
      </c>
      <c r="I2777" s="4" t="s">
        <v>26</v>
      </c>
      <c r="J2777" s="4" t="s">
        <v>27</v>
      </c>
      <c r="K2777" s="4" t="s">
        <v>28</v>
      </c>
      <c r="L2777" s="4" t="s">
        <v>28</v>
      </c>
      <c r="M2777" s="4" t="s">
        <v>130</v>
      </c>
      <c r="N2777" s="4" t="s">
        <v>28</v>
      </c>
    </row>
    <row r="2778" spans="1:14" ht="14.4" thickBot="1" x14ac:dyDescent="0.35">
      <c r="A2778" s="4" t="s">
        <v>19</v>
      </c>
      <c r="B2778" s="4" t="s">
        <v>20</v>
      </c>
      <c r="C2778" s="4" t="s">
        <v>863</v>
      </c>
      <c r="D2778" s="4" t="s">
        <v>864</v>
      </c>
      <c r="E2778" s="4" t="s">
        <v>87</v>
      </c>
      <c r="F2778" s="4" t="s">
        <v>1854</v>
      </c>
      <c r="G2778" s="4" t="s">
        <v>1855</v>
      </c>
      <c r="H2778" s="4" t="s">
        <v>26</v>
      </c>
      <c r="I2778" s="4" t="s">
        <v>26</v>
      </c>
      <c r="J2778" s="4" t="s">
        <v>27</v>
      </c>
      <c r="K2778" s="4" t="s">
        <v>28</v>
      </c>
      <c r="L2778" s="4" t="s">
        <v>28</v>
      </c>
      <c r="M2778" s="4" t="s">
        <v>130</v>
      </c>
      <c r="N2778" s="4" t="s">
        <v>28</v>
      </c>
    </row>
    <row r="2779" spans="1:14" ht="14.4" thickBot="1" x14ac:dyDescent="0.35">
      <c r="A2779" s="4" t="s">
        <v>19</v>
      </c>
      <c r="B2779" s="4" t="s">
        <v>20</v>
      </c>
      <c r="C2779" s="4" t="s">
        <v>863</v>
      </c>
      <c r="D2779" s="4" t="s">
        <v>864</v>
      </c>
      <c r="E2779" s="4" t="s">
        <v>87</v>
      </c>
      <c r="F2779" s="4" t="s">
        <v>1856</v>
      </c>
      <c r="G2779" s="4" t="s">
        <v>1857</v>
      </c>
      <c r="H2779" s="4" t="s">
        <v>26</v>
      </c>
      <c r="I2779" s="4" t="s">
        <v>26</v>
      </c>
      <c r="J2779" s="4" t="s">
        <v>27</v>
      </c>
      <c r="K2779" s="4" t="s">
        <v>28</v>
      </c>
      <c r="L2779" s="4" t="s">
        <v>28</v>
      </c>
      <c r="M2779" s="4" t="s">
        <v>130</v>
      </c>
      <c r="N2779" s="4" t="s">
        <v>28</v>
      </c>
    </row>
    <row r="2780" spans="1:14" ht="14.4" thickBot="1" x14ac:dyDescent="0.35">
      <c r="A2780" s="4" t="s">
        <v>19</v>
      </c>
      <c r="B2780" s="4" t="s">
        <v>20</v>
      </c>
      <c r="C2780" s="4" t="s">
        <v>863</v>
      </c>
      <c r="D2780" s="4" t="s">
        <v>864</v>
      </c>
      <c r="E2780" s="4" t="s">
        <v>87</v>
      </c>
      <c r="F2780" s="4" t="s">
        <v>2428</v>
      </c>
      <c r="G2780" s="4" t="s">
        <v>629</v>
      </c>
      <c r="H2780" s="4" t="s">
        <v>26</v>
      </c>
      <c r="I2780" s="4" t="s">
        <v>33</v>
      </c>
      <c r="J2780" s="4" t="s">
        <v>27</v>
      </c>
      <c r="K2780" s="4" t="s">
        <v>28</v>
      </c>
      <c r="L2780" s="4" t="s">
        <v>28</v>
      </c>
      <c r="M2780" s="4" t="s">
        <v>34</v>
      </c>
      <c r="N2780" s="4" t="s">
        <v>28</v>
      </c>
    </row>
    <row r="2781" spans="1:14" ht="14.4" thickBot="1" x14ac:dyDescent="0.35">
      <c r="A2781" s="4" t="s">
        <v>19</v>
      </c>
      <c r="B2781" s="4" t="s">
        <v>20</v>
      </c>
      <c r="C2781" s="4" t="s">
        <v>863</v>
      </c>
      <c r="D2781" s="4" t="s">
        <v>864</v>
      </c>
      <c r="E2781" s="4" t="s">
        <v>87</v>
      </c>
      <c r="F2781" s="4" t="s">
        <v>2429</v>
      </c>
      <c r="G2781" s="4" t="s">
        <v>2430</v>
      </c>
      <c r="H2781" s="4" t="s">
        <v>37</v>
      </c>
      <c r="I2781" s="4" t="s">
        <v>38</v>
      </c>
      <c r="J2781" s="4" t="s">
        <v>28</v>
      </c>
      <c r="K2781" s="4" t="s">
        <v>28</v>
      </c>
      <c r="L2781" s="4" t="s">
        <v>27</v>
      </c>
      <c r="M2781" s="4" t="s">
        <v>34</v>
      </c>
      <c r="N2781" s="4" t="s">
        <v>28</v>
      </c>
    </row>
    <row r="2782" spans="1:14" ht="14.4" thickBot="1" x14ac:dyDescent="0.35">
      <c r="A2782" s="4" t="s">
        <v>19</v>
      </c>
      <c r="B2782" s="4" t="s">
        <v>20</v>
      </c>
      <c r="C2782" s="4" t="s">
        <v>863</v>
      </c>
      <c r="D2782" s="4" t="s">
        <v>864</v>
      </c>
      <c r="E2782" s="4" t="s">
        <v>87</v>
      </c>
      <c r="F2782" s="4" t="s">
        <v>2431</v>
      </c>
      <c r="G2782" s="4" t="s">
        <v>2432</v>
      </c>
      <c r="H2782" s="4" t="s">
        <v>135</v>
      </c>
      <c r="I2782" s="4" t="s">
        <v>33</v>
      </c>
      <c r="J2782" s="4" t="s">
        <v>27</v>
      </c>
      <c r="K2782" s="4" t="s">
        <v>28</v>
      </c>
      <c r="L2782" s="4" t="s">
        <v>28</v>
      </c>
      <c r="M2782" s="4" t="s">
        <v>34</v>
      </c>
      <c r="N2782" s="4" t="s">
        <v>28</v>
      </c>
    </row>
    <row r="2783" spans="1:14" ht="14.4" thickBot="1" x14ac:dyDescent="0.35">
      <c r="A2783" s="4" t="s">
        <v>19</v>
      </c>
      <c r="B2783" s="4" t="s">
        <v>20</v>
      </c>
      <c r="C2783" s="4" t="s">
        <v>863</v>
      </c>
      <c r="D2783" s="4" t="s">
        <v>864</v>
      </c>
      <c r="E2783" s="4" t="s">
        <v>87</v>
      </c>
      <c r="F2783" s="4" t="s">
        <v>2433</v>
      </c>
      <c r="G2783" s="4" t="s">
        <v>2434</v>
      </c>
      <c r="H2783" s="4" t="s">
        <v>69</v>
      </c>
      <c r="I2783" s="4" t="s">
        <v>94</v>
      </c>
      <c r="J2783" s="4" t="s">
        <v>28</v>
      </c>
      <c r="K2783" s="4" t="s">
        <v>27</v>
      </c>
      <c r="L2783" s="4" t="s">
        <v>28</v>
      </c>
      <c r="M2783" s="4" t="s">
        <v>34</v>
      </c>
      <c r="N2783" s="4" t="s">
        <v>28</v>
      </c>
    </row>
    <row r="2784" spans="1:14" ht="14.4" thickBot="1" x14ac:dyDescent="0.35">
      <c r="A2784" s="4" t="s">
        <v>19</v>
      </c>
      <c r="B2784" s="4" t="s">
        <v>20</v>
      </c>
      <c r="C2784" s="4" t="s">
        <v>863</v>
      </c>
      <c r="D2784" s="4" t="s">
        <v>864</v>
      </c>
      <c r="E2784" s="4" t="s">
        <v>87</v>
      </c>
      <c r="F2784" s="4" t="s">
        <v>2507</v>
      </c>
      <c r="G2784" s="4" t="s">
        <v>2508</v>
      </c>
      <c r="H2784" s="4" t="s">
        <v>26</v>
      </c>
      <c r="I2784" s="4" t="s">
        <v>26</v>
      </c>
      <c r="J2784" s="4" t="s">
        <v>27</v>
      </c>
      <c r="K2784" s="4" t="s">
        <v>28</v>
      </c>
      <c r="L2784" s="4" t="s">
        <v>28</v>
      </c>
      <c r="M2784" s="4" t="s">
        <v>29</v>
      </c>
      <c r="N2784" s="4" t="s">
        <v>28</v>
      </c>
    </row>
    <row r="2785" spans="1:14" ht="14.4" thickBot="1" x14ac:dyDescent="0.35">
      <c r="A2785" s="4" t="s">
        <v>19</v>
      </c>
      <c r="B2785" s="4" t="s">
        <v>20</v>
      </c>
      <c r="C2785" s="4" t="s">
        <v>863</v>
      </c>
      <c r="D2785" s="4" t="s">
        <v>864</v>
      </c>
      <c r="E2785" s="4" t="s">
        <v>87</v>
      </c>
      <c r="F2785" s="4" t="s">
        <v>2509</v>
      </c>
      <c r="G2785" s="4" t="s">
        <v>2510</v>
      </c>
      <c r="H2785" s="4" t="s">
        <v>26</v>
      </c>
      <c r="I2785" s="4" t="s">
        <v>26</v>
      </c>
      <c r="J2785" s="4" t="s">
        <v>27</v>
      </c>
      <c r="K2785" s="4" t="s">
        <v>28</v>
      </c>
      <c r="L2785" s="4" t="s">
        <v>28</v>
      </c>
      <c r="M2785" s="4" t="s">
        <v>130</v>
      </c>
      <c r="N2785" s="4" t="s">
        <v>28</v>
      </c>
    </row>
    <row r="2786" spans="1:14" ht="14.4" thickBot="1" x14ac:dyDescent="0.35">
      <c r="A2786" s="4" t="s">
        <v>19</v>
      </c>
      <c r="B2786" s="4" t="s">
        <v>20</v>
      </c>
      <c r="C2786" s="4" t="s">
        <v>863</v>
      </c>
      <c r="D2786" s="4" t="s">
        <v>864</v>
      </c>
      <c r="E2786" s="4" t="s">
        <v>87</v>
      </c>
      <c r="F2786" s="4" t="s">
        <v>2511</v>
      </c>
      <c r="G2786" s="4" t="s">
        <v>2512</v>
      </c>
      <c r="H2786" s="4" t="s">
        <v>26</v>
      </c>
      <c r="I2786" s="4" t="s">
        <v>26</v>
      </c>
      <c r="J2786" s="4" t="s">
        <v>27</v>
      </c>
      <c r="K2786" s="4" t="s">
        <v>28</v>
      </c>
      <c r="L2786" s="4" t="s">
        <v>28</v>
      </c>
      <c r="M2786" s="4" t="s">
        <v>130</v>
      </c>
      <c r="N2786" s="4" t="s">
        <v>28</v>
      </c>
    </row>
    <row r="2787" spans="1:14" ht="14.4" thickBot="1" x14ac:dyDescent="0.35">
      <c r="A2787" s="4" t="s">
        <v>19</v>
      </c>
      <c r="B2787" s="4" t="s">
        <v>20</v>
      </c>
      <c r="C2787" s="4" t="s">
        <v>863</v>
      </c>
      <c r="D2787" s="4" t="s">
        <v>864</v>
      </c>
      <c r="E2787" s="4" t="s">
        <v>87</v>
      </c>
      <c r="F2787" s="4" t="s">
        <v>2513</v>
      </c>
      <c r="G2787" s="4" t="s">
        <v>2514</v>
      </c>
      <c r="H2787" s="4" t="s">
        <v>26</v>
      </c>
      <c r="I2787" s="4" t="s">
        <v>26</v>
      </c>
      <c r="J2787" s="4" t="s">
        <v>27</v>
      </c>
      <c r="K2787" s="4" t="s">
        <v>28</v>
      </c>
      <c r="L2787" s="4" t="s">
        <v>28</v>
      </c>
      <c r="M2787" s="4" t="s">
        <v>130</v>
      </c>
      <c r="N2787" s="4" t="s">
        <v>28</v>
      </c>
    </row>
    <row r="2788" spans="1:14" ht="14.4" thickBot="1" x14ac:dyDescent="0.35">
      <c r="A2788" s="4" t="s">
        <v>19</v>
      </c>
      <c r="B2788" s="4" t="s">
        <v>20</v>
      </c>
      <c r="C2788" s="4" t="s">
        <v>863</v>
      </c>
      <c r="D2788" s="4" t="s">
        <v>864</v>
      </c>
      <c r="E2788" s="4" t="s">
        <v>87</v>
      </c>
      <c r="F2788" s="4" t="s">
        <v>3168</v>
      </c>
      <c r="G2788" s="4" t="s">
        <v>3169</v>
      </c>
      <c r="H2788" s="4" t="s">
        <v>135</v>
      </c>
      <c r="I2788" s="4" t="s">
        <v>94</v>
      </c>
      <c r="J2788" s="4" t="s">
        <v>27</v>
      </c>
      <c r="K2788" s="4" t="s">
        <v>28</v>
      </c>
      <c r="L2788" s="4" t="s">
        <v>28</v>
      </c>
      <c r="M2788" s="4" t="s">
        <v>34</v>
      </c>
      <c r="N2788" s="4" t="s">
        <v>28</v>
      </c>
    </row>
    <row r="2789" spans="1:14" ht="14.4" thickBot="1" x14ac:dyDescent="0.35">
      <c r="A2789" s="4" t="s">
        <v>19</v>
      </c>
      <c r="B2789" s="4" t="s">
        <v>20</v>
      </c>
      <c r="C2789" s="4" t="s">
        <v>863</v>
      </c>
      <c r="D2789" s="4" t="s">
        <v>864</v>
      </c>
      <c r="E2789" s="4" t="s">
        <v>87</v>
      </c>
      <c r="F2789" s="4" t="s">
        <v>3170</v>
      </c>
      <c r="G2789" s="4" t="s">
        <v>3171</v>
      </c>
      <c r="H2789" s="4" t="s">
        <v>135</v>
      </c>
      <c r="I2789" s="4" t="s">
        <v>94</v>
      </c>
      <c r="J2789" s="4" t="s">
        <v>27</v>
      </c>
      <c r="K2789" s="4" t="s">
        <v>28</v>
      </c>
      <c r="L2789" s="4" t="s">
        <v>28</v>
      </c>
      <c r="M2789" s="4" t="s">
        <v>34</v>
      </c>
      <c r="N2789" s="4" t="s">
        <v>28</v>
      </c>
    </row>
    <row r="2790" spans="1:14" ht="14.4" thickBot="1" x14ac:dyDescent="0.35">
      <c r="A2790" s="4" t="s">
        <v>19</v>
      </c>
      <c r="B2790" s="4" t="s">
        <v>20</v>
      </c>
      <c r="C2790" s="4" t="s">
        <v>863</v>
      </c>
      <c r="D2790" s="4" t="s">
        <v>864</v>
      </c>
      <c r="E2790" s="4" t="s">
        <v>87</v>
      </c>
      <c r="F2790" s="4" t="s">
        <v>3172</v>
      </c>
      <c r="G2790" s="4" t="s">
        <v>3173</v>
      </c>
      <c r="H2790" s="4" t="s">
        <v>135</v>
      </c>
      <c r="I2790" s="4" t="s">
        <v>94</v>
      </c>
      <c r="J2790" s="4" t="s">
        <v>27</v>
      </c>
      <c r="K2790" s="4" t="s">
        <v>28</v>
      </c>
      <c r="L2790" s="4" t="s">
        <v>28</v>
      </c>
      <c r="M2790" s="4" t="s">
        <v>34</v>
      </c>
      <c r="N2790" s="4" t="s">
        <v>28</v>
      </c>
    </row>
    <row r="2791" spans="1:14" ht="14.4" thickBot="1" x14ac:dyDescent="0.35">
      <c r="A2791" s="4" t="s">
        <v>19</v>
      </c>
      <c r="B2791" s="4" t="s">
        <v>20</v>
      </c>
      <c r="C2791" s="4" t="s">
        <v>863</v>
      </c>
      <c r="D2791" s="4" t="s">
        <v>864</v>
      </c>
      <c r="E2791" s="4" t="s">
        <v>87</v>
      </c>
      <c r="F2791" s="4" t="s">
        <v>3174</v>
      </c>
      <c r="G2791" s="4" t="s">
        <v>3175</v>
      </c>
      <c r="H2791" s="4" t="s">
        <v>135</v>
      </c>
      <c r="I2791" s="4" t="s">
        <v>33</v>
      </c>
      <c r="J2791" s="4" t="s">
        <v>27</v>
      </c>
      <c r="K2791" s="4" t="s">
        <v>28</v>
      </c>
      <c r="L2791" s="4" t="s">
        <v>28</v>
      </c>
      <c r="M2791" s="4" t="s">
        <v>34</v>
      </c>
      <c r="N2791" s="4" t="s">
        <v>28</v>
      </c>
    </row>
    <row r="2792" spans="1:14" ht="14.4" thickBot="1" x14ac:dyDescent="0.35">
      <c r="A2792" s="4" t="s">
        <v>19</v>
      </c>
      <c r="B2792" s="4" t="s">
        <v>20</v>
      </c>
      <c r="C2792" s="4" t="s">
        <v>863</v>
      </c>
      <c r="D2792" s="4" t="s">
        <v>864</v>
      </c>
      <c r="E2792" s="4" t="s">
        <v>87</v>
      </c>
      <c r="F2792" s="4" t="s">
        <v>3176</v>
      </c>
      <c r="G2792" s="4" t="s">
        <v>3177</v>
      </c>
      <c r="H2792" s="4" t="s">
        <v>69</v>
      </c>
      <c r="I2792" s="4" t="s">
        <v>94</v>
      </c>
      <c r="J2792" s="4" t="s">
        <v>28</v>
      </c>
      <c r="K2792" s="4" t="s">
        <v>27</v>
      </c>
      <c r="L2792" s="4" t="s">
        <v>28</v>
      </c>
      <c r="M2792" s="4" t="s">
        <v>34</v>
      </c>
      <c r="N2792" s="4" t="s">
        <v>28</v>
      </c>
    </row>
    <row r="2793" spans="1:14" ht="14.4" thickBot="1" x14ac:dyDescent="0.35">
      <c r="A2793" s="4" t="s">
        <v>19</v>
      </c>
      <c r="B2793" s="4" t="s">
        <v>20</v>
      </c>
      <c r="C2793" s="4" t="s">
        <v>863</v>
      </c>
      <c r="D2793" s="4" t="s">
        <v>864</v>
      </c>
      <c r="E2793" s="4" t="s">
        <v>87</v>
      </c>
      <c r="F2793" s="4" t="s">
        <v>3268</v>
      </c>
      <c r="G2793" s="4" t="s">
        <v>3269</v>
      </c>
      <c r="H2793" s="4" t="s">
        <v>26</v>
      </c>
      <c r="I2793" s="4" t="s">
        <v>26</v>
      </c>
      <c r="J2793" s="4" t="s">
        <v>27</v>
      </c>
      <c r="K2793" s="4" t="s">
        <v>28</v>
      </c>
      <c r="L2793" s="4" t="s">
        <v>28</v>
      </c>
      <c r="M2793" s="4" t="s">
        <v>29</v>
      </c>
      <c r="N2793" s="4" t="s">
        <v>28</v>
      </c>
    </row>
    <row r="2794" spans="1:14" ht="14.4" thickBot="1" x14ac:dyDescent="0.35">
      <c r="A2794" s="4" t="s">
        <v>19</v>
      </c>
      <c r="B2794" s="4" t="s">
        <v>20</v>
      </c>
      <c r="C2794" s="4" t="s">
        <v>863</v>
      </c>
      <c r="D2794" s="4" t="s">
        <v>864</v>
      </c>
      <c r="E2794" s="4" t="s">
        <v>87</v>
      </c>
      <c r="F2794" s="4" t="s">
        <v>3270</v>
      </c>
      <c r="G2794" s="4" t="s">
        <v>3271</v>
      </c>
      <c r="H2794" s="4" t="s">
        <v>26</v>
      </c>
      <c r="I2794" s="4" t="s">
        <v>26</v>
      </c>
      <c r="J2794" s="4" t="s">
        <v>27</v>
      </c>
      <c r="K2794" s="4" t="s">
        <v>28</v>
      </c>
      <c r="L2794" s="4" t="s">
        <v>28</v>
      </c>
      <c r="M2794" s="4" t="s">
        <v>130</v>
      </c>
      <c r="N2794" s="4" t="s">
        <v>28</v>
      </c>
    </row>
    <row r="2795" spans="1:14" ht="14.4" thickBot="1" x14ac:dyDescent="0.35">
      <c r="A2795" s="4" t="s">
        <v>19</v>
      </c>
      <c r="B2795" s="4" t="s">
        <v>20</v>
      </c>
      <c r="C2795" s="4" t="s">
        <v>863</v>
      </c>
      <c r="D2795" s="4" t="s">
        <v>864</v>
      </c>
      <c r="E2795" s="4" t="s">
        <v>87</v>
      </c>
      <c r="F2795" s="4" t="s">
        <v>3998</v>
      </c>
      <c r="G2795" s="4" t="s">
        <v>3774</v>
      </c>
      <c r="H2795" s="4" t="s">
        <v>135</v>
      </c>
      <c r="I2795" s="4" t="s">
        <v>33</v>
      </c>
      <c r="J2795" s="4" t="s">
        <v>27</v>
      </c>
      <c r="K2795" s="4" t="s">
        <v>28</v>
      </c>
      <c r="L2795" s="4" t="s">
        <v>28</v>
      </c>
      <c r="M2795" s="4" t="s">
        <v>34</v>
      </c>
      <c r="N2795" s="4" t="s">
        <v>28</v>
      </c>
    </row>
    <row r="2796" spans="1:14" ht="14.4" thickBot="1" x14ac:dyDescent="0.35">
      <c r="A2796" s="4" t="s">
        <v>19</v>
      </c>
      <c r="B2796" s="4" t="s">
        <v>20</v>
      </c>
      <c r="C2796" s="4" t="s">
        <v>863</v>
      </c>
      <c r="D2796" s="4" t="s">
        <v>864</v>
      </c>
      <c r="E2796" s="4" t="s">
        <v>87</v>
      </c>
      <c r="F2796" s="4" t="s">
        <v>3999</v>
      </c>
      <c r="G2796" s="4" t="s">
        <v>4000</v>
      </c>
      <c r="H2796" s="4" t="s">
        <v>26</v>
      </c>
      <c r="I2796" s="4" t="s">
        <v>33</v>
      </c>
      <c r="J2796" s="4" t="s">
        <v>27</v>
      </c>
      <c r="K2796" s="4" t="s">
        <v>28</v>
      </c>
      <c r="L2796" s="4" t="s">
        <v>28</v>
      </c>
      <c r="M2796" s="4" t="s">
        <v>34</v>
      </c>
      <c r="N2796" s="4" t="s">
        <v>28</v>
      </c>
    </row>
    <row r="2797" spans="1:14" ht="14.4" thickBot="1" x14ac:dyDescent="0.35">
      <c r="A2797" s="4" t="s">
        <v>19</v>
      </c>
      <c r="B2797" s="4" t="s">
        <v>20</v>
      </c>
      <c r="C2797" s="4" t="s">
        <v>863</v>
      </c>
      <c r="D2797" s="4" t="s">
        <v>864</v>
      </c>
      <c r="E2797" s="4" t="s">
        <v>87</v>
      </c>
      <c r="F2797" s="4" t="s">
        <v>4078</v>
      </c>
      <c r="G2797" s="4" t="s">
        <v>4079</v>
      </c>
      <c r="H2797" s="4" t="s">
        <v>26</v>
      </c>
      <c r="I2797" s="4" t="s">
        <v>26</v>
      </c>
      <c r="J2797" s="4" t="s">
        <v>27</v>
      </c>
      <c r="K2797" s="4" t="s">
        <v>28</v>
      </c>
      <c r="L2797" s="4" t="s">
        <v>28</v>
      </c>
      <c r="M2797" s="4" t="s">
        <v>29</v>
      </c>
      <c r="N2797" s="4" t="s">
        <v>28</v>
      </c>
    </row>
    <row r="2798" spans="1:14" ht="14.4" thickBot="1" x14ac:dyDescent="0.35">
      <c r="A2798" s="4" t="s">
        <v>19</v>
      </c>
      <c r="B2798" s="4" t="s">
        <v>20</v>
      </c>
      <c r="C2798" s="4" t="s">
        <v>863</v>
      </c>
      <c r="D2798" s="4" t="s">
        <v>864</v>
      </c>
      <c r="E2798" s="4" t="s">
        <v>87</v>
      </c>
      <c r="F2798" s="4" t="s">
        <v>4080</v>
      </c>
      <c r="G2798" s="4" t="s">
        <v>4081</v>
      </c>
      <c r="H2798" s="4" t="s">
        <v>26</v>
      </c>
      <c r="I2798" s="4" t="s">
        <v>26</v>
      </c>
      <c r="J2798" s="4" t="s">
        <v>27</v>
      </c>
      <c r="K2798" s="4" t="s">
        <v>28</v>
      </c>
      <c r="L2798" s="4" t="s">
        <v>28</v>
      </c>
      <c r="M2798" s="4" t="s">
        <v>130</v>
      </c>
      <c r="N2798" s="4" t="s">
        <v>28</v>
      </c>
    </row>
    <row r="2799" spans="1:14" ht="14.4" thickBot="1" x14ac:dyDescent="0.35">
      <c r="A2799" s="4" t="s">
        <v>19</v>
      </c>
      <c r="B2799" s="4" t="s">
        <v>20</v>
      </c>
      <c r="C2799" s="4" t="s">
        <v>863</v>
      </c>
      <c r="D2799" s="4" t="s">
        <v>864</v>
      </c>
      <c r="E2799" s="4" t="s">
        <v>87</v>
      </c>
      <c r="F2799" s="4" t="s">
        <v>4082</v>
      </c>
      <c r="G2799" s="4" t="s">
        <v>4083</v>
      </c>
      <c r="H2799" s="4" t="s">
        <v>26</v>
      </c>
      <c r="I2799" s="4" t="s">
        <v>26</v>
      </c>
      <c r="J2799" s="4" t="s">
        <v>27</v>
      </c>
      <c r="K2799" s="4" t="s">
        <v>28</v>
      </c>
      <c r="L2799" s="4" t="s">
        <v>28</v>
      </c>
      <c r="M2799" s="4" t="s">
        <v>29</v>
      </c>
      <c r="N2799" s="4" t="s">
        <v>28</v>
      </c>
    </row>
    <row r="2800" spans="1:14" ht="14.4" thickBot="1" x14ac:dyDescent="0.35">
      <c r="A2800" s="4" t="s">
        <v>19</v>
      </c>
      <c r="B2800" s="4" t="s">
        <v>20</v>
      </c>
      <c r="C2800" s="4" t="s">
        <v>863</v>
      </c>
      <c r="D2800" s="4" t="s">
        <v>864</v>
      </c>
      <c r="E2800" s="4" t="s">
        <v>87</v>
      </c>
      <c r="F2800" s="4" t="s">
        <v>4084</v>
      </c>
      <c r="G2800" s="4" t="s">
        <v>4085</v>
      </c>
      <c r="H2800" s="4" t="s">
        <v>26</v>
      </c>
      <c r="I2800" s="4" t="s">
        <v>38</v>
      </c>
      <c r="J2800" s="5"/>
      <c r="K2800" s="5"/>
      <c r="L2800" s="5"/>
      <c r="M2800" s="4" t="s">
        <v>29</v>
      </c>
      <c r="N2800" s="5"/>
    </row>
    <row r="2801" spans="1:14" ht="14.4" thickBot="1" x14ac:dyDescent="0.35">
      <c r="A2801" s="4" t="s">
        <v>19</v>
      </c>
      <c r="B2801" s="4" t="s">
        <v>20</v>
      </c>
      <c r="C2801" s="4" t="s">
        <v>863</v>
      </c>
      <c r="D2801" s="4" t="s">
        <v>864</v>
      </c>
      <c r="E2801" s="4" t="s">
        <v>87</v>
      </c>
      <c r="F2801" s="4" t="s">
        <v>4695</v>
      </c>
      <c r="G2801" s="4" t="s">
        <v>4696</v>
      </c>
      <c r="H2801" s="4" t="s">
        <v>135</v>
      </c>
      <c r="I2801" s="4" t="s">
        <v>94</v>
      </c>
      <c r="J2801" s="4" t="s">
        <v>27</v>
      </c>
      <c r="K2801" s="4" t="s">
        <v>28</v>
      </c>
      <c r="L2801" s="4" t="s">
        <v>28</v>
      </c>
      <c r="M2801" s="4" t="s">
        <v>34</v>
      </c>
      <c r="N2801" s="4" t="s">
        <v>28</v>
      </c>
    </row>
    <row r="2802" spans="1:14" ht="14.4" thickBot="1" x14ac:dyDescent="0.35">
      <c r="A2802" s="4" t="s">
        <v>19</v>
      </c>
      <c r="B2802" s="4" t="s">
        <v>20</v>
      </c>
      <c r="C2802" s="4" t="s">
        <v>863</v>
      </c>
      <c r="D2802" s="4" t="s">
        <v>864</v>
      </c>
      <c r="E2802" s="4" t="s">
        <v>87</v>
      </c>
      <c r="F2802" s="4" t="s">
        <v>4697</v>
      </c>
      <c r="G2802" s="4" t="s">
        <v>4698</v>
      </c>
      <c r="H2802" s="4" t="s">
        <v>135</v>
      </c>
      <c r="I2802" s="4" t="s">
        <v>33</v>
      </c>
      <c r="J2802" s="4" t="s">
        <v>27</v>
      </c>
      <c r="K2802" s="4" t="s">
        <v>28</v>
      </c>
      <c r="L2802" s="4" t="s">
        <v>28</v>
      </c>
      <c r="M2802" s="4" t="s">
        <v>34</v>
      </c>
      <c r="N2802" s="4" t="s">
        <v>28</v>
      </c>
    </row>
    <row r="2803" spans="1:14" ht="14.4" thickBot="1" x14ac:dyDescent="0.35">
      <c r="A2803" s="4" t="s">
        <v>19</v>
      </c>
      <c r="B2803" s="4" t="s">
        <v>20</v>
      </c>
      <c r="C2803" s="4" t="s">
        <v>863</v>
      </c>
      <c r="D2803" s="4" t="s">
        <v>864</v>
      </c>
      <c r="E2803" s="4" t="s">
        <v>87</v>
      </c>
      <c r="F2803" s="4" t="s">
        <v>4699</v>
      </c>
      <c r="G2803" s="4" t="s">
        <v>4700</v>
      </c>
      <c r="H2803" s="4" t="s">
        <v>37</v>
      </c>
      <c r="I2803" s="4" t="s">
        <v>38</v>
      </c>
      <c r="J2803" s="4" t="s">
        <v>28</v>
      </c>
      <c r="K2803" s="4" t="s">
        <v>28</v>
      </c>
      <c r="L2803" s="4" t="s">
        <v>27</v>
      </c>
      <c r="M2803" s="4" t="s">
        <v>34</v>
      </c>
      <c r="N2803" s="4" t="s">
        <v>28</v>
      </c>
    </row>
    <row r="2804" spans="1:14" ht="14.4" thickBot="1" x14ac:dyDescent="0.35">
      <c r="A2804" s="4" t="s">
        <v>19</v>
      </c>
      <c r="B2804" s="4" t="s">
        <v>20</v>
      </c>
      <c r="C2804" s="4" t="s">
        <v>863</v>
      </c>
      <c r="D2804" s="4" t="s">
        <v>864</v>
      </c>
      <c r="E2804" s="4" t="s">
        <v>87</v>
      </c>
      <c r="F2804" s="4" t="s">
        <v>4701</v>
      </c>
      <c r="G2804" s="4" t="s">
        <v>4662</v>
      </c>
      <c r="H2804" s="4" t="s">
        <v>135</v>
      </c>
      <c r="I2804" s="4" t="s">
        <v>33</v>
      </c>
      <c r="J2804" s="4" t="s">
        <v>27</v>
      </c>
      <c r="K2804" s="4" t="s">
        <v>28</v>
      </c>
      <c r="L2804" s="4" t="s">
        <v>28</v>
      </c>
      <c r="M2804" s="4" t="s">
        <v>34</v>
      </c>
      <c r="N2804" s="4" t="s">
        <v>28</v>
      </c>
    </row>
    <row r="2805" spans="1:14" ht="14.4" thickBot="1" x14ac:dyDescent="0.35">
      <c r="A2805" s="4" t="s">
        <v>19</v>
      </c>
      <c r="B2805" s="4" t="s">
        <v>20</v>
      </c>
      <c r="C2805" s="4" t="s">
        <v>863</v>
      </c>
      <c r="D2805" s="4" t="s">
        <v>864</v>
      </c>
      <c r="E2805" s="4" t="s">
        <v>87</v>
      </c>
      <c r="F2805" s="4" t="s">
        <v>4786</v>
      </c>
      <c r="G2805" s="4" t="s">
        <v>4787</v>
      </c>
      <c r="H2805" s="4" t="s">
        <v>26</v>
      </c>
      <c r="I2805" s="4" t="s">
        <v>26</v>
      </c>
      <c r="J2805" s="4" t="s">
        <v>27</v>
      </c>
      <c r="K2805" s="4" t="s">
        <v>28</v>
      </c>
      <c r="L2805" s="4" t="s">
        <v>28</v>
      </c>
      <c r="M2805" s="4" t="s">
        <v>29</v>
      </c>
      <c r="N2805" s="4" t="s">
        <v>28</v>
      </c>
    </row>
    <row r="2806" spans="1:14" ht="14.4" thickBot="1" x14ac:dyDescent="0.35">
      <c r="A2806" s="4" t="s">
        <v>19</v>
      </c>
      <c r="B2806" s="4" t="s">
        <v>20</v>
      </c>
      <c r="C2806" s="4" t="s">
        <v>863</v>
      </c>
      <c r="D2806" s="4" t="s">
        <v>864</v>
      </c>
      <c r="E2806" s="4" t="s">
        <v>87</v>
      </c>
      <c r="F2806" s="4" t="s">
        <v>4788</v>
      </c>
      <c r="G2806" s="4" t="s">
        <v>4789</v>
      </c>
      <c r="H2806" s="4" t="s">
        <v>116</v>
      </c>
      <c r="I2806" s="4" t="s">
        <v>33</v>
      </c>
      <c r="J2806" s="4" t="s">
        <v>27</v>
      </c>
      <c r="K2806" s="4" t="s">
        <v>28</v>
      </c>
      <c r="L2806" s="4" t="s">
        <v>28</v>
      </c>
      <c r="M2806" s="4" t="s">
        <v>34</v>
      </c>
      <c r="N2806" s="4" t="s">
        <v>27</v>
      </c>
    </row>
    <row r="2807" spans="1:14" ht="14.4" thickBot="1" x14ac:dyDescent="0.35">
      <c r="A2807" s="4" t="s">
        <v>19</v>
      </c>
      <c r="B2807" s="4" t="s">
        <v>20</v>
      </c>
      <c r="C2807" s="4" t="s">
        <v>863</v>
      </c>
      <c r="D2807" s="4" t="s">
        <v>864</v>
      </c>
      <c r="E2807" s="4" t="s">
        <v>87</v>
      </c>
      <c r="F2807" s="4" t="s">
        <v>4790</v>
      </c>
      <c r="G2807" s="4" t="s">
        <v>4791</v>
      </c>
      <c r="H2807" s="4" t="s">
        <v>26</v>
      </c>
      <c r="I2807" s="4" t="s">
        <v>26</v>
      </c>
      <c r="J2807" s="4" t="s">
        <v>27</v>
      </c>
      <c r="K2807" s="4" t="s">
        <v>28</v>
      </c>
      <c r="L2807" s="4" t="s">
        <v>28</v>
      </c>
      <c r="M2807" s="4" t="s">
        <v>29</v>
      </c>
      <c r="N2807" s="4" t="s">
        <v>28</v>
      </c>
    </row>
    <row r="2808" spans="1:14" ht="14.4" thickBot="1" x14ac:dyDescent="0.35">
      <c r="A2808" s="4" t="s">
        <v>19</v>
      </c>
      <c r="B2808" s="4" t="s">
        <v>20</v>
      </c>
      <c r="C2808" s="4" t="s">
        <v>863</v>
      </c>
      <c r="D2808" s="4" t="s">
        <v>864</v>
      </c>
      <c r="E2808" s="4" t="s">
        <v>87</v>
      </c>
      <c r="F2808" s="4" t="s">
        <v>5395</v>
      </c>
      <c r="G2808" s="4" t="s">
        <v>5396</v>
      </c>
      <c r="H2808" s="4" t="s">
        <v>135</v>
      </c>
      <c r="I2808" s="4" t="s">
        <v>33</v>
      </c>
      <c r="J2808" s="4" t="s">
        <v>27</v>
      </c>
      <c r="K2808" s="4" t="s">
        <v>28</v>
      </c>
      <c r="L2808" s="4" t="s">
        <v>28</v>
      </c>
      <c r="M2808" s="4" t="s">
        <v>34</v>
      </c>
      <c r="N2808" s="4" t="s">
        <v>28</v>
      </c>
    </row>
    <row r="2809" spans="1:14" ht="14.4" thickBot="1" x14ac:dyDescent="0.35">
      <c r="A2809" s="4" t="s">
        <v>19</v>
      </c>
      <c r="B2809" s="4" t="s">
        <v>20</v>
      </c>
      <c r="C2809" s="4" t="s">
        <v>863</v>
      </c>
      <c r="D2809" s="4" t="s">
        <v>864</v>
      </c>
      <c r="E2809" s="4" t="s">
        <v>87</v>
      </c>
      <c r="F2809" s="4" t="s">
        <v>5397</v>
      </c>
      <c r="G2809" s="4" t="s">
        <v>5398</v>
      </c>
      <c r="H2809" s="4" t="s">
        <v>26</v>
      </c>
      <c r="I2809" s="4" t="s">
        <v>26</v>
      </c>
      <c r="J2809" s="4" t="s">
        <v>27</v>
      </c>
      <c r="K2809" s="4" t="s">
        <v>28</v>
      </c>
      <c r="L2809" s="4" t="s">
        <v>28</v>
      </c>
      <c r="M2809" s="4" t="s">
        <v>34</v>
      </c>
      <c r="N2809" s="4" t="s">
        <v>28</v>
      </c>
    </row>
    <row r="2810" spans="1:14" ht="14.4" thickBot="1" x14ac:dyDescent="0.35">
      <c r="A2810" s="4" t="s">
        <v>19</v>
      </c>
      <c r="B2810" s="4" t="s">
        <v>20</v>
      </c>
      <c r="C2810" s="4" t="s">
        <v>863</v>
      </c>
      <c r="D2810" s="4" t="s">
        <v>864</v>
      </c>
      <c r="E2810" s="4" t="s">
        <v>87</v>
      </c>
      <c r="F2810" s="4" t="s">
        <v>5399</v>
      </c>
      <c r="G2810" s="4" t="s">
        <v>5400</v>
      </c>
      <c r="H2810" s="4" t="s">
        <v>135</v>
      </c>
      <c r="I2810" s="4" t="s">
        <v>33</v>
      </c>
      <c r="J2810" s="4" t="s">
        <v>27</v>
      </c>
      <c r="K2810" s="4" t="s">
        <v>28</v>
      </c>
      <c r="L2810" s="4" t="s">
        <v>28</v>
      </c>
      <c r="M2810" s="4" t="s">
        <v>34</v>
      </c>
      <c r="N2810" s="4" t="s">
        <v>28</v>
      </c>
    </row>
    <row r="2811" spans="1:14" ht="14.4" thickBot="1" x14ac:dyDescent="0.35">
      <c r="A2811" s="4" t="s">
        <v>19</v>
      </c>
      <c r="B2811" s="4" t="s">
        <v>20</v>
      </c>
      <c r="C2811" s="4" t="s">
        <v>863</v>
      </c>
      <c r="D2811" s="4" t="s">
        <v>864</v>
      </c>
      <c r="E2811" s="4" t="s">
        <v>87</v>
      </c>
      <c r="F2811" s="4" t="s">
        <v>5476</v>
      </c>
      <c r="G2811" s="4" t="s">
        <v>5477</v>
      </c>
      <c r="H2811" s="4" t="s">
        <v>135</v>
      </c>
      <c r="I2811" s="4" t="s">
        <v>94</v>
      </c>
      <c r="J2811" s="5"/>
      <c r="K2811" s="5"/>
      <c r="L2811" s="5"/>
      <c r="M2811" s="4" t="s">
        <v>29</v>
      </c>
      <c r="N2811" s="5"/>
    </row>
    <row r="2812" spans="1:14" ht="14.4" thickBot="1" x14ac:dyDescent="0.35">
      <c r="A2812" s="4" t="s">
        <v>19</v>
      </c>
      <c r="B2812" s="4" t="s">
        <v>20</v>
      </c>
      <c r="C2812" s="4" t="s">
        <v>863</v>
      </c>
      <c r="D2812" s="4" t="s">
        <v>864</v>
      </c>
      <c r="E2812" s="4" t="s">
        <v>87</v>
      </c>
      <c r="F2812" s="4" t="s">
        <v>5478</v>
      </c>
      <c r="G2812" s="4" t="s">
        <v>5479</v>
      </c>
      <c r="H2812" s="4" t="s">
        <v>135</v>
      </c>
      <c r="I2812" s="4" t="s">
        <v>38</v>
      </c>
      <c r="J2812" s="4" t="s">
        <v>28</v>
      </c>
      <c r="K2812" s="4" t="s">
        <v>28</v>
      </c>
      <c r="L2812" s="4" t="s">
        <v>27</v>
      </c>
      <c r="M2812" s="4" t="s">
        <v>29</v>
      </c>
      <c r="N2812" s="4" t="s">
        <v>28</v>
      </c>
    </row>
    <row r="2813" spans="1:14" ht="14.4" thickBot="1" x14ac:dyDescent="0.35">
      <c r="A2813" s="4" t="s">
        <v>19</v>
      </c>
      <c r="B2813" s="4" t="s">
        <v>20</v>
      </c>
      <c r="C2813" s="4" t="s">
        <v>863</v>
      </c>
      <c r="D2813" s="4" t="s">
        <v>864</v>
      </c>
      <c r="E2813" s="4" t="s">
        <v>87</v>
      </c>
      <c r="F2813" s="4" t="s">
        <v>5480</v>
      </c>
      <c r="G2813" s="4" t="s">
        <v>5481</v>
      </c>
      <c r="H2813" s="4" t="s">
        <v>26</v>
      </c>
      <c r="I2813" s="4" t="s">
        <v>26</v>
      </c>
      <c r="J2813" s="4" t="s">
        <v>27</v>
      </c>
      <c r="K2813" s="4" t="s">
        <v>28</v>
      </c>
      <c r="L2813" s="4" t="s">
        <v>28</v>
      </c>
      <c r="M2813" s="4" t="s">
        <v>29</v>
      </c>
      <c r="N2813" s="4" t="s">
        <v>28</v>
      </c>
    </row>
    <row r="2814" spans="1:14" ht="14.4" thickBot="1" x14ac:dyDescent="0.35">
      <c r="A2814" s="4" t="s">
        <v>19</v>
      </c>
      <c r="B2814" s="4" t="s">
        <v>20</v>
      </c>
      <c r="C2814" s="4" t="s">
        <v>863</v>
      </c>
      <c r="D2814" s="4" t="s">
        <v>864</v>
      </c>
      <c r="E2814" s="4" t="s">
        <v>87</v>
      </c>
      <c r="F2814" s="4" t="s">
        <v>5482</v>
      </c>
      <c r="G2814" s="4" t="s">
        <v>5483</v>
      </c>
      <c r="H2814" s="4" t="s">
        <v>26</v>
      </c>
      <c r="I2814" s="4" t="s">
        <v>26</v>
      </c>
      <c r="J2814" s="4" t="s">
        <v>27</v>
      </c>
      <c r="K2814" s="4" t="s">
        <v>28</v>
      </c>
      <c r="L2814" s="4" t="s">
        <v>28</v>
      </c>
      <c r="M2814" s="4" t="s">
        <v>130</v>
      </c>
      <c r="N2814" s="4" t="s">
        <v>28</v>
      </c>
    </row>
    <row r="2815" spans="1:14" ht="14.4" thickBot="1" x14ac:dyDescent="0.35">
      <c r="A2815" s="4" t="s">
        <v>19</v>
      </c>
      <c r="B2815" s="4" t="s">
        <v>20</v>
      </c>
      <c r="C2815" s="4" t="s">
        <v>863</v>
      </c>
      <c r="D2815" s="4" t="s">
        <v>864</v>
      </c>
      <c r="E2815" s="4" t="s">
        <v>87</v>
      </c>
      <c r="F2815" s="4" t="s">
        <v>5484</v>
      </c>
      <c r="G2815" s="4" t="s">
        <v>5485</v>
      </c>
      <c r="H2815" s="4" t="s">
        <v>26</v>
      </c>
      <c r="I2815" s="4" t="s">
        <v>26</v>
      </c>
      <c r="J2815" s="4" t="s">
        <v>27</v>
      </c>
      <c r="K2815" s="4" t="s">
        <v>28</v>
      </c>
      <c r="L2815" s="4" t="s">
        <v>28</v>
      </c>
      <c r="M2815" s="4" t="s">
        <v>130</v>
      </c>
      <c r="N2815" s="4" t="s">
        <v>28</v>
      </c>
    </row>
    <row r="2816" spans="1:14" ht="14.4" thickBot="1" x14ac:dyDescent="0.35">
      <c r="A2816" s="4" t="s">
        <v>19</v>
      </c>
      <c r="B2816" s="4" t="s">
        <v>20</v>
      </c>
      <c r="C2816" s="4" t="s">
        <v>863</v>
      </c>
      <c r="D2816" s="4" t="s">
        <v>864</v>
      </c>
      <c r="E2816" s="4" t="s">
        <v>87</v>
      </c>
      <c r="F2816" s="4" t="s">
        <v>5486</v>
      </c>
      <c r="G2816" s="4" t="s">
        <v>5487</v>
      </c>
      <c r="H2816" s="4" t="s">
        <v>26</v>
      </c>
      <c r="I2816" s="4" t="s">
        <v>26</v>
      </c>
      <c r="J2816" s="4" t="s">
        <v>27</v>
      </c>
      <c r="K2816" s="4" t="s">
        <v>28</v>
      </c>
      <c r="L2816" s="4" t="s">
        <v>28</v>
      </c>
      <c r="M2816" s="4" t="s">
        <v>130</v>
      </c>
      <c r="N2816" s="4" t="s">
        <v>28</v>
      </c>
    </row>
    <row r="2817" spans="1:14" ht="14.4" thickBot="1" x14ac:dyDescent="0.35">
      <c r="A2817" s="4" t="s">
        <v>19</v>
      </c>
      <c r="B2817" s="4" t="s">
        <v>20</v>
      </c>
      <c r="C2817" s="4" t="s">
        <v>863</v>
      </c>
      <c r="D2817" s="4" t="s">
        <v>864</v>
      </c>
      <c r="E2817" s="4" t="s">
        <v>87</v>
      </c>
      <c r="F2817" s="4" t="s">
        <v>5488</v>
      </c>
      <c r="G2817" s="4" t="s">
        <v>5489</v>
      </c>
      <c r="H2817" s="4" t="s">
        <v>135</v>
      </c>
      <c r="I2817" s="4" t="s">
        <v>94</v>
      </c>
      <c r="J2817" s="5"/>
      <c r="K2817" s="5"/>
      <c r="L2817" s="5"/>
      <c r="M2817" s="4" t="s">
        <v>29</v>
      </c>
      <c r="N2817" s="5"/>
    </row>
    <row r="2818" spans="1:14" ht="14.4" thickBot="1" x14ac:dyDescent="0.35">
      <c r="A2818" s="4" t="s">
        <v>19</v>
      </c>
      <c r="B2818" s="4" t="s">
        <v>20</v>
      </c>
      <c r="C2818" s="4" t="s">
        <v>863</v>
      </c>
      <c r="D2818" s="4" t="s">
        <v>864</v>
      </c>
      <c r="E2818" s="4" t="s">
        <v>87</v>
      </c>
      <c r="F2818" s="4" t="s">
        <v>5490</v>
      </c>
      <c r="G2818" s="4" t="s">
        <v>5491</v>
      </c>
      <c r="H2818" s="4" t="s">
        <v>33</v>
      </c>
      <c r="I2818" s="4" t="s">
        <v>38</v>
      </c>
      <c r="J2818" s="4" t="s">
        <v>28</v>
      </c>
      <c r="K2818" s="4" t="s">
        <v>28</v>
      </c>
      <c r="L2818" s="4" t="s">
        <v>27</v>
      </c>
      <c r="M2818" s="4" t="s">
        <v>181</v>
      </c>
      <c r="N2818" s="4" t="s">
        <v>28</v>
      </c>
    </row>
    <row r="2819" spans="1:14" ht="14.4" thickBot="1" x14ac:dyDescent="0.35">
      <c r="A2819" s="4" t="s">
        <v>19</v>
      </c>
      <c r="B2819" s="4" t="s">
        <v>20</v>
      </c>
      <c r="C2819" s="4" t="s">
        <v>863</v>
      </c>
      <c r="D2819" s="4" t="s">
        <v>864</v>
      </c>
      <c r="E2819" s="4" t="s">
        <v>87</v>
      </c>
      <c r="F2819" s="4" t="s">
        <v>6087</v>
      </c>
      <c r="G2819" s="4" t="s">
        <v>6088</v>
      </c>
      <c r="H2819" s="4" t="s">
        <v>122</v>
      </c>
      <c r="I2819" s="4" t="s">
        <v>38</v>
      </c>
      <c r="J2819" s="4" t="s">
        <v>28</v>
      </c>
      <c r="K2819" s="4" t="s">
        <v>28</v>
      </c>
      <c r="L2819" s="4" t="s">
        <v>27</v>
      </c>
      <c r="M2819" s="4" t="s">
        <v>34</v>
      </c>
      <c r="N2819" s="4" t="s">
        <v>28</v>
      </c>
    </row>
    <row r="2820" spans="1:14" ht="14.4" thickBot="1" x14ac:dyDescent="0.35">
      <c r="A2820" s="4" t="s">
        <v>19</v>
      </c>
      <c r="B2820" s="4" t="s">
        <v>20</v>
      </c>
      <c r="C2820" s="4" t="s">
        <v>863</v>
      </c>
      <c r="D2820" s="4" t="s">
        <v>864</v>
      </c>
      <c r="E2820" s="4" t="s">
        <v>87</v>
      </c>
      <c r="F2820" s="4" t="s">
        <v>328</v>
      </c>
      <c r="G2820" s="4" t="s">
        <v>6089</v>
      </c>
      <c r="H2820" s="4" t="s">
        <v>135</v>
      </c>
      <c r="I2820" s="4" t="s">
        <v>94</v>
      </c>
      <c r="J2820" s="4" t="s">
        <v>27</v>
      </c>
      <c r="K2820" s="4" t="s">
        <v>28</v>
      </c>
      <c r="L2820" s="4" t="s">
        <v>28</v>
      </c>
      <c r="M2820" s="4" t="s">
        <v>34</v>
      </c>
      <c r="N2820" s="4" t="s">
        <v>28</v>
      </c>
    </row>
    <row r="2821" spans="1:14" ht="14.4" thickBot="1" x14ac:dyDescent="0.35">
      <c r="A2821" s="4" t="s">
        <v>19</v>
      </c>
      <c r="B2821" s="4" t="s">
        <v>20</v>
      </c>
      <c r="C2821" s="4" t="s">
        <v>863</v>
      </c>
      <c r="D2821" s="4" t="s">
        <v>864</v>
      </c>
      <c r="E2821" s="4" t="s">
        <v>87</v>
      </c>
      <c r="F2821" s="4" t="s">
        <v>6185</v>
      </c>
      <c r="G2821" s="4" t="s">
        <v>4134</v>
      </c>
      <c r="H2821" s="4" t="s">
        <v>135</v>
      </c>
      <c r="I2821" s="4" t="s">
        <v>38</v>
      </c>
      <c r="J2821" s="4" t="s">
        <v>28</v>
      </c>
      <c r="K2821" s="4" t="s">
        <v>28</v>
      </c>
      <c r="L2821" s="4" t="s">
        <v>27</v>
      </c>
      <c r="M2821" s="4" t="s">
        <v>29</v>
      </c>
      <c r="N2821" s="4" t="s">
        <v>28</v>
      </c>
    </row>
    <row r="2822" spans="1:14" ht="14.4" thickBot="1" x14ac:dyDescent="0.35">
      <c r="A2822" s="4" t="s">
        <v>19</v>
      </c>
      <c r="B2822" s="4" t="s">
        <v>20</v>
      </c>
      <c r="C2822" s="4" t="s">
        <v>863</v>
      </c>
      <c r="D2822" s="4" t="s">
        <v>864</v>
      </c>
      <c r="E2822" s="4" t="s">
        <v>87</v>
      </c>
      <c r="F2822" s="4" t="s">
        <v>6186</v>
      </c>
      <c r="G2822" s="4" t="s">
        <v>6187</v>
      </c>
      <c r="H2822" s="4" t="s">
        <v>26</v>
      </c>
      <c r="I2822" s="4" t="s">
        <v>26</v>
      </c>
      <c r="J2822" s="4" t="s">
        <v>27</v>
      </c>
      <c r="K2822" s="4" t="s">
        <v>28</v>
      </c>
      <c r="L2822" s="4" t="s">
        <v>28</v>
      </c>
      <c r="M2822" s="4" t="s">
        <v>29</v>
      </c>
      <c r="N2822" s="4" t="s">
        <v>28</v>
      </c>
    </row>
    <row r="2823" spans="1:14" ht="14.4" thickBot="1" x14ac:dyDescent="0.35">
      <c r="A2823" s="4" t="s">
        <v>19</v>
      </c>
      <c r="B2823" s="4" t="s">
        <v>20</v>
      </c>
      <c r="C2823" s="4" t="s">
        <v>863</v>
      </c>
      <c r="D2823" s="4" t="s">
        <v>864</v>
      </c>
      <c r="E2823" s="4" t="s">
        <v>87</v>
      </c>
      <c r="F2823" s="4" t="s">
        <v>6188</v>
      </c>
      <c r="G2823" s="4" t="s">
        <v>6189</v>
      </c>
      <c r="H2823" s="4" t="s">
        <v>26</v>
      </c>
      <c r="I2823" s="4" t="s">
        <v>26</v>
      </c>
      <c r="J2823" s="4" t="s">
        <v>27</v>
      </c>
      <c r="K2823" s="4" t="s">
        <v>28</v>
      </c>
      <c r="L2823" s="4" t="s">
        <v>28</v>
      </c>
      <c r="M2823" s="4" t="s">
        <v>29</v>
      </c>
      <c r="N2823" s="4" t="s">
        <v>28</v>
      </c>
    </row>
    <row r="2824" spans="1:14" ht="14.4" thickBot="1" x14ac:dyDescent="0.35">
      <c r="A2824" s="4" t="s">
        <v>19</v>
      </c>
      <c r="B2824" s="4" t="s">
        <v>20</v>
      </c>
      <c r="C2824" s="4" t="s">
        <v>863</v>
      </c>
      <c r="D2824" s="4" t="s">
        <v>864</v>
      </c>
      <c r="E2824" s="4" t="s">
        <v>87</v>
      </c>
      <c r="F2824" s="4" t="s">
        <v>6190</v>
      </c>
      <c r="G2824" s="4" t="s">
        <v>1527</v>
      </c>
      <c r="H2824" s="4" t="s">
        <v>135</v>
      </c>
      <c r="I2824" s="4" t="s">
        <v>94</v>
      </c>
      <c r="J2824" s="5"/>
      <c r="K2824" s="5"/>
      <c r="L2824" s="5"/>
      <c r="M2824" s="4" t="s">
        <v>29</v>
      </c>
      <c r="N2824" s="5"/>
    </row>
    <row r="2825" spans="1:14" ht="14.4" thickBot="1" x14ac:dyDescent="0.35">
      <c r="A2825" s="4" t="s">
        <v>19</v>
      </c>
      <c r="B2825" s="4" t="s">
        <v>20</v>
      </c>
      <c r="C2825" s="4" t="s">
        <v>1429</v>
      </c>
      <c r="D2825" s="4" t="s">
        <v>1430</v>
      </c>
      <c r="E2825" s="4" t="s">
        <v>23</v>
      </c>
      <c r="F2825" s="4" t="s">
        <v>1431</v>
      </c>
      <c r="G2825" s="4" t="s">
        <v>1432</v>
      </c>
      <c r="H2825" s="4" t="s">
        <v>69</v>
      </c>
      <c r="I2825" s="4" t="s">
        <v>94</v>
      </c>
      <c r="J2825" s="4" t="s">
        <v>28</v>
      </c>
      <c r="K2825" s="4" t="s">
        <v>27</v>
      </c>
      <c r="L2825" s="4" t="s">
        <v>28</v>
      </c>
      <c r="M2825" s="4" t="s">
        <v>34</v>
      </c>
      <c r="N2825" s="4" t="s">
        <v>28</v>
      </c>
    </row>
    <row r="2826" spans="1:14" ht="14.4" thickBot="1" x14ac:dyDescent="0.35">
      <c r="A2826" s="4" t="s">
        <v>19</v>
      </c>
      <c r="B2826" s="4" t="s">
        <v>20</v>
      </c>
      <c r="C2826" s="4" t="s">
        <v>1429</v>
      </c>
      <c r="D2826" s="4" t="s">
        <v>1430</v>
      </c>
      <c r="E2826" s="4" t="s">
        <v>23</v>
      </c>
      <c r="F2826" s="4" t="s">
        <v>3005</v>
      </c>
      <c r="G2826" s="4" t="s">
        <v>3006</v>
      </c>
      <c r="H2826" s="4" t="s">
        <v>26</v>
      </c>
      <c r="I2826" s="4" t="s">
        <v>26</v>
      </c>
      <c r="J2826" s="4" t="s">
        <v>27</v>
      </c>
      <c r="K2826" s="4" t="s">
        <v>28</v>
      </c>
      <c r="L2826" s="4" t="s">
        <v>28</v>
      </c>
      <c r="M2826" s="4" t="s">
        <v>29</v>
      </c>
      <c r="N2826" s="4" t="s">
        <v>28</v>
      </c>
    </row>
    <row r="2827" spans="1:14" ht="14.4" thickBot="1" x14ac:dyDescent="0.35">
      <c r="A2827" s="4" t="s">
        <v>19</v>
      </c>
      <c r="B2827" s="4" t="s">
        <v>20</v>
      </c>
      <c r="C2827" s="4" t="s">
        <v>1429</v>
      </c>
      <c r="D2827" s="4" t="s">
        <v>1430</v>
      </c>
      <c r="E2827" s="4" t="s">
        <v>23</v>
      </c>
      <c r="F2827" s="4" t="s">
        <v>4450</v>
      </c>
      <c r="G2827" s="4" t="s">
        <v>4451</v>
      </c>
      <c r="H2827" s="4" t="s">
        <v>135</v>
      </c>
      <c r="I2827" s="4" t="s">
        <v>33</v>
      </c>
      <c r="J2827" s="4" t="s">
        <v>27</v>
      </c>
      <c r="K2827" s="4" t="s">
        <v>28</v>
      </c>
      <c r="L2827" s="4" t="s">
        <v>28</v>
      </c>
      <c r="M2827" s="4" t="s">
        <v>34</v>
      </c>
      <c r="N2827" s="4" t="s">
        <v>28</v>
      </c>
    </row>
    <row r="2828" spans="1:14" ht="14.4" thickBot="1" x14ac:dyDescent="0.35">
      <c r="A2828" s="4" t="s">
        <v>19</v>
      </c>
      <c r="B2828" s="4" t="s">
        <v>20</v>
      </c>
      <c r="C2828" s="4" t="s">
        <v>1429</v>
      </c>
      <c r="D2828" s="4" t="s">
        <v>1430</v>
      </c>
      <c r="E2828" s="4" t="s">
        <v>23</v>
      </c>
      <c r="F2828" s="4" t="s">
        <v>5156</v>
      </c>
      <c r="G2828" s="4" t="s">
        <v>5157</v>
      </c>
      <c r="H2828" s="4" t="s">
        <v>37</v>
      </c>
      <c r="I2828" s="4" t="s">
        <v>38</v>
      </c>
      <c r="J2828" s="4" t="s">
        <v>28</v>
      </c>
      <c r="K2828" s="4" t="s">
        <v>28</v>
      </c>
      <c r="L2828" s="4" t="s">
        <v>27</v>
      </c>
      <c r="M2828" s="4" t="s">
        <v>34</v>
      </c>
      <c r="N2828" s="4" t="s">
        <v>28</v>
      </c>
    </row>
    <row r="2829" spans="1:14" ht="14.4" thickBot="1" x14ac:dyDescent="0.35">
      <c r="A2829" s="4" t="s">
        <v>19</v>
      </c>
      <c r="B2829" s="4" t="s">
        <v>20</v>
      </c>
      <c r="C2829" s="4" t="s">
        <v>1433</v>
      </c>
      <c r="D2829" s="4" t="s">
        <v>1434</v>
      </c>
      <c r="E2829" s="4" t="s">
        <v>23</v>
      </c>
      <c r="F2829" s="4" t="s">
        <v>1435</v>
      </c>
      <c r="G2829" s="4" t="s">
        <v>1436</v>
      </c>
      <c r="H2829" s="4" t="s">
        <v>69</v>
      </c>
      <c r="I2829" s="4" t="s">
        <v>94</v>
      </c>
      <c r="J2829" s="4" t="s">
        <v>28</v>
      </c>
      <c r="K2829" s="4" t="s">
        <v>27</v>
      </c>
      <c r="L2829" s="4" t="s">
        <v>28</v>
      </c>
      <c r="M2829" s="4" t="s">
        <v>34</v>
      </c>
      <c r="N2829" s="4" t="s">
        <v>28</v>
      </c>
    </row>
    <row r="2830" spans="1:14" ht="14.4" thickBot="1" x14ac:dyDescent="0.35">
      <c r="A2830" s="4" t="s">
        <v>19</v>
      </c>
      <c r="B2830" s="4" t="s">
        <v>20</v>
      </c>
      <c r="C2830" s="4" t="s">
        <v>1433</v>
      </c>
      <c r="D2830" s="4" t="s">
        <v>1434</v>
      </c>
      <c r="E2830" s="4" t="s">
        <v>23</v>
      </c>
      <c r="F2830" s="4" t="s">
        <v>2195</v>
      </c>
      <c r="G2830" s="4" t="s">
        <v>2196</v>
      </c>
      <c r="H2830" s="4" t="s">
        <v>26</v>
      </c>
      <c r="I2830" s="4" t="s">
        <v>94</v>
      </c>
      <c r="J2830" s="4" t="s">
        <v>27</v>
      </c>
      <c r="K2830" s="4" t="s">
        <v>28</v>
      </c>
      <c r="L2830" s="4" t="s">
        <v>28</v>
      </c>
      <c r="M2830" s="4" t="s">
        <v>34</v>
      </c>
      <c r="N2830" s="4" t="s">
        <v>28</v>
      </c>
    </row>
    <row r="2831" spans="1:14" ht="14.4" thickBot="1" x14ac:dyDescent="0.35">
      <c r="A2831" s="4" t="s">
        <v>19</v>
      </c>
      <c r="B2831" s="4" t="s">
        <v>20</v>
      </c>
      <c r="C2831" s="4" t="s">
        <v>1433</v>
      </c>
      <c r="D2831" s="4" t="s">
        <v>1434</v>
      </c>
      <c r="E2831" s="4" t="s">
        <v>23</v>
      </c>
      <c r="F2831" s="4" t="s">
        <v>2252</v>
      </c>
      <c r="G2831" s="4" t="s">
        <v>2253</v>
      </c>
      <c r="H2831" s="4" t="s">
        <v>26</v>
      </c>
      <c r="I2831" s="4" t="s">
        <v>26</v>
      </c>
      <c r="J2831" s="4" t="s">
        <v>27</v>
      </c>
      <c r="K2831" s="4" t="s">
        <v>28</v>
      </c>
      <c r="L2831" s="4" t="s">
        <v>28</v>
      </c>
      <c r="M2831" s="4" t="s">
        <v>130</v>
      </c>
      <c r="N2831" s="4" t="s">
        <v>28</v>
      </c>
    </row>
    <row r="2832" spans="1:14" ht="14.4" thickBot="1" x14ac:dyDescent="0.35">
      <c r="A2832" s="4" t="s">
        <v>19</v>
      </c>
      <c r="B2832" s="4" t="s">
        <v>20</v>
      </c>
      <c r="C2832" s="4" t="s">
        <v>1433</v>
      </c>
      <c r="D2832" s="4" t="s">
        <v>1434</v>
      </c>
      <c r="E2832" s="4" t="s">
        <v>23</v>
      </c>
      <c r="F2832" s="4" t="s">
        <v>2929</v>
      </c>
      <c r="G2832" s="4" t="s">
        <v>2930</v>
      </c>
      <c r="H2832" s="4" t="s">
        <v>26</v>
      </c>
      <c r="I2832" s="4" t="s">
        <v>26</v>
      </c>
      <c r="J2832" s="4" t="s">
        <v>27</v>
      </c>
      <c r="K2832" s="4" t="s">
        <v>28</v>
      </c>
      <c r="L2832" s="4" t="s">
        <v>28</v>
      </c>
      <c r="M2832" s="4" t="s">
        <v>34</v>
      </c>
      <c r="N2832" s="4" t="s">
        <v>28</v>
      </c>
    </row>
    <row r="2833" spans="1:14" ht="14.4" thickBot="1" x14ac:dyDescent="0.35">
      <c r="A2833" s="4" t="s">
        <v>19</v>
      </c>
      <c r="B2833" s="4" t="s">
        <v>20</v>
      </c>
      <c r="C2833" s="4" t="s">
        <v>1433</v>
      </c>
      <c r="D2833" s="4" t="s">
        <v>1434</v>
      </c>
      <c r="E2833" s="4" t="s">
        <v>23</v>
      </c>
      <c r="F2833" s="4" t="s">
        <v>855</v>
      </c>
      <c r="G2833" s="4" t="s">
        <v>3674</v>
      </c>
      <c r="H2833" s="4" t="s">
        <v>37</v>
      </c>
      <c r="I2833" s="4" t="s">
        <v>38</v>
      </c>
      <c r="J2833" s="4" t="s">
        <v>28</v>
      </c>
      <c r="K2833" s="4" t="s">
        <v>28</v>
      </c>
      <c r="L2833" s="4" t="s">
        <v>27</v>
      </c>
      <c r="M2833" s="4" t="s">
        <v>34</v>
      </c>
      <c r="N2833" s="4" t="s">
        <v>28</v>
      </c>
    </row>
    <row r="2834" spans="1:14" ht="14.4" thickBot="1" x14ac:dyDescent="0.35">
      <c r="A2834" s="4" t="s">
        <v>19</v>
      </c>
      <c r="B2834" s="4" t="s">
        <v>20</v>
      </c>
      <c r="C2834" s="4" t="s">
        <v>1433</v>
      </c>
      <c r="D2834" s="4" t="s">
        <v>1434</v>
      </c>
      <c r="E2834" s="4" t="s">
        <v>23</v>
      </c>
      <c r="F2834" s="4" t="s">
        <v>4452</v>
      </c>
      <c r="G2834" s="4" t="s">
        <v>4453</v>
      </c>
      <c r="H2834" s="4" t="s">
        <v>26</v>
      </c>
      <c r="I2834" s="4" t="s">
        <v>33</v>
      </c>
      <c r="J2834" s="4" t="s">
        <v>27</v>
      </c>
      <c r="K2834" s="4" t="s">
        <v>28</v>
      </c>
      <c r="L2834" s="4" t="s">
        <v>28</v>
      </c>
      <c r="M2834" s="4" t="s">
        <v>34</v>
      </c>
      <c r="N2834" s="4" t="s">
        <v>28</v>
      </c>
    </row>
    <row r="2835" spans="1:14" ht="14.4" thickBot="1" x14ac:dyDescent="0.35">
      <c r="A2835" s="4" t="s">
        <v>19</v>
      </c>
      <c r="B2835" s="4" t="s">
        <v>20</v>
      </c>
      <c r="C2835" s="4" t="s">
        <v>1433</v>
      </c>
      <c r="D2835" s="4" t="s">
        <v>1434</v>
      </c>
      <c r="E2835" s="4" t="s">
        <v>23</v>
      </c>
      <c r="F2835" s="4" t="s">
        <v>5202</v>
      </c>
      <c r="G2835" s="4" t="s">
        <v>5203</v>
      </c>
      <c r="H2835" s="4" t="s">
        <v>26</v>
      </c>
      <c r="I2835" s="4" t="s">
        <v>26</v>
      </c>
      <c r="J2835" s="4" t="s">
        <v>27</v>
      </c>
      <c r="K2835" s="4" t="s">
        <v>28</v>
      </c>
      <c r="L2835" s="4" t="s">
        <v>28</v>
      </c>
      <c r="M2835" s="4" t="s">
        <v>130</v>
      </c>
      <c r="N2835" s="4" t="s">
        <v>28</v>
      </c>
    </row>
    <row r="2836" spans="1:14" ht="14.4" thickBot="1" x14ac:dyDescent="0.35">
      <c r="A2836" s="4" t="s">
        <v>19</v>
      </c>
      <c r="B2836" s="4" t="s">
        <v>20</v>
      </c>
      <c r="C2836" s="4" t="s">
        <v>1433</v>
      </c>
      <c r="D2836" s="4" t="s">
        <v>1434</v>
      </c>
      <c r="E2836" s="4" t="s">
        <v>23</v>
      </c>
      <c r="F2836" s="4" t="s">
        <v>5827</v>
      </c>
      <c r="G2836" s="4" t="s">
        <v>5828</v>
      </c>
      <c r="H2836" s="4" t="s">
        <v>26</v>
      </c>
      <c r="I2836" s="4" t="s">
        <v>33</v>
      </c>
      <c r="J2836" s="4" t="s">
        <v>27</v>
      </c>
      <c r="K2836" s="4" t="s">
        <v>28</v>
      </c>
      <c r="L2836" s="4" t="s">
        <v>28</v>
      </c>
      <c r="M2836" s="4" t="s">
        <v>34</v>
      </c>
      <c r="N2836" s="4" t="s">
        <v>28</v>
      </c>
    </row>
    <row r="2837" spans="1:14" ht="14.4" thickBot="1" x14ac:dyDescent="0.35">
      <c r="A2837" s="4" t="s">
        <v>19</v>
      </c>
      <c r="B2837" s="4" t="s">
        <v>20</v>
      </c>
      <c r="C2837" s="4" t="s">
        <v>491</v>
      </c>
      <c r="D2837" s="4" t="s">
        <v>492</v>
      </c>
      <c r="E2837" s="4" t="s">
        <v>23</v>
      </c>
      <c r="F2837" s="4" t="s">
        <v>493</v>
      </c>
      <c r="G2837" s="4" t="s">
        <v>494</v>
      </c>
      <c r="H2837" s="4" t="s">
        <v>69</v>
      </c>
      <c r="I2837" s="4" t="s">
        <v>94</v>
      </c>
      <c r="J2837" s="4" t="s">
        <v>28</v>
      </c>
      <c r="K2837" s="4" t="s">
        <v>27</v>
      </c>
      <c r="L2837" s="4" t="s">
        <v>28</v>
      </c>
      <c r="M2837" s="4" t="s">
        <v>34</v>
      </c>
      <c r="N2837" s="4" t="s">
        <v>28</v>
      </c>
    </row>
    <row r="2838" spans="1:14" ht="14.4" thickBot="1" x14ac:dyDescent="0.35">
      <c r="A2838" s="4" t="s">
        <v>19</v>
      </c>
      <c r="B2838" s="4" t="s">
        <v>20</v>
      </c>
      <c r="C2838" s="4" t="s">
        <v>491</v>
      </c>
      <c r="D2838" s="4" t="s">
        <v>492</v>
      </c>
      <c r="E2838" s="4" t="s">
        <v>23</v>
      </c>
      <c r="F2838" s="4" t="s">
        <v>2197</v>
      </c>
      <c r="G2838" s="4" t="s">
        <v>2198</v>
      </c>
      <c r="H2838" s="4" t="s">
        <v>37</v>
      </c>
      <c r="I2838" s="4" t="s">
        <v>38</v>
      </c>
      <c r="J2838" s="4" t="s">
        <v>28</v>
      </c>
      <c r="K2838" s="4" t="s">
        <v>28</v>
      </c>
      <c r="L2838" s="4" t="s">
        <v>27</v>
      </c>
      <c r="M2838" s="4" t="s">
        <v>34</v>
      </c>
      <c r="N2838" s="4" t="s">
        <v>28</v>
      </c>
    </row>
    <row r="2839" spans="1:14" ht="14.4" thickBot="1" x14ac:dyDescent="0.35">
      <c r="A2839" s="4" t="s">
        <v>19</v>
      </c>
      <c r="B2839" s="4" t="s">
        <v>20</v>
      </c>
      <c r="C2839" s="4" t="s">
        <v>491</v>
      </c>
      <c r="D2839" s="4" t="s">
        <v>492</v>
      </c>
      <c r="E2839" s="4" t="s">
        <v>23</v>
      </c>
      <c r="F2839" s="4" t="s">
        <v>3007</v>
      </c>
      <c r="G2839" s="4" t="s">
        <v>3008</v>
      </c>
      <c r="H2839" s="4" t="s">
        <v>26</v>
      </c>
      <c r="I2839" s="4" t="s">
        <v>26</v>
      </c>
      <c r="J2839" s="4" t="s">
        <v>27</v>
      </c>
      <c r="K2839" s="4" t="s">
        <v>28</v>
      </c>
      <c r="L2839" s="4" t="s">
        <v>28</v>
      </c>
      <c r="M2839" s="4" t="s">
        <v>29</v>
      </c>
      <c r="N2839" s="4" t="s">
        <v>28</v>
      </c>
    </row>
    <row r="2840" spans="1:14" ht="14.4" thickBot="1" x14ac:dyDescent="0.35">
      <c r="A2840" s="4" t="s">
        <v>19</v>
      </c>
      <c r="B2840" s="4" t="s">
        <v>20</v>
      </c>
      <c r="C2840" s="4" t="s">
        <v>491</v>
      </c>
      <c r="D2840" s="4" t="s">
        <v>492</v>
      </c>
      <c r="E2840" s="4" t="s">
        <v>23</v>
      </c>
      <c r="F2840" s="4" t="s">
        <v>5158</v>
      </c>
      <c r="G2840" s="4" t="s">
        <v>1359</v>
      </c>
      <c r="H2840" s="4" t="s">
        <v>135</v>
      </c>
      <c r="I2840" s="4" t="s">
        <v>33</v>
      </c>
      <c r="J2840" s="4" t="s">
        <v>27</v>
      </c>
      <c r="K2840" s="4" t="s">
        <v>28</v>
      </c>
      <c r="L2840" s="4" t="s">
        <v>28</v>
      </c>
      <c r="M2840" s="4" t="s">
        <v>34</v>
      </c>
      <c r="N2840" s="4" t="s">
        <v>28</v>
      </c>
    </row>
    <row r="2841" spans="1:14" ht="14.4" thickBot="1" x14ac:dyDescent="0.35">
      <c r="A2841" s="4" t="s">
        <v>19</v>
      </c>
      <c r="B2841" s="4" t="s">
        <v>20</v>
      </c>
      <c r="C2841" s="4" t="s">
        <v>3178</v>
      </c>
      <c r="D2841" s="4" t="s">
        <v>3179</v>
      </c>
      <c r="E2841" s="4" t="s">
        <v>48</v>
      </c>
      <c r="F2841" s="4" t="s">
        <v>3180</v>
      </c>
      <c r="G2841" s="4" t="s">
        <v>3181</v>
      </c>
      <c r="H2841" s="4" t="s">
        <v>69</v>
      </c>
      <c r="I2841" s="4" t="s">
        <v>38</v>
      </c>
      <c r="J2841" s="4" t="s">
        <v>28</v>
      </c>
      <c r="K2841" s="4" t="s">
        <v>28</v>
      </c>
      <c r="L2841" s="4" t="s">
        <v>27</v>
      </c>
      <c r="M2841" s="4" t="s">
        <v>34</v>
      </c>
      <c r="N2841" s="4" t="s">
        <v>28</v>
      </c>
    </row>
    <row r="2842" spans="1:14" ht="14.4" thickBot="1" x14ac:dyDescent="0.35">
      <c r="A2842" s="4" t="s">
        <v>19</v>
      </c>
      <c r="B2842" s="4" t="s">
        <v>20</v>
      </c>
      <c r="C2842" s="4" t="s">
        <v>3178</v>
      </c>
      <c r="D2842" s="4" t="s">
        <v>3179</v>
      </c>
      <c r="E2842" s="4" t="s">
        <v>48</v>
      </c>
      <c r="F2842" s="4" t="s">
        <v>4001</v>
      </c>
      <c r="G2842" s="4" t="s">
        <v>4002</v>
      </c>
      <c r="H2842" s="4" t="s">
        <v>26</v>
      </c>
      <c r="I2842" s="4" t="s">
        <v>33</v>
      </c>
      <c r="J2842" s="4" t="s">
        <v>27</v>
      </c>
      <c r="K2842" s="4" t="s">
        <v>28</v>
      </c>
      <c r="L2842" s="4" t="s">
        <v>28</v>
      </c>
      <c r="M2842" s="4" t="s">
        <v>34</v>
      </c>
      <c r="N2842" s="4" t="s">
        <v>28</v>
      </c>
    </row>
    <row r="2843" spans="1:14" ht="14.4" thickBot="1" x14ac:dyDescent="0.35">
      <c r="A2843" s="4" t="s">
        <v>19</v>
      </c>
      <c r="B2843" s="4" t="s">
        <v>20</v>
      </c>
      <c r="C2843" s="4" t="s">
        <v>1437</v>
      </c>
      <c r="D2843" s="4" t="s">
        <v>1438</v>
      </c>
      <c r="E2843" s="4" t="s">
        <v>48</v>
      </c>
      <c r="F2843" s="4" t="s">
        <v>1439</v>
      </c>
      <c r="G2843" s="4" t="s">
        <v>1440</v>
      </c>
      <c r="H2843" s="4" t="s">
        <v>69</v>
      </c>
      <c r="I2843" s="4" t="s">
        <v>38</v>
      </c>
      <c r="J2843" s="4" t="s">
        <v>28</v>
      </c>
      <c r="K2843" s="4" t="s">
        <v>28</v>
      </c>
      <c r="L2843" s="4" t="s">
        <v>27</v>
      </c>
      <c r="M2843" s="4" t="s">
        <v>34</v>
      </c>
      <c r="N2843" s="4" t="s">
        <v>28</v>
      </c>
    </row>
    <row r="2844" spans="1:14" ht="14.4" thickBot="1" x14ac:dyDescent="0.35">
      <c r="A2844" s="4" t="s">
        <v>19</v>
      </c>
      <c r="B2844" s="4" t="s">
        <v>20</v>
      </c>
      <c r="C2844" s="4" t="s">
        <v>1437</v>
      </c>
      <c r="D2844" s="4" t="s">
        <v>1438</v>
      </c>
      <c r="E2844" s="4" t="s">
        <v>48</v>
      </c>
      <c r="F2844" s="4" t="s">
        <v>2931</v>
      </c>
      <c r="G2844" s="4" t="s">
        <v>2932</v>
      </c>
      <c r="H2844" s="4" t="s">
        <v>26</v>
      </c>
      <c r="I2844" s="4" t="s">
        <v>33</v>
      </c>
      <c r="J2844" s="4" t="s">
        <v>27</v>
      </c>
      <c r="K2844" s="4" t="s">
        <v>28</v>
      </c>
      <c r="L2844" s="4" t="s">
        <v>28</v>
      </c>
      <c r="M2844" s="4" t="s">
        <v>34</v>
      </c>
      <c r="N2844" s="4" t="s">
        <v>28</v>
      </c>
    </row>
    <row r="2845" spans="1:14" ht="14.4" thickBot="1" x14ac:dyDescent="0.35">
      <c r="A2845" s="4" t="s">
        <v>19</v>
      </c>
      <c r="B2845" s="4" t="s">
        <v>20</v>
      </c>
      <c r="C2845" s="4" t="s">
        <v>1441</v>
      </c>
      <c r="D2845" s="4" t="s">
        <v>1442</v>
      </c>
      <c r="E2845" s="4" t="s">
        <v>48</v>
      </c>
      <c r="F2845" s="4" t="s">
        <v>1443</v>
      </c>
      <c r="G2845" s="4" t="s">
        <v>1444</v>
      </c>
      <c r="H2845" s="4" t="s">
        <v>26</v>
      </c>
      <c r="I2845" s="4" t="s">
        <v>38</v>
      </c>
      <c r="J2845" s="4" t="s">
        <v>28</v>
      </c>
      <c r="K2845" s="4" t="s">
        <v>28</v>
      </c>
      <c r="L2845" s="4" t="s">
        <v>27</v>
      </c>
      <c r="M2845" s="4" t="s">
        <v>34</v>
      </c>
      <c r="N2845" s="4" t="s">
        <v>28</v>
      </c>
    </row>
    <row r="2846" spans="1:14" ht="14.4" thickBot="1" x14ac:dyDescent="0.35">
      <c r="A2846" s="4" t="s">
        <v>19</v>
      </c>
      <c r="B2846" s="4" t="s">
        <v>881</v>
      </c>
      <c r="C2846" s="4" t="s">
        <v>2515</v>
      </c>
      <c r="D2846" s="4" t="s">
        <v>2516</v>
      </c>
      <c r="E2846" s="4" t="s">
        <v>23</v>
      </c>
      <c r="F2846" s="4" t="s">
        <v>2517</v>
      </c>
      <c r="G2846" s="4" t="s">
        <v>2518</v>
      </c>
      <c r="H2846" s="4" t="s">
        <v>26</v>
      </c>
      <c r="I2846" s="4" t="s">
        <v>26</v>
      </c>
      <c r="J2846" s="4" t="s">
        <v>27</v>
      </c>
      <c r="K2846" s="4" t="s">
        <v>28</v>
      </c>
      <c r="L2846" s="4" t="s">
        <v>28</v>
      </c>
      <c r="M2846" s="4" t="s">
        <v>29</v>
      </c>
      <c r="N2846" s="4" t="s">
        <v>28</v>
      </c>
    </row>
    <row r="2847" spans="1:14" ht="14.4" thickBot="1" x14ac:dyDescent="0.35">
      <c r="A2847" s="4" t="s">
        <v>19</v>
      </c>
      <c r="B2847" s="4" t="s">
        <v>881</v>
      </c>
      <c r="C2847" s="4" t="s">
        <v>2515</v>
      </c>
      <c r="D2847" s="4" t="s">
        <v>2516</v>
      </c>
      <c r="E2847" s="4" t="s">
        <v>23</v>
      </c>
      <c r="F2847" s="4" t="s">
        <v>4702</v>
      </c>
      <c r="G2847" s="4" t="s">
        <v>4703</v>
      </c>
      <c r="H2847" s="4" t="s">
        <v>26</v>
      </c>
      <c r="I2847" s="4" t="s">
        <v>26</v>
      </c>
      <c r="J2847" s="4" t="s">
        <v>27</v>
      </c>
      <c r="K2847" s="4" t="s">
        <v>28</v>
      </c>
      <c r="L2847" s="4" t="s">
        <v>28</v>
      </c>
      <c r="M2847" s="4" t="s">
        <v>34</v>
      </c>
      <c r="N2847" s="4" t="s">
        <v>28</v>
      </c>
    </row>
    <row r="2848" spans="1:14" ht="14.4" thickBot="1" x14ac:dyDescent="0.35">
      <c r="A2848" s="4" t="s">
        <v>19</v>
      </c>
      <c r="B2848" s="4" t="s">
        <v>881</v>
      </c>
      <c r="C2848" s="4" t="s">
        <v>2515</v>
      </c>
      <c r="D2848" s="4" t="s">
        <v>2516</v>
      </c>
      <c r="E2848" s="4" t="s">
        <v>23</v>
      </c>
      <c r="F2848" s="4" t="s">
        <v>5401</v>
      </c>
      <c r="G2848" s="4" t="s">
        <v>5402</v>
      </c>
      <c r="H2848" s="4" t="s">
        <v>33</v>
      </c>
      <c r="I2848" s="4" t="s">
        <v>94</v>
      </c>
      <c r="J2848" s="4" t="s">
        <v>28</v>
      </c>
      <c r="K2848" s="4" t="s">
        <v>27</v>
      </c>
      <c r="L2848" s="4" t="s">
        <v>28</v>
      </c>
      <c r="M2848" s="4" t="s">
        <v>34</v>
      </c>
      <c r="N2848" s="4" t="s">
        <v>28</v>
      </c>
    </row>
    <row r="2849" spans="1:14" ht="14.4" thickBot="1" x14ac:dyDescent="0.35">
      <c r="A2849" s="4" t="s">
        <v>19</v>
      </c>
      <c r="B2849" s="4" t="s">
        <v>881</v>
      </c>
      <c r="C2849" s="4" t="s">
        <v>2515</v>
      </c>
      <c r="D2849" s="4" t="s">
        <v>2516</v>
      </c>
      <c r="E2849" s="4" t="s">
        <v>23</v>
      </c>
      <c r="F2849" s="4" t="s">
        <v>6090</v>
      </c>
      <c r="G2849" s="4" t="s">
        <v>6091</v>
      </c>
      <c r="H2849" s="4" t="s">
        <v>37</v>
      </c>
      <c r="I2849" s="4" t="s">
        <v>38</v>
      </c>
      <c r="J2849" s="4" t="s">
        <v>28</v>
      </c>
      <c r="K2849" s="4" t="s">
        <v>28</v>
      </c>
      <c r="L2849" s="4" t="s">
        <v>27</v>
      </c>
      <c r="M2849" s="4" t="s">
        <v>34</v>
      </c>
      <c r="N2849" s="4" t="s">
        <v>28</v>
      </c>
    </row>
    <row r="2850" spans="1:14" ht="14.4" thickBot="1" x14ac:dyDescent="0.35">
      <c r="A2850" s="4" t="s">
        <v>19</v>
      </c>
      <c r="B2850" s="4" t="s">
        <v>881</v>
      </c>
      <c r="C2850" s="4" t="s">
        <v>2515</v>
      </c>
      <c r="D2850" s="4" t="s">
        <v>2516</v>
      </c>
      <c r="E2850" s="4" t="s">
        <v>23</v>
      </c>
      <c r="F2850" s="4" t="s">
        <v>6092</v>
      </c>
      <c r="G2850" s="4" t="s">
        <v>6093</v>
      </c>
      <c r="H2850" s="4" t="s">
        <v>135</v>
      </c>
      <c r="I2850" s="4" t="s">
        <v>454</v>
      </c>
      <c r="J2850" s="4" t="s">
        <v>27</v>
      </c>
      <c r="K2850" s="4" t="s">
        <v>28</v>
      </c>
      <c r="L2850" s="4" t="s">
        <v>28</v>
      </c>
      <c r="M2850" s="4" t="s">
        <v>34</v>
      </c>
      <c r="N2850" s="4" t="s">
        <v>28</v>
      </c>
    </row>
    <row r="2851" spans="1:14" ht="14.4" thickBot="1" x14ac:dyDescent="0.35">
      <c r="A2851" s="4" t="s">
        <v>19</v>
      </c>
      <c r="B2851" s="4" t="s">
        <v>881</v>
      </c>
      <c r="C2851" s="4" t="s">
        <v>2515</v>
      </c>
      <c r="D2851" s="4" t="s">
        <v>2516</v>
      </c>
      <c r="E2851" s="4" t="s">
        <v>23</v>
      </c>
      <c r="F2851" s="4" t="s">
        <v>6191</v>
      </c>
      <c r="G2851" s="4" t="s">
        <v>6192</v>
      </c>
      <c r="H2851" s="4" t="s">
        <v>26</v>
      </c>
      <c r="I2851" s="4" t="s">
        <v>26</v>
      </c>
      <c r="J2851" s="4" t="s">
        <v>27</v>
      </c>
      <c r="K2851" s="4" t="s">
        <v>28</v>
      </c>
      <c r="L2851" s="4" t="s">
        <v>28</v>
      </c>
      <c r="M2851" s="4" t="s">
        <v>130</v>
      </c>
      <c r="N2851" s="4" t="s">
        <v>28</v>
      </c>
    </row>
    <row r="2852" spans="1:14" ht="14.4" thickBot="1" x14ac:dyDescent="0.35">
      <c r="A2852" s="4" t="s">
        <v>19</v>
      </c>
      <c r="B2852" s="4" t="s">
        <v>881</v>
      </c>
      <c r="C2852" s="4" t="s">
        <v>3272</v>
      </c>
      <c r="D2852" s="4" t="s">
        <v>3273</v>
      </c>
      <c r="E2852" s="4" t="s">
        <v>23</v>
      </c>
      <c r="F2852" s="4" t="s">
        <v>3274</v>
      </c>
      <c r="G2852" s="4" t="s">
        <v>3275</v>
      </c>
      <c r="H2852" s="4" t="s">
        <v>26</v>
      </c>
      <c r="I2852" s="4" t="s">
        <v>26</v>
      </c>
      <c r="J2852" s="4" t="s">
        <v>27</v>
      </c>
      <c r="K2852" s="4" t="s">
        <v>28</v>
      </c>
      <c r="L2852" s="4" t="s">
        <v>28</v>
      </c>
      <c r="M2852" s="4" t="s">
        <v>29</v>
      </c>
      <c r="N2852" s="4" t="s">
        <v>28</v>
      </c>
    </row>
    <row r="2853" spans="1:14" ht="14.4" thickBot="1" x14ac:dyDescent="0.35">
      <c r="A2853" s="4" t="s">
        <v>19</v>
      </c>
      <c r="B2853" s="4" t="s">
        <v>881</v>
      </c>
      <c r="C2853" s="4" t="s">
        <v>3272</v>
      </c>
      <c r="D2853" s="4" t="s">
        <v>3273</v>
      </c>
      <c r="E2853" s="4" t="s">
        <v>23</v>
      </c>
      <c r="F2853" s="4" t="s">
        <v>4003</v>
      </c>
      <c r="G2853" s="4" t="s">
        <v>4004</v>
      </c>
      <c r="H2853" s="4" t="s">
        <v>122</v>
      </c>
      <c r="I2853" s="4" t="s">
        <v>38</v>
      </c>
      <c r="J2853" s="4" t="s">
        <v>28</v>
      </c>
      <c r="K2853" s="4" t="s">
        <v>28</v>
      </c>
      <c r="L2853" s="4" t="s">
        <v>27</v>
      </c>
      <c r="M2853" s="4" t="s">
        <v>34</v>
      </c>
      <c r="N2853" s="4" t="s">
        <v>28</v>
      </c>
    </row>
    <row r="2854" spans="1:14" ht="14.4" thickBot="1" x14ac:dyDescent="0.35">
      <c r="A2854" s="4" t="s">
        <v>19</v>
      </c>
      <c r="B2854" s="4" t="s">
        <v>881</v>
      </c>
      <c r="C2854" s="4" t="s">
        <v>3272</v>
      </c>
      <c r="D2854" s="4" t="s">
        <v>3273</v>
      </c>
      <c r="E2854" s="4" t="s">
        <v>23</v>
      </c>
      <c r="F2854" s="4" t="s">
        <v>5403</v>
      </c>
      <c r="G2854" s="4" t="s">
        <v>5404</v>
      </c>
      <c r="H2854" s="4" t="s">
        <v>26</v>
      </c>
      <c r="I2854" s="4" t="s">
        <v>69</v>
      </c>
      <c r="J2854" s="4" t="s">
        <v>27</v>
      </c>
      <c r="K2854" s="4" t="s">
        <v>28</v>
      </c>
      <c r="L2854" s="4" t="s">
        <v>28</v>
      </c>
      <c r="M2854" s="4" t="s">
        <v>34</v>
      </c>
      <c r="N2854" s="4" t="s">
        <v>28</v>
      </c>
    </row>
    <row r="2855" spans="1:14" ht="14.4" thickBot="1" x14ac:dyDescent="0.35">
      <c r="A2855" s="4" t="s">
        <v>19</v>
      </c>
      <c r="B2855" s="4" t="s">
        <v>881</v>
      </c>
      <c r="C2855" s="4" t="s">
        <v>886</v>
      </c>
      <c r="D2855" s="4" t="s">
        <v>887</v>
      </c>
      <c r="E2855" s="4" t="s">
        <v>23</v>
      </c>
      <c r="F2855" s="4" t="s">
        <v>888</v>
      </c>
      <c r="G2855" s="4" t="s">
        <v>889</v>
      </c>
      <c r="H2855" s="4" t="s">
        <v>122</v>
      </c>
      <c r="I2855" s="4" t="s">
        <v>38</v>
      </c>
      <c r="J2855" s="4" t="s">
        <v>28</v>
      </c>
      <c r="K2855" s="4" t="s">
        <v>28</v>
      </c>
      <c r="L2855" s="4" t="s">
        <v>27</v>
      </c>
      <c r="M2855" s="4" t="s">
        <v>34</v>
      </c>
      <c r="N2855" s="4" t="s">
        <v>28</v>
      </c>
    </row>
    <row r="2856" spans="1:14" ht="14.4" thickBot="1" x14ac:dyDescent="0.35">
      <c r="A2856" s="4" t="s">
        <v>19</v>
      </c>
      <c r="B2856" s="4" t="s">
        <v>881</v>
      </c>
      <c r="C2856" s="4" t="s">
        <v>886</v>
      </c>
      <c r="D2856" s="4" t="s">
        <v>887</v>
      </c>
      <c r="E2856" s="4" t="s">
        <v>23</v>
      </c>
      <c r="F2856" s="4" t="s">
        <v>4704</v>
      </c>
      <c r="G2856" s="4" t="s">
        <v>4705</v>
      </c>
      <c r="H2856" s="4" t="s">
        <v>26</v>
      </c>
      <c r="I2856" s="4" t="s">
        <v>69</v>
      </c>
      <c r="J2856" s="4" t="s">
        <v>27</v>
      </c>
      <c r="K2856" s="4" t="s">
        <v>28</v>
      </c>
      <c r="L2856" s="4" t="s">
        <v>28</v>
      </c>
      <c r="M2856" s="4" t="s">
        <v>34</v>
      </c>
      <c r="N2856" s="4" t="s">
        <v>28</v>
      </c>
    </row>
    <row r="2857" spans="1:14" ht="14.4" thickBot="1" x14ac:dyDescent="0.35">
      <c r="A2857" s="4" t="s">
        <v>19</v>
      </c>
      <c r="B2857" s="4" t="s">
        <v>881</v>
      </c>
      <c r="C2857" s="4" t="s">
        <v>882</v>
      </c>
      <c r="D2857" s="4" t="s">
        <v>883</v>
      </c>
      <c r="E2857" s="4" t="s">
        <v>23</v>
      </c>
      <c r="F2857" s="4" t="s">
        <v>884</v>
      </c>
      <c r="G2857" s="4" t="s">
        <v>885</v>
      </c>
      <c r="H2857" s="4" t="s">
        <v>26</v>
      </c>
      <c r="I2857" s="4" t="s">
        <v>38</v>
      </c>
      <c r="J2857" s="4" t="s">
        <v>28</v>
      </c>
      <c r="K2857" s="4" t="s">
        <v>28</v>
      </c>
      <c r="L2857" s="4" t="s">
        <v>27</v>
      </c>
      <c r="M2857" s="4" t="s">
        <v>34</v>
      </c>
      <c r="N2857" s="4" t="s">
        <v>28</v>
      </c>
    </row>
    <row r="2858" spans="1:14" ht="14.4" thickBot="1" x14ac:dyDescent="0.35">
      <c r="A2858" s="4" t="s">
        <v>19</v>
      </c>
      <c r="B2858" s="5"/>
      <c r="C2858" s="4" t="s">
        <v>979</v>
      </c>
      <c r="D2858" s="4" t="s">
        <v>980</v>
      </c>
      <c r="E2858" s="5"/>
      <c r="F2858" s="4" t="s">
        <v>981</v>
      </c>
      <c r="G2858" s="4" t="s">
        <v>982</v>
      </c>
      <c r="H2858" s="5"/>
      <c r="I2858" s="5"/>
      <c r="J2858" s="5"/>
      <c r="K2858" s="5"/>
      <c r="L2858" s="5"/>
      <c r="M2858" s="4" t="s">
        <v>983</v>
      </c>
      <c r="N2858" s="5"/>
    </row>
    <row r="2859" spans="1:14" ht="14.4" thickBot="1" x14ac:dyDescent="0.35">
      <c r="A2859" s="4" t="s">
        <v>19</v>
      </c>
      <c r="B2859" s="5"/>
      <c r="C2859" s="4" t="s">
        <v>979</v>
      </c>
      <c r="D2859" s="4" t="s">
        <v>980</v>
      </c>
      <c r="E2859" s="5"/>
      <c r="F2859" s="4" t="s">
        <v>984</v>
      </c>
      <c r="G2859" s="4" t="s">
        <v>985</v>
      </c>
      <c r="H2859" s="4" t="s">
        <v>135</v>
      </c>
      <c r="I2859" s="4" t="s">
        <v>38</v>
      </c>
      <c r="J2859" s="4" t="s">
        <v>28</v>
      </c>
      <c r="K2859" s="4" t="s">
        <v>28</v>
      </c>
      <c r="L2859" s="4" t="s">
        <v>27</v>
      </c>
      <c r="M2859" s="4" t="s">
        <v>983</v>
      </c>
      <c r="N2859" s="5"/>
    </row>
    <row r="2860" spans="1:14" ht="14.4" thickBot="1" x14ac:dyDescent="0.35">
      <c r="A2860" s="4" t="s">
        <v>19</v>
      </c>
      <c r="B2860" s="5"/>
      <c r="C2860" s="4" t="s">
        <v>979</v>
      </c>
      <c r="D2860" s="4" t="s">
        <v>980</v>
      </c>
      <c r="E2860" s="5"/>
      <c r="F2860" s="4" t="s">
        <v>986</v>
      </c>
      <c r="G2860" s="4" t="s">
        <v>987</v>
      </c>
      <c r="H2860" s="4" t="s">
        <v>26</v>
      </c>
      <c r="I2860" s="4" t="s">
        <v>135</v>
      </c>
      <c r="J2860" s="4" t="s">
        <v>27</v>
      </c>
      <c r="K2860" s="4" t="s">
        <v>28</v>
      </c>
      <c r="L2860" s="4" t="s">
        <v>28</v>
      </c>
      <c r="M2860" s="4" t="s">
        <v>983</v>
      </c>
      <c r="N2860" s="5"/>
    </row>
    <row r="2861" spans="1:14" ht="14.4" thickBot="1" x14ac:dyDescent="0.35">
      <c r="A2861" s="4" t="s">
        <v>19</v>
      </c>
      <c r="B2861" s="5"/>
      <c r="C2861" s="4" t="s">
        <v>979</v>
      </c>
      <c r="D2861" s="4" t="s">
        <v>980</v>
      </c>
      <c r="E2861" s="5"/>
      <c r="F2861" s="4" t="s">
        <v>988</v>
      </c>
      <c r="G2861" s="4" t="s">
        <v>989</v>
      </c>
      <c r="H2861" s="4" t="s">
        <v>69</v>
      </c>
      <c r="I2861" s="4" t="s">
        <v>38</v>
      </c>
      <c r="J2861" s="4" t="s">
        <v>28</v>
      </c>
      <c r="K2861" s="4" t="s">
        <v>28</v>
      </c>
      <c r="L2861" s="4" t="s">
        <v>27</v>
      </c>
      <c r="M2861" s="4" t="s">
        <v>983</v>
      </c>
      <c r="N2861" s="4" t="s">
        <v>28</v>
      </c>
    </row>
    <row r="2862" spans="1:14" ht="14.4" thickBot="1" x14ac:dyDescent="0.35">
      <c r="A2862" s="4" t="s">
        <v>19</v>
      </c>
      <c r="B2862" s="5"/>
      <c r="C2862" s="4" t="s">
        <v>979</v>
      </c>
      <c r="D2862" s="4" t="s">
        <v>980</v>
      </c>
      <c r="E2862" s="5"/>
      <c r="F2862" s="4" t="s">
        <v>990</v>
      </c>
      <c r="G2862" s="4" t="s">
        <v>991</v>
      </c>
      <c r="H2862" s="4" t="s">
        <v>69</v>
      </c>
      <c r="I2862" s="4" t="s">
        <v>38</v>
      </c>
      <c r="J2862" s="4" t="s">
        <v>28</v>
      </c>
      <c r="K2862" s="4" t="s">
        <v>28</v>
      </c>
      <c r="L2862" s="4" t="s">
        <v>27</v>
      </c>
      <c r="M2862" s="4" t="s">
        <v>983</v>
      </c>
      <c r="N2862" s="5"/>
    </row>
    <row r="2863" spans="1:14" ht="14.4" thickBot="1" x14ac:dyDescent="0.35">
      <c r="A2863" s="4" t="s">
        <v>19</v>
      </c>
      <c r="B2863" s="5"/>
      <c r="C2863" s="4" t="s">
        <v>979</v>
      </c>
      <c r="D2863" s="4" t="s">
        <v>980</v>
      </c>
      <c r="E2863" s="5"/>
      <c r="F2863" s="4" t="s">
        <v>992</v>
      </c>
      <c r="G2863" s="4" t="s">
        <v>993</v>
      </c>
      <c r="H2863" s="4" t="s">
        <v>135</v>
      </c>
      <c r="I2863" s="4" t="s">
        <v>38</v>
      </c>
      <c r="J2863" s="4" t="s">
        <v>28</v>
      </c>
      <c r="K2863" s="4" t="s">
        <v>28</v>
      </c>
      <c r="L2863" s="4" t="s">
        <v>27</v>
      </c>
      <c r="M2863" s="4" t="s">
        <v>983</v>
      </c>
      <c r="N2863" s="5"/>
    </row>
    <row r="2864" spans="1:14" ht="14.4" thickBot="1" x14ac:dyDescent="0.35">
      <c r="A2864" s="4" t="s">
        <v>19</v>
      </c>
      <c r="B2864" s="5"/>
      <c r="C2864" s="4" t="s">
        <v>979</v>
      </c>
      <c r="D2864" s="4" t="s">
        <v>980</v>
      </c>
      <c r="E2864" s="5"/>
      <c r="F2864" s="4" t="s">
        <v>994</v>
      </c>
      <c r="G2864" s="4" t="s">
        <v>995</v>
      </c>
      <c r="H2864" s="4" t="s">
        <v>69</v>
      </c>
      <c r="I2864" s="4" t="s">
        <v>38</v>
      </c>
      <c r="J2864" s="4" t="s">
        <v>28</v>
      </c>
      <c r="K2864" s="4" t="s">
        <v>28</v>
      </c>
      <c r="L2864" s="4" t="s">
        <v>27</v>
      </c>
      <c r="M2864" s="4" t="s">
        <v>983</v>
      </c>
      <c r="N2864" s="5"/>
    </row>
    <row r="2865" spans="1:14" ht="14.4" thickBot="1" x14ac:dyDescent="0.35">
      <c r="A2865" s="4" t="s">
        <v>19</v>
      </c>
      <c r="B2865" s="5"/>
      <c r="C2865" s="4" t="s">
        <v>979</v>
      </c>
      <c r="D2865" s="4" t="s">
        <v>980</v>
      </c>
      <c r="E2865" s="5"/>
      <c r="F2865" s="4" t="s">
        <v>1863</v>
      </c>
      <c r="G2865" s="4" t="s">
        <v>1864</v>
      </c>
      <c r="H2865" s="4" t="s">
        <v>135</v>
      </c>
      <c r="I2865" s="4" t="s">
        <v>38</v>
      </c>
      <c r="J2865" s="4" t="s">
        <v>28</v>
      </c>
      <c r="K2865" s="4" t="s">
        <v>28</v>
      </c>
      <c r="L2865" s="4" t="s">
        <v>27</v>
      </c>
      <c r="M2865" s="4" t="s">
        <v>983</v>
      </c>
      <c r="N2865" s="4" t="s">
        <v>28</v>
      </c>
    </row>
    <row r="2866" spans="1:14" ht="14.4" thickBot="1" x14ac:dyDescent="0.35">
      <c r="A2866" s="4" t="s">
        <v>19</v>
      </c>
      <c r="B2866" s="5"/>
      <c r="C2866" s="4" t="s">
        <v>979</v>
      </c>
      <c r="D2866" s="4" t="s">
        <v>980</v>
      </c>
      <c r="E2866" s="5"/>
      <c r="F2866" s="4" t="s">
        <v>1865</v>
      </c>
      <c r="G2866" s="4" t="s">
        <v>1866</v>
      </c>
      <c r="H2866" s="4" t="s">
        <v>135</v>
      </c>
      <c r="I2866" s="4" t="s">
        <v>38</v>
      </c>
      <c r="J2866" s="4" t="s">
        <v>28</v>
      </c>
      <c r="K2866" s="4" t="s">
        <v>28</v>
      </c>
      <c r="L2866" s="4" t="s">
        <v>27</v>
      </c>
      <c r="M2866" s="4" t="s">
        <v>983</v>
      </c>
      <c r="N2866" s="4" t="s">
        <v>28</v>
      </c>
    </row>
    <row r="2867" spans="1:14" ht="14.4" thickBot="1" x14ac:dyDescent="0.35">
      <c r="A2867" s="4" t="s">
        <v>19</v>
      </c>
      <c r="B2867" s="5"/>
      <c r="C2867" s="4" t="s">
        <v>979</v>
      </c>
      <c r="D2867" s="4" t="s">
        <v>980</v>
      </c>
      <c r="E2867" s="5"/>
      <c r="F2867" s="4" t="s">
        <v>1867</v>
      </c>
      <c r="G2867" s="4" t="s">
        <v>1868</v>
      </c>
      <c r="H2867" s="4" t="s">
        <v>69</v>
      </c>
      <c r="I2867" s="4" t="s">
        <v>38</v>
      </c>
      <c r="J2867" s="5"/>
      <c r="K2867" s="5"/>
      <c r="L2867" s="5"/>
      <c r="M2867" s="4" t="s">
        <v>983</v>
      </c>
      <c r="N2867" s="5"/>
    </row>
    <row r="2868" spans="1:14" ht="14.4" thickBot="1" x14ac:dyDescent="0.35">
      <c r="A2868" s="4" t="s">
        <v>19</v>
      </c>
      <c r="B2868" s="5"/>
      <c r="C2868" s="4" t="s">
        <v>979</v>
      </c>
      <c r="D2868" s="4" t="s">
        <v>980</v>
      </c>
      <c r="E2868" s="5"/>
      <c r="F2868" s="4" t="s">
        <v>1869</v>
      </c>
      <c r="G2868" s="4" t="s">
        <v>1870</v>
      </c>
      <c r="H2868" s="4" t="s">
        <v>135</v>
      </c>
      <c r="I2868" s="4" t="s">
        <v>38</v>
      </c>
      <c r="J2868" s="4" t="s">
        <v>28</v>
      </c>
      <c r="K2868" s="4" t="s">
        <v>28</v>
      </c>
      <c r="L2868" s="4" t="s">
        <v>27</v>
      </c>
      <c r="M2868" s="4" t="s">
        <v>983</v>
      </c>
      <c r="N2868" s="5"/>
    </row>
    <row r="2869" spans="1:14" ht="14.4" thickBot="1" x14ac:dyDescent="0.35">
      <c r="A2869" s="4" t="s">
        <v>19</v>
      </c>
      <c r="B2869" s="5"/>
      <c r="C2869" s="4" t="s">
        <v>979</v>
      </c>
      <c r="D2869" s="4" t="s">
        <v>980</v>
      </c>
      <c r="E2869" s="5"/>
      <c r="F2869" s="4" t="s">
        <v>1871</v>
      </c>
      <c r="G2869" s="4" t="s">
        <v>1872</v>
      </c>
      <c r="H2869" s="4" t="s">
        <v>26</v>
      </c>
      <c r="I2869" s="4" t="s">
        <v>38</v>
      </c>
      <c r="J2869" s="4" t="s">
        <v>28</v>
      </c>
      <c r="K2869" s="4" t="s">
        <v>28</v>
      </c>
      <c r="L2869" s="4" t="s">
        <v>27</v>
      </c>
      <c r="M2869" s="4" t="s">
        <v>983</v>
      </c>
      <c r="N2869" s="4" t="s">
        <v>28</v>
      </c>
    </row>
    <row r="2870" spans="1:14" ht="14.4" thickBot="1" x14ac:dyDescent="0.35">
      <c r="A2870" s="4" t="s">
        <v>19</v>
      </c>
      <c r="B2870" s="5"/>
      <c r="C2870" s="4" t="s">
        <v>979</v>
      </c>
      <c r="D2870" s="4" t="s">
        <v>980</v>
      </c>
      <c r="E2870" s="5"/>
      <c r="F2870" s="4" t="s">
        <v>1873</v>
      </c>
      <c r="G2870" s="4" t="s">
        <v>1874</v>
      </c>
      <c r="H2870" s="4" t="s">
        <v>69</v>
      </c>
      <c r="I2870" s="4" t="s">
        <v>38</v>
      </c>
      <c r="J2870" s="4" t="s">
        <v>28</v>
      </c>
      <c r="K2870" s="4" t="s">
        <v>28</v>
      </c>
      <c r="L2870" s="4" t="s">
        <v>27</v>
      </c>
      <c r="M2870" s="4" t="s">
        <v>983</v>
      </c>
      <c r="N2870" s="5"/>
    </row>
    <row r="2871" spans="1:14" ht="14.4" thickBot="1" x14ac:dyDescent="0.35">
      <c r="A2871" s="4" t="s">
        <v>19</v>
      </c>
      <c r="B2871" s="5"/>
      <c r="C2871" s="4" t="s">
        <v>979</v>
      </c>
      <c r="D2871" s="4" t="s">
        <v>980</v>
      </c>
      <c r="E2871" s="5"/>
      <c r="F2871" s="4" t="s">
        <v>1875</v>
      </c>
      <c r="G2871" s="4" t="s">
        <v>1876</v>
      </c>
      <c r="H2871" s="4" t="s">
        <v>135</v>
      </c>
      <c r="I2871" s="4" t="s">
        <v>94</v>
      </c>
      <c r="J2871" s="5"/>
      <c r="K2871" s="5"/>
      <c r="L2871" s="5"/>
      <c r="M2871" s="4" t="s">
        <v>983</v>
      </c>
      <c r="N2871" s="5"/>
    </row>
    <row r="2872" spans="1:14" ht="14.4" thickBot="1" x14ac:dyDescent="0.35">
      <c r="A2872" s="4" t="s">
        <v>19</v>
      </c>
      <c r="B2872" s="5"/>
      <c r="C2872" s="4" t="s">
        <v>979</v>
      </c>
      <c r="D2872" s="4" t="s">
        <v>980</v>
      </c>
      <c r="E2872" s="5"/>
      <c r="F2872" s="4" t="s">
        <v>1877</v>
      </c>
      <c r="G2872" s="4" t="s">
        <v>1878</v>
      </c>
      <c r="H2872" s="4" t="s">
        <v>135</v>
      </c>
      <c r="I2872" s="4" t="s">
        <v>38</v>
      </c>
      <c r="J2872" s="4" t="s">
        <v>28</v>
      </c>
      <c r="K2872" s="4" t="s">
        <v>28</v>
      </c>
      <c r="L2872" s="4" t="s">
        <v>27</v>
      </c>
      <c r="M2872" s="4" t="s">
        <v>983</v>
      </c>
      <c r="N2872" s="5"/>
    </row>
    <row r="2873" spans="1:14" ht="14.4" thickBot="1" x14ac:dyDescent="0.35">
      <c r="A2873" s="4" t="s">
        <v>19</v>
      </c>
      <c r="B2873" s="5"/>
      <c r="C2873" s="4" t="s">
        <v>979</v>
      </c>
      <c r="D2873" s="4" t="s">
        <v>980</v>
      </c>
      <c r="E2873" s="5"/>
      <c r="F2873" s="4" t="s">
        <v>1879</v>
      </c>
      <c r="G2873" s="4" t="s">
        <v>1880</v>
      </c>
      <c r="H2873" s="4" t="s">
        <v>158</v>
      </c>
      <c r="I2873" s="4" t="s">
        <v>38</v>
      </c>
      <c r="J2873" s="4" t="s">
        <v>28</v>
      </c>
      <c r="K2873" s="4" t="s">
        <v>28</v>
      </c>
      <c r="L2873" s="4" t="s">
        <v>27</v>
      </c>
      <c r="M2873" s="4" t="s">
        <v>983</v>
      </c>
      <c r="N2873" s="4" t="s">
        <v>28</v>
      </c>
    </row>
    <row r="2874" spans="1:14" ht="14.4" thickBot="1" x14ac:dyDescent="0.35">
      <c r="A2874" s="4" t="s">
        <v>19</v>
      </c>
      <c r="B2874" s="5"/>
      <c r="C2874" s="4" t="s">
        <v>979</v>
      </c>
      <c r="D2874" s="4" t="s">
        <v>980</v>
      </c>
      <c r="E2874" s="5"/>
      <c r="F2874" s="4" t="s">
        <v>2519</v>
      </c>
      <c r="G2874" s="4" t="s">
        <v>2520</v>
      </c>
      <c r="H2874" s="4" t="s">
        <v>135</v>
      </c>
      <c r="I2874" s="4" t="s">
        <v>38</v>
      </c>
      <c r="J2874" s="5"/>
      <c r="K2874" s="5"/>
      <c r="L2874" s="5"/>
      <c r="M2874" s="4" t="s">
        <v>983</v>
      </c>
      <c r="N2874" s="5"/>
    </row>
    <row r="2875" spans="1:14" ht="14.4" thickBot="1" x14ac:dyDescent="0.35">
      <c r="A2875" s="4" t="s">
        <v>19</v>
      </c>
      <c r="B2875" s="5"/>
      <c r="C2875" s="4" t="s">
        <v>979</v>
      </c>
      <c r="D2875" s="4" t="s">
        <v>980</v>
      </c>
      <c r="E2875" s="5"/>
      <c r="F2875" s="4" t="s">
        <v>2521</v>
      </c>
      <c r="G2875" s="4" t="s">
        <v>2522</v>
      </c>
      <c r="H2875" s="4" t="s">
        <v>135</v>
      </c>
      <c r="I2875" s="4" t="s">
        <v>38</v>
      </c>
      <c r="J2875" s="4" t="s">
        <v>28</v>
      </c>
      <c r="K2875" s="4" t="s">
        <v>28</v>
      </c>
      <c r="L2875" s="4" t="s">
        <v>27</v>
      </c>
      <c r="M2875" s="4" t="s">
        <v>983</v>
      </c>
      <c r="N2875" s="5"/>
    </row>
    <row r="2876" spans="1:14" ht="14.4" thickBot="1" x14ac:dyDescent="0.35">
      <c r="A2876" s="4" t="s">
        <v>19</v>
      </c>
      <c r="B2876" s="5"/>
      <c r="C2876" s="4" t="s">
        <v>979</v>
      </c>
      <c r="D2876" s="4" t="s">
        <v>980</v>
      </c>
      <c r="E2876" s="5"/>
      <c r="F2876" s="4" t="s">
        <v>3276</v>
      </c>
      <c r="G2876" s="4" t="s">
        <v>3277</v>
      </c>
      <c r="H2876" s="4" t="s">
        <v>454</v>
      </c>
      <c r="I2876" s="4" t="s">
        <v>38</v>
      </c>
      <c r="J2876" s="4" t="s">
        <v>28</v>
      </c>
      <c r="K2876" s="4" t="s">
        <v>28</v>
      </c>
      <c r="L2876" s="4" t="s">
        <v>27</v>
      </c>
      <c r="M2876" s="4" t="s">
        <v>983</v>
      </c>
      <c r="N2876" s="4" t="s">
        <v>28</v>
      </c>
    </row>
    <row r="2877" spans="1:14" ht="14.4" thickBot="1" x14ac:dyDescent="0.35">
      <c r="A2877" s="4" t="s">
        <v>19</v>
      </c>
      <c r="B2877" s="5"/>
      <c r="C2877" s="4" t="s">
        <v>979</v>
      </c>
      <c r="D2877" s="4" t="s">
        <v>980</v>
      </c>
      <c r="E2877" s="5"/>
      <c r="F2877" s="4" t="s">
        <v>3278</v>
      </c>
      <c r="G2877" s="4" t="s">
        <v>3279</v>
      </c>
      <c r="H2877" s="4" t="s">
        <v>33</v>
      </c>
      <c r="I2877" s="4" t="s">
        <v>38</v>
      </c>
      <c r="J2877" s="4" t="s">
        <v>28</v>
      </c>
      <c r="K2877" s="4" t="s">
        <v>28</v>
      </c>
      <c r="L2877" s="4" t="s">
        <v>27</v>
      </c>
      <c r="M2877" s="4" t="s">
        <v>983</v>
      </c>
      <c r="N2877" s="4" t="s">
        <v>28</v>
      </c>
    </row>
    <row r="2878" spans="1:14" ht="14.4" thickBot="1" x14ac:dyDescent="0.35">
      <c r="A2878" s="4" t="s">
        <v>19</v>
      </c>
      <c r="B2878" s="5"/>
      <c r="C2878" s="4" t="s">
        <v>979</v>
      </c>
      <c r="D2878" s="4" t="s">
        <v>980</v>
      </c>
      <c r="E2878" s="5"/>
      <c r="F2878" s="4" t="s">
        <v>3280</v>
      </c>
      <c r="G2878" s="4" t="s">
        <v>3281</v>
      </c>
      <c r="H2878" s="4" t="s">
        <v>135</v>
      </c>
      <c r="I2878" s="4" t="s">
        <v>38</v>
      </c>
      <c r="J2878" s="4" t="s">
        <v>28</v>
      </c>
      <c r="K2878" s="4" t="s">
        <v>28</v>
      </c>
      <c r="L2878" s="4" t="s">
        <v>27</v>
      </c>
      <c r="M2878" s="4" t="s">
        <v>983</v>
      </c>
      <c r="N2878" s="4" t="s">
        <v>28</v>
      </c>
    </row>
    <row r="2879" spans="1:14" ht="14.4" thickBot="1" x14ac:dyDescent="0.35">
      <c r="A2879" s="4" t="s">
        <v>19</v>
      </c>
      <c r="B2879" s="5"/>
      <c r="C2879" s="4" t="s">
        <v>979</v>
      </c>
      <c r="D2879" s="4" t="s">
        <v>980</v>
      </c>
      <c r="E2879" s="5"/>
      <c r="F2879" s="4" t="s">
        <v>3282</v>
      </c>
      <c r="G2879" s="4" t="s">
        <v>3283</v>
      </c>
      <c r="H2879" s="4" t="s">
        <v>69</v>
      </c>
      <c r="I2879" s="4" t="s">
        <v>38</v>
      </c>
      <c r="J2879" s="4" t="s">
        <v>28</v>
      </c>
      <c r="K2879" s="4" t="s">
        <v>28</v>
      </c>
      <c r="L2879" s="4" t="s">
        <v>27</v>
      </c>
      <c r="M2879" s="4" t="s">
        <v>983</v>
      </c>
      <c r="N2879" s="5"/>
    </row>
    <row r="2880" spans="1:14" ht="14.4" thickBot="1" x14ac:dyDescent="0.35">
      <c r="A2880" s="4" t="s">
        <v>19</v>
      </c>
      <c r="B2880" s="5"/>
      <c r="C2880" s="4" t="s">
        <v>979</v>
      </c>
      <c r="D2880" s="4" t="s">
        <v>980</v>
      </c>
      <c r="E2880" s="5"/>
      <c r="F2880" s="4" t="s">
        <v>3284</v>
      </c>
      <c r="G2880" s="4" t="s">
        <v>3285</v>
      </c>
      <c r="H2880" s="4" t="s">
        <v>135</v>
      </c>
      <c r="I2880" s="4" t="s">
        <v>94</v>
      </c>
      <c r="J2880" s="4" t="s">
        <v>27</v>
      </c>
      <c r="K2880" s="4" t="s">
        <v>28</v>
      </c>
      <c r="L2880" s="4" t="s">
        <v>28</v>
      </c>
      <c r="M2880" s="4" t="s">
        <v>983</v>
      </c>
      <c r="N2880" s="5"/>
    </row>
    <row r="2881" spans="1:14" ht="14.4" thickBot="1" x14ac:dyDescent="0.35">
      <c r="A2881" s="4" t="s">
        <v>19</v>
      </c>
      <c r="B2881" s="5"/>
      <c r="C2881" s="4" t="s">
        <v>979</v>
      </c>
      <c r="D2881" s="4" t="s">
        <v>980</v>
      </c>
      <c r="E2881" s="5"/>
      <c r="F2881" s="4" t="s">
        <v>3286</v>
      </c>
      <c r="G2881" s="4" t="s">
        <v>3287</v>
      </c>
      <c r="H2881" s="4" t="s">
        <v>135</v>
      </c>
      <c r="I2881" s="4" t="s">
        <v>38</v>
      </c>
      <c r="J2881" s="4" t="s">
        <v>28</v>
      </c>
      <c r="K2881" s="4" t="s">
        <v>28</v>
      </c>
      <c r="L2881" s="4" t="s">
        <v>27</v>
      </c>
      <c r="M2881" s="4" t="s">
        <v>983</v>
      </c>
      <c r="N2881" s="5"/>
    </row>
    <row r="2882" spans="1:14" ht="14.4" thickBot="1" x14ac:dyDescent="0.35">
      <c r="A2882" s="4" t="s">
        <v>19</v>
      </c>
      <c r="B2882" s="5"/>
      <c r="C2882" s="4" t="s">
        <v>979</v>
      </c>
      <c r="D2882" s="4" t="s">
        <v>980</v>
      </c>
      <c r="E2882" s="5"/>
      <c r="F2882" s="4" t="s">
        <v>3288</v>
      </c>
      <c r="G2882" s="4" t="s">
        <v>3289</v>
      </c>
      <c r="H2882" s="4" t="s">
        <v>135</v>
      </c>
      <c r="I2882" s="4" t="s">
        <v>38</v>
      </c>
      <c r="J2882" s="5"/>
      <c r="K2882" s="5"/>
      <c r="L2882" s="5"/>
      <c r="M2882" s="4" t="s">
        <v>983</v>
      </c>
      <c r="N2882" s="5"/>
    </row>
    <row r="2883" spans="1:14" ht="14.4" thickBot="1" x14ac:dyDescent="0.35">
      <c r="A2883" s="4" t="s">
        <v>19</v>
      </c>
      <c r="B2883" s="5"/>
      <c r="C2883" s="4" t="s">
        <v>979</v>
      </c>
      <c r="D2883" s="4" t="s">
        <v>980</v>
      </c>
      <c r="E2883" s="5"/>
      <c r="F2883" s="4" t="s">
        <v>3290</v>
      </c>
      <c r="G2883" s="4" t="s">
        <v>3291</v>
      </c>
      <c r="H2883" s="4" t="s">
        <v>135</v>
      </c>
      <c r="I2883" s="4" t="s">
        <v>38</v>
      </c>
      <c r="J2883" s="4" t="s">
        <v>28</v>
      </c>
      <c r="K2883" s="4" t="s">
        <v>28</v>
      </c>
      <c r="L2883" s="4" t="s">
        <v>27</v>
      </c>
      <c r="M2883" s="4" t="s">
        <v>983</v>
      </c>
      <c r="N2883" s="5"/>
    </row>
    <row r="2884" spans="1:14" ht="14.4" thickBot="1" x14ac:dyDescent="0.35">
      <c r="A2884" s="4" t="s">
        <v>19</v>
      </c>
      <c r="B2884" s="5"/>
      <c r="C2884" s="4" t="s">
        <v>979</v>
      </c>
      <c r="D2884" s="4" t="s">
        <v>980</v>
      </c>
      <c r="E2884" s="5"/>
      <c r="F2884" s="4" t="s">
        <v>4086</v>
      </c>
      <c r="G2884" s="4" t="s">
        <v>4087</v>
      </c>
      <c r="H2884" s="4" t="s">
        <v>135</v>
      </c>
      <c r="I2884" s="4" t="s">
        <v>38</v>
      </c>
      <c r="J2884" s="4" t="s">
        <v>28</v>
      </c>
      <c r="K2884" s="4" t="s">
        <v>28</v>
      </c>
      <c r="L2884" s="4" t="s">
        <v>27</v>
      </c>
      <c r="M2884" s="4" t="s">
        <v>983</v>
      </c>
      <c r="N2884" s="4" t="s">
        <v>28</v>
      </c>
    </row>
    <row r="2885" spans="1:14" ht="14.4" thickBot="1" x14ac:dyDescent="0.35">
      <c r="A2885" s="4" t="s">
        <v>19</v>
      </c>
      <c r="B2885" s="5"/>
      <c r="C2885" s="4" t="s">
        <v>979</v>
      </c>
      <c r="D2885" s="4" t="s">
        <v>980</v>
      </c>
      <c r="E2885" s="5"/>
      <c r="F2885" s="4" t="s">
        <v>4088</v>
      </c>
      <c r="G2885" s="4" t="s">
        <v>4089</v>
      </c>
      <c r="H2885" s="4" t="s">
        <v>69</v>
      </c>
      <c r="I2885" s="4" t="s">
        <v>38</v>
      </c>
      <c r="J2885" s="5"/>
      <c r="K2885" s="5"/>
      <c r="L2885" s="5"/>
      <c r="M2885" s="4" t="s">
        <v>983</v>
      </c>
      <c r="N2885" s="5"/>
    </row>
    <row r="2886" spans="1:14" ht="14.4" thickBot="1" x14ac:dyDescent="0.35">
      <c r="A2886" s="4" t="s">
        <v>19</v>
      </c>
      <c r="B2886" s="5"/>
      <c r="C2886" s="4" t="s">
        <v>979</v>
      </c>
      <c r="D2886" s="4" t="s">
        <v>980</v>
      </c>
      <c r="E2886" s="5"/>
      <c r="F2886" s="4" t="s">
        <v>4090</v>
      </c>
      <c r="G2886" s="4" t="s">
        <v>4091</v>
      </c>
      <c r="H2886" s="4" t="s">
        <v>135</v>
      </c>
      <c r="I2886" s="4" t="s">
        <v>38</v>
      </c>
      <c r="J2886" s="4" t="s">
        <v>28</v>
      </c>
      <c r="K2886" s="4" t="s">
        <v>28</v>
      </c>
      <c r="L2886" s="4" t="s">
        <v>27</v>
      </c>
      <c r="M2886" s="4" t="s">
        <v>983</v>
      </c>
      <c r="N2886" s="5"/>
    </row>
    <row r="2887" spans="1:14" ht="14.4" thickBot="1" x14ac:dyDescent="0.35">
      <c r="A2887" s="4" t="s">
        <v>19</v>
      </c>
      <c r="B2887" s="5"/>
      <c r="C2887" s="4" t="s">
        <v>979</v>
      </c>
      <c r="D2887" s="4" t="s">
        <v>980</v>
      </c>
      <c r="E2887" s="5"/>
      <c r="F2887" s="4" t="s">
        <v>4092</v>
      </c>
      <c r="G2887" s="4" t="s">
        <v>4093</v>
      </c>
      <c r="H2887" s="4" t="s">
        <v>135</v>
      </c>
      <c r="I2887" s="4" t="s">
        <v>38</v>
      </c>
      <c r="J2887" s="4" t="s">
        <v>28</v>
      </c>
      <c r="K2887" s="4" t="s">
        <v>28</v>
      </c>
      <c r="L2887" s="4" t="s">
        <v>27</v>
      </c>
      <c r="M2887" s="4" t="s">
        <v>983</v>
      </c>
      <c r="N2887" s="5"/>
    </row>
    <row r="2888" spans="1:14" ht="14.4" thickBot="1" x14ac:dyDescent="0.35">
      <c r="A2888" s="4" t="s">
        <v>19</v>
      </c>
      <c r="B2888" s="5"/>
      <c r="C2888" s="4" t="s">
        <v>979</v>
      </c>
      <c r="D2888" s="4" t="s">
        <v>980</v>
      </c>
      <c r="E2888" s="5"/>
      <c r="F2888" s="4" t="s">
        <v>4094</v>
      </c>
      <c r="G2888" s="4" t="s">
        <v>4095</v>
      </c>
      <c r="H2888" s="4" t="s">
        <v>69</v>
      </c>
      <c r="I2888" s="4" t="s">
        <v>38</v>
      </c>
      <c r="J2888" s="5"/>
      <c r="K2888" s="5"/>
      <c r="L2888" s="5"/>
      <c r="M2888" s="4" t="s">
        <v>983</v>
      </c>
      <c r="N2888" s="5"/>
    </row>
    <row r="2889" spans="1:14" ht="14.4" thickBot="1" x14ac:dyDescent="0.35">
      <c r="A2889" s="4" t="s">
        <v>19</v>
      </c>
      <c r="B2889" s="5"/>
      <c r="C2889" s="4" t="s">
        <v>979</v>
      </c>
      <c r="D2889" s="4" t="s">
        <v>980</v>
      </c>
      <c r="E2889" s="5"/>
      <c r="F2889" s="4" t="s">
        <v>4096</v>
      </c>
      <c r="G2889" s="4" t="s">
        <v>4097</v>
      </c>
      <c r="H2889" s="4" t="s">
        <v>135</v>
      </c>
      <c r="I2889" s="4" t="s">
        <v>38</v>
      </c>
      <c r="J2889" s="4" t="s">
        <v>28</v>
      </c>
      <c r="K2889" s="4" t="s">
        <v>28</v>
      </c>
      <c r="L2889" s="4" t="s">
        <v>27</v>
      </c>
      <c r="M2889" s="4" t="s">
        <v>983</v>
      </c>
      <c r="N2889" s="5"/>
    </row>
    <row r="2890" spans="1:14" ht="14.4" thickBot="1" x14ac:dyDescent="0.35">
      <c r="A2890" s="4" t="s">
        <v>19</v>
      </c>
      <c r="B2890" s="5"/>
      <c r="C2890" s="4" t="s">
        <v>979</v>
      </c>
      <c r="D2890" s="4" t="s">
        <v>980</v>
      </c>
      <c r="E2890" s="5"/>
      <c r="F2890" s="4" t="s">
        <v>4792</v>
      </c>
      <c r="G2890" s="4" t="s">
        <v>4793</v>
      </c>
      <c r="H2890" s="4" t="s">
        <v>135</v>
      </c>
      <c r="I2890" s="4" t="s">
        <v>38</v>
      </c>
      <c r="J2890" s="4" t="s">
        <v>28</v>
      </c>
      <c r="K2890" s="4" t="s">
        <v>28</v>
      </c>
      <c r="L2890" s="4" t="s">
        <v>27</v>
      </c>
      <c r="M2890" s="4" t="s">
        <v>983</v>
      </c>
      <c r="N2890" s="4" t="s">
        <v>28</v>
      </c>
    </row>
    <row r="2891" spans="1:14" ht="14.4" thickBot="1" x14ac:dyDescent="0.35">
      <c r="A2891" s="4" t="s">
        <v>19</v>
      </c>
      <c r="B2891" s="5"/>
      <c r="C2891" s="4" t="s">
        <v>979</v>
      </c>
      <c r="D2891" s="4" t="s">
        <v>980</v>
      </c>
      <c r="E2891" s="5"/>
      <c r="F2891" s="4" t="s">
        <v>4794</v>
      </c>
      <c r="G2891" s="4" t="s">
        <v>4795</v>
      </c>
      <c r="H2891" s="4" t="s">
        <v>116</v>
      </c>
      <c r="I2891" s="4" t="s">
        <v>1005</v>
      </c>
      <c r="J2891" s="4" t="s">
        <v>28</v>
      </c>
      <c r="K2891" s="4" t="s">
        <v>28</v>
      </c>
      <c r="L2891" s="4" t="s">
        <v>27</v>
      </c>
      <c r="M2891" s="4" t="s">
        <v>983</v>
      </c>
      <c r="N2891" s="4" t="s">
        <v>28</v>
      </c>
    </row>
    <row r="2892" spans="1:14" ht="14.4" thickBot="1" x14ac:dyDescent="0.35">
      <c r="A2892" s="4" t="s">
        <v>19</v>
      </c>
      <c r="B2892" s="5"/>
      <c r="C2892" s="4" t="s">
        <v>979</v>
      </c>
      <c r="D2892" s="4" t="s">
        <v>980</v>
      </c>
      <c r="E2892" s="5"/>
      <c r="F2892" s="4" t="s">
        <v>4796</v>
      </c>
      <c r="G2892" s="4" t="s">
        <v>4797</v>
      </c>
      <c r="H2892" s="4" t="s">
        <v>69</v>
      </c>
      <c r="I2892" s="4" t="s">
        <v>38</v>
      </c>
      <c r="J2892" s="4" t="s">
        <v>28</v>
      </c>
      <c r="K2892" s="4" t="s">
        <v>28</v>
      </c>
      <c r="L2892" s="4" t="s">
        <v>27</v>
      </c>
      <c r="M2892" s="4" t="s">
        <v>983</v>
      </c>
      <c r="N2892" s="4" t="s">
        <v>28</v>
      </c>
    </row>
    <row r="2893" spans="1:14" ht="14.4" thickBot="1" x14ac:dyDescent="0.35">
      <c r="A2893" s="4" t="s">
        <v>19</v>
      </c>
      <c r="B2893" s="5"/>
      <c r="C2893" s="4" t="s">
        <v>979</v>
      </c>
      <c r="D2893" s="4" t="s">
        <v>980</v>
      </c>
      <c r="E2893" s="5"/>
      <c r="F2893" s="4" t="s">
        <v>4798</v>
      </c>
      <c r="G2893" s="4" t="s">
        <v>1781</v>
      </c>
      <c r="H2893" s="4" t="s">
        <v>26</v>
      </c>
      <c r="I2893" s="4" t="s">
        <v>135</v>
      </c>
      <c r="J2893" s="5"/>
      <c r="K2893" s="5"/>
      <c r="L2893" s="5"/>
      <c r="M2893" s="4" t="s">
        <v>983</v>
      </c>
      <c r="N2893" s="5"/>
    </row>
    <row r="2894" spans="1:14" ht="14.4" thickBot="1" x14ac:dyDescent="0.35">
      <c r="A2894" s="4" t="s">
        <v>19</v>
      </c>
      <c r="B2894" s="5"/>
      <c r="C2894" s="4" t="s">
        <v>979</v>
      </c>
      <c r="D2894" s="4" t="s">
        <v>980</v>
      </c>
      <c r="E2894" s="5"/>
      <c r="F2894" s="4" t="s">
        <v>5492</v>
      </c>
      <c r="G2894" s="4" t="s">
        <v>5493</v>
      </c>
      <c r="H2894" s="4" t="s">
        <v>61</v>
      </c>
      <c r="I2894" s="4" t="s">
        <v>38</v>
      </c>
      <c r="J2894" s="4" t="s">
        <v>28</v>
      </c>
      <c r="K2894" s="4" t="s">
        <v>28</v>
      </c>
      <c r="L2894" s="4" t="s">
        <v>27</v>
      </c>
      <c r="M2894" s="4" t="s">
        <v>983</v>
      </c>
      <c r="N2894" s="4" t="s">
        <v>28</v>
      </c>
    </row>
    <row r="2895" spans="1:14" ht="14.4" thickBot="1" x14ac:dyDescent="0.35">
      <c r="A2895" s="4" t="s">
        <v>19</v>
      </c>
      <c r="B2895" s="5"/>
      <c r="C2895" s="4" t="s">
        <v>979</v>
      </c>
      <c r="D2895" s="4" t="s">
        <v>980</v>
      </c>
      <c r="E2895" s="5"/>
      <c r="F2895" s="4" t="s">
        <v>5494</v>
      </c>
      <c r="G2895" s="4" t="s">
        <v>5495</v>
      </c>
      <c r="H2895" s="4" t="s">
        <v>135</v>
      </c>
      <c r="I2895" s="4" t="s">
        <v>38</v>
      </c>
      <c r="J2895" s="5"/>
      <c r="K2895" s="5"/>
      <c r="L2895" s="5"/>
      <c r="M2895" s="4" t="s">
        <v>983</v>
      </c>
      <c r="N2895" s="5"/>
    </row>
    <row r="2896" spans="1:14" ht="14.4" thickBot="1" x14ac:dyDescent="0.35">
      <c r="A2896" s="4" t="s">
        <v>19</v>
      </c>
      <c r="B2896" s="5"/>
      <c r="C2896" s="4" t="s">
        <v>979</v>
      </c>
      <c r="D2896" s="4" t="s">
        <v>980</v>
      </c>
      <c r="E2896" s="5"/>
      <c r="F2896" s="4" t="s">
        <v>5496</v>
      </c>
      <c r="G2896" s="4" t="s">
        <v>5497</v>
      </c>
      <c r="H2896" s="4" t="s">
        <v>135</v>
      </c>
      <c r="I2896" s="4" t="s">
        <v>38</v>
      </c>
      <c r="J2896" s="4" t="s">
        <v>28</v>
      </c>
      <c r="K2896" s="4" t="s">
        <v>28</v>
      </c>
      <c r="L2896" s="4" t="s">
        <v>27</v>
      </c>
      <c r="M2896" s="4" t="s">
        <v>983</v>
      </c>
      <c r="N2896" s="5"/>
    </row>
    <row r="2897" spans="1:14" ht="14.4" thickBot="1" x14ac:dyDescent="0.35">
      <c r="A2897" s="4" t="s">
        <v>19</v>
      </c>
      <c r="B2897" s="5"/>
      <c r="C2897" s="4" t="s">
        <v>979</v>
      </c>
      <c r="D2897" s="4" t="s">
        <v>980</v>
      </c>
      <c r="E2897" s="5"/>
      <c r="F2897" s="4" t="s">
        <v>5498</v>
      </c>
      <c r="G2897" s="4" t="s">
        <v>5499</v>
      </c>
      <c r="H2897" s="4" t="s">
        <v>454</v>
      </c>
      <c r="I2897" s="4" t="s">
        <v>38</v>
      </c>
      <c r="J2897" s="4" t="s">
        <v>28</v>
      </c>
      <c r="K2897" s="4" t="s">
        <v>28</v>
      </c>
      <c r="L2897" s="4" t="s">
        <v>27</v>
      </c>
      <c r="M2897" s="4" t="s">
        <v>983</v>
      </c>
      <c r="N2897" s="5"/>
    </row>
    <row r="2898" spans="1:14" ht="14.4" thickBot="1" x14ac:dyDescent="0.35">
      <c r="A2898" s="4" t="s">
        <v>19</v>
      </c>
      <c r="B2898" s="5"/>
      <c r="C2898" s="4" t="s">
        <v>979</v>
      </c>
      <c r="D2898" s="4" t="s">
        <v>980</v>
      </c>
      <c r="E2898" s="5"/>
      <c r="F2898" s="4" t="s">
        <v>6193</v>
      </c>
      <c r="G2898" s="4" t="s">
        <v>6194</v>
      </c>
      <c r="H2898" s="4" t="s">
        <v>33</v>
      </c>
      <c r="I2898" s="4" t="s">
        <v>38</v>
      </c>
      <c r="J2898" s="4" t="s">
        <v>28</v>
      </c>
      <c r="K2898" s="4" t="s">
        <v>28</v>
      </c>
      <c r="L2898" s="4" t="s">
        <v>27</v>
      </c>
      <c r="M2898" s="4" t="s">
        <v>983</v>
      </c>
      <c r="N2898" s="4" t="s">
        <v>28</v>
      </c>
    </row>
    <row r="2899" spans="1:14" ht="14.4" thickBot="1" x14ac:dyDescent="0.35">
      <c r="A2899" s="4" t="s">
        <v>19</v>
      </c>
      <c r="B2899" s="5"/>
      <c r="C2899" s="4" t="s">
        <v>979</v>
      </c>
      <c r="D2899" s="4" t="s">
        <v>980</v>
      </c>
      <c r="E2899" s="5"/>
      <c r="F2899" s="4" t="s">
        <v>6195</v>
      </c>
      <c r="G2899" s="4" t="s">
        <v>6196</v>
      </c>
      <c r="H2899" s="4" t="s">
        <v>69</v>
      </c>
      <c r="I2899" s="4" t="s">
        <v>38</v>
      </c>
      <c r="J2899" s="5"/>
      <c r="K2899" s="5"/>
      <c r="L2899" s="5"/>
      <c r="M2899" s="4" t="s">
        <v>983</v>
      </c>
      <c r="N2899" s="5"/>
    </row>
    <row r="2900" spans="1:14" ht="14.4" thickBot="1" x14ac:dyDescent="0.35">
      <c r="A2900" s="4" t="s">
        <v>19</v>
      </c>
      <c r="B2900" s="5"/>
      <c r="C2900" s="4" t="s">
        <v>979</v>
      </c>
      <c r="D2900" s="4" t="s">
        <v>980</v>
      </c>
      <c r="E2900" s="5"/>
      <c r="F2900" s="4" t="s">
        <v>6197</v>
      </c>
      <c r="G2900" s="4" t="s">
        <v>6198</v>
      </c>
      <c r="H2900" s="4" t="s">
        <v>135</v>
      </c>
      <c r="I2900" s="4" t="s">
        <v>38</v>
      </c>
      <c r="J2900" s="5"/>
      <c r="K2900" s="5"/>
      <c r="L2900" s="5"/>
      <c r="M2900" s="4" t="s">
        <v>983</v>
      </c>
      <c r="N2900" s="5"/>
    </row>
    <row r="2901" spans="1:14" ht="14.4" thickBot="1" x14ac:dyDescent="0.35">
      <c r="A2901" s="4" t="s">
        <v>19</v>
      </c>
      <c r="B2901" s="5"/>
      <c r="C2901" s="4" t="s">
        <v>979</v>
      </c>
      <c r="D2901" s="4" t="s">
        <v>980</v>
      </c>
      <c r="E2901" s="5"/>
      <c r="F2901" s="4" t="s">
        <v>6199</v>
      </c>
      <c r="G2901" s="4" t="s">
        <v>6200</v>
      </c>
      <c r="H2901" s="4" t="s">
        <v>135</v>
      </c>
      <c r="I2901" s="4" t="s">
        <v>38</v>
      </c>
      <c r="J2901" s="5"/>
      <c r="K2901" s="5"/>
      <c r="L2901" s="5"/>
      <c r="M2901" s="4" t="s">
        <v>983</v>
      </c>
      <c r="N2901" s="5"/>
    </row>
    <row r="2902" spans="1:14" ht="14.4" thickBot="1" x14ac:dyDescent="0.35">
      <c r="A2902" s="4" t="s">
        <v>19</v>
      </c>
      <c r="B2902" s="5"/>
      <c r="C2902" s="4" t="s">
        <v>979</v>
      </c>
      <c r="D2902" s="4" t="s">
        <v>980</v>
      </c>
      <c r="E2902" s="5"/>
      <c r="F2902" s="4" t="s">
        <v>6201</v>
      </c>
      <c r="G2902" s="4" t="s">
        <v>6202</v>
      </c>
      <c r="H2902" s="4" t="s">
        <v>26</v>
      </c>
      <c r="I2902" s="4" t="s">
        <v>135</v>
      </c>
      <c r="J2902" s="4" t="s">
        <v>27</v>
      </c>
      <c r="K2902" s="4" t="s">
        <v>28</v>
      </c>
      <c r="L2902" s="4" t="s">
        <v>28</v>
      </c>
      <c r="M2902" s="4" t="s">
        <v>983</v>
      </c>
      <c r="N2902" s="4" t="s">
        <v>28</v>
      </c>
    </row>
    <row r="2903" spans="1:14" ht="14.4" thickBot="1" x14ac:dyDescent="0.35">
      <c r="A2903" s="4" t="s">
        <v>19</v>
      </c>
      <c r="B2903" s="4" t="s">
        <v>1006</v>
      </c>
      <c r="C2903" s="4" t="s">
        <v>1007</v>
      </c>
      <c r="D2903" s="4" t="s">
        <v>1008</v>
      </c>
      <c r="E2903" s="4" t="s">
        <v>87</v>
      </c>
      <c r="F2903" s="4" t="s">
        <v>1009</v>
      </c>
      <c r="G2903" s="4" t="s">
        <v>1010</v>
      </c>
      <c r="H2903" s="4" t="s">
        <v>37</v>
      </c>
      <c r="I2903" s="4" t="s">
        <v>38</v>
      </c>
      <c r="J2903" s="4" t="s">
        <v>28</v>
      </c>
      <c r="K2903" s="4" t="s">
        <v>28</v>
      </c>
      <c r="L2903" s="4" t="s">
        <v>27</v>
      </c>
      <c r="M2903" s="4" t="s">
        <v>34</v>
      </c>
      <c r="N2903" s="4" t="s">
        <v>27</v>
      </c>
    </row>
    <row r="2904" spans="1:14" ht="14.4" thickBot="1" x14ac:dyDescent="0.35">
      <c r="A2904" s="4" t="s">
        <v>19</v>
      </c>
      <c r="B2904" s="4" t="s">
        <v>1006</v>
      </c>
      <c r="C2904" s="4" t="s">
        <v>1007</v>
      </c>
      <c r="D2904" s="4" t="s">
        <v>1008</v>
      </c>
      <c r="E2904" s="4" t="s">
        <v>87</v>
      </c>
      <c r="F2904" s="4" t="s">
        <v>1011</v>
      </c>
      <c r="G2904" s="4" t="s">
        <v>1012</v>
      </c>
      <c r="H2904" s="4" t="s">
        <v>135</v>
      </c>
      <c r="I2904" s="4" t="s">
        <v>94</v>
      </c>
      <c r="J2904" s="4" t="s">
        <v>27</v>
      </c>
      <c r="K2904" s="4" t="s">
        <v>28</v>
      </c>
      <c r="L2904" s="4" t="s">
        <v>28</v>
      </c>
      <c r="M2904" s="4" t="s">
        <v>34</v>
      </c>
      <c r="N2904" s="4" t="s">
        <v>27</v>
      </c>
    </row>
    <row r="2905" spans="1:14" ht="14.4" thickBot="1" x14ac:dyDescent="0.35">
      <c r="A2905" s="4" t="s">
        <v>19</v>
      </c>
      <c r="B2905" s="4" t="s">
        <v>1006</v>
      </c>
      <c r="C2905" s="4" t="s">
        <v>1007</v>
      </c>
      <c r="D2905" s="4" t="s">
        <v>1008</v>
      </c>
      <c r="E2905" s="4" t="s">
        <v>87</v>
      </c>
      <c r="F2905" s="4" t="s">
        <v>1013</v>
      </c>
      <c r="G2905" s="4" t="s">
        <v>1014</v>
      </c>
      <c r="H2905" s="4" t="s">
        <v>26</v>
      </c>
      <c r="I2905" s="4" t="s">
        <v>33</v>
      </c>
      <c r="J2905" s="4" t="s">
        <v>27</v>
      </c>
      <c r="K2905" s="4" t="s">
        <v>28</v>
      </c>
      <c r="L2905" s="4" t="s">
        <v>28</v>
      </c>
      <c r="M2905" s="4" t="s">
        <v>34</v>
      </c>
      <c r="N2905" s="4" t="s">
        <v>27</v>
      </c>
    </row>
    <row r="2906" spans="1:14" ht="14.4" thickBot="1" x14ac:dyDescent="0.35">
      <c r="A2906" s="4" t="s">
        <v>19</v>
      </c>
      <c r="B2906" s="4" t="s">
        <v>1006</v>
      </c>
      <c r="C2906" s="4" t="s">
        <v>1007</v>
      </c>
      <c r="D2906" s="4" t="s">
        <v>1008</v>
      </c>
      <c r="E2906" s="4" t="s">
        <v>87</v>
      </c>
      <c r="F2906" s="4" t="s">
        <v>1015</v>
      </c>
      <c r="G2906" s="4" t="s">
        <v>1016</v>
      </c>
      <c r="H2906" s="4" t="s">
        <v>135</v>
      </c>
      <c r="I2906" s="4" t="s">
        <v>38</v>
      </c>
      <c r="J2906" s="4" t="s">
        <v>28</v>
      </c>
      <c r="K2906" s="4" t="s">
        <v>28</v>
      </c>
      <c r="L2906" s="4" t="s">
        <v>27</v>
      </c>
      <c r="M2906" s="4" t="s">
        <v>34</v>
      </c>
      <c r="N2906" s="4" t="s">
        <v>27</v>
      </c>
    </row>
    <row r="2907" spans="1:14" ht="14.4" thickBot="1" x14ac:dyDescent="0.35">
      <c r="A2907" s="4" t="s">
        <v>19</v>
      </c>
      <c r="B2907" s="4" t="s">
        <v>1006</v>
      </c>
      <c r="C2907" s="4" t="s">
        <v>1007</v>
      </c>
      <c r="D2907" s="4" t="s">
        <v>1008</v>
      </c>
      <c r="E2907" s="4" t="s">
        <v>87</v>
      </c>
      <c r="F2907" s="4" t="s">
        <v>1017</v>
      </c>
      <c r="G2907" s="4" t="s">
        <v>1018</v>
      </c>
      <c r="H2907" s="4" t="s">
        <v>26</v>
      </c>
      <c r="I2907" s="4" t="s">
        <v>94</v>
      </c>
      <c r="J2907" s="4" t="s">
        <v>27</v>
      </c>
      <c r="K2907" s="4" t="s">
        <v>28</v>
      </c>
      <c r="L2907" s="4" t="s">
        <v>28</v>
      </c>
      <c r="M2907" s="4" t="s">
        <v>34</v>
      </c>
      <c r="N2907" s="4" t="s">
        <v>27</v>
      </c>
    </row>
    <row r="2908" spans="1:14" ht="14.4" thickBot="1" x14ac:dyDescent="0.35">
      <c r="A2908" s="4" t="s">
        <v>19</v>
      </c>
      <c r="B2908" s="4" t="s">
        <v>1006</v>
      </c>
      <c r="C2908" s="4" t="s">
        <v>1007</v>
      </c>
      <c r="D2908" s="4" t="s">
        <v>1008</v>
      </c>
      <c r="E2908" s="4" t="s">
        <v>87</v>
      </c>
      <c r="F2908" s="4" t="s">
        <v>1887</v>
      </c>
      <c r="G2908" s="4" t="s">
        <v>1888</v>
      </c>
      <c r="H2908" s="4" t="s">
        <v>26</v>
      </c>
      <c r="I2908" s="4" t="s">
        <v>33</v>
      </c>
      <c r="J2908" s="4" t="s">
        <v>27</v>
      </c>
      <c r="K2908" s="4" t="s">
        <v>28</v>
      </c>
      <c r="L2908" s="4" t="s">
        <v>28</v>
      </c>
      <c r="M2908" s="4" t="s">
        <v>34</v>
      </c>
      <c r="N2908" s="4" t="s">
        <v>27</v>
      </c>
    </row>
    <row r="2909" spans="1:14" ht="14.4" thickBot="1" x14ac:dyDescent="0.35">
      <c r="A2909" s="4" t="s">
        <v>19</v>
      </c>
      <c r="B2909" s="4" t="s">
        <v>1006</v>
      </c>
      <c r="C2909" s="4" t="s">
        <v>1007</v>
      </c>
      <c r="D2909" s="4" t="s">
        <v>1008</v>
      </c>
      <c r="E2909" s="4" t="s">
        <v>87</v>
      </c>
      <c r="F2909" s="4" t="s">
        <v>1889</v>
      </c>
      <c r="G2909" s="4" t="s">
        <v>1890</v>
      </c>
      <c r="H2909" s="4" t="s">
        <v>135</v>
      </c>
      <c r="I2909" s="4" t="s">
        <v>69</v>
      </c>
      <c r="J2909" s="4" t="s">
        <v>27</v>
      </c>
      <c r="K2909" s="4" t="s">
        <v>28</v>
      </c>
      <c r="L2909" s="4" t="s">
        <v>28</v>
      </c>
      <c r="M2909" s="4" t="s">
        <v>34</v>
      </c>
      <c r="N2909" s="4" t="s">
        <v>27</v>
      </c>
    </row>
    <row r="2910" spans="1:14" ht="14.4" thickBot="1" x14ac:dyDescent="0.35">
      <c r="A2910" s="4" t="s">
        <v>19</v>
      </c>
      <c r="B2910" s="4" t="s">
        <v>1006</v>
      </c>
      <c r="C2910" s="4" t="s">
        <v>1007</v>
      </c>
      <c r="D2910" s="4" t="s">
        <v>1008</v>
      </c>
      <c r="E2910" s="4" t="s">
        <v>87</v>
      </c>
      <c r="F2910" s="4" t="s">
        <v>1891</v>
      </c>
      <c r="G2910" s="4" t="s">
        <v>1892</v>
      </c>
      <c r="H2910" s="4" t="s">
        <v>26</v>
      </c>
      <c r="I2910" s="4" t="s">
        <v>94</v>
      </c>
      <c r="J2910" s="4" t="s">
        <v>27</v>
      </c>
      <c r="K2910" s="4" t="s">
        <v>28</v>
      </c>
      <c r="L2910" s="4" t="s">
        <v>28</v>
      </c>
      <c r="M2910" s="4" t="s">
        <v>34</v>
      </c>
      <c r="N2910" s="4" t="s">
        <v>27</v>
      </c>
    </row>
    <row r="2911" spans="1:14" ht="14.4" thickBot="1" x14ac:dyDescent="0.35">
      <c r="A2911" s="4" t="s">
        <v>19</v>
      </c>
      <c r="B2911" s="4" t="s">
        <v>1006</v>
      </c>
      <c r="C2911" s="4" t="s">
        <v>1007</v>
      </c>
      <c r="D2911" s="4" t="s">
        <v>1008</v>
      </c>
      <c r="E2911" s="4" t="s">
        <v>87</v>
      </c>
      <c r="F2911" s="4" t="s">
        <v>124</v>
      </c>
      <c r="G2911" s="4" t="s">
        <v>1893</v>
      </c>
      <c r="H2911" s="4" t="s">
        <v>135</v>
      </c>
      <c r="I2911" s="4" t="s">
        <v>94</v>
      </c>
      <c r="J2911" s="4" t="s">
        <v>27</v>
      </c>
      <c r="K2911" s="4" t="s">
        <v>28</v>
      </c>
      <c r="L2911" s="4" t="s">
        <v>28</v>
      </c>
      <c r="M2911" s="4" t="s">
        <v>34</v>
      </c>
      <c r="N2911" s="4" t="s">
        <v>27</v>
      </c>
    </row>
    <row r="2912" spans="1:14" ht="14.4" thickBot="1" x14ac:dyDescent="0.35">
      <c r="A2912" s="4" t="s">
        <v>19</v>
      </c>
      <c r="B2912" s="4" t="s">
        <v>1006</v>
      </c>
      <c r="C2912" s="4" t="s">
        <v>1007</v>
      </c>
      <c r="D2912" s="4" t="s">
        <v>1008</v>
      </c>
      <c r="E2912" s="4" t="s">
        <v>87</v>
      </c>
      <c r="F2912" s="4" t="s">
        <v>2528</v>
      </c>
      <c r="G2912" s="4" t="s">
        <v>2529</v>
      </c>
      <c r="H2912" s="4" t="s">
        <v>116</v>
      </c>
      <c r="I2912" s="4" t="s">
        <v>486</v>
      </c>
      <c r="J2912" s="4" t="s">
        <v>28</v>
      </c>
      <c r="K2912" s="4" t="s">
        <v>28</v>
      </c>
      <c r="L2912" s="4" t="s">
        <v>27</v>
      </c>
      <c r="M2912" s="4" t="s">
        <v>34</v>
      </c>
      <c r="N2912" s="4" t="s">
        <v>27</v>
      </c>
    </row>
    <row r="2913" spans="1:14" ht="14.4" thickBot="1" x14ac:dyDescent="0.35">
      <c r="A2913" s="4" t="s">
        <v>19</v>
      </c>
      <c r="B2913" s="4" t="s">
        <v>1006</v>
      </c>
      <c r="C2913" s="4" t="s">
        <v>1007</v>
      </c>
      <c r="D2913" s="4" t="s">
        <v>1008</v>
      </c>
      <c r="E2913" s="4" t="s">
        <v>87</v>
      </c>
      <c r="F2913" s="4" t="s">
        <v>2530</v>
      </c>
      <c r="G2913" s="4" t="s">
        <v>2531</v>
      </c>
      <c r="H2913" s="4" t="s">
        <v>26</v>
      </c>
      <c r="I2913" s="4" t="s">
        <v>33</v>
      </c>
      <c r="J2913" s="4" t="s">
        <v>27</v>
      </c>
      <c r="K2913" s="4" t="s">
        <v>28</v>
      </c>
      <c r="L2913" s="4" t="s">
        <v>28</v>
      </c>
      <c r="M2913" s="4" t="s">
        <v>34</v>
      </c>
      <c r="N2913" s="4" t="s">
        <v>27</v>
      </c>
    </row>
    <row r="2914" spans="1:14" ht="14.4" thickBot="1" x14ac:dyDescent="0.35">
      <c r="A2914" s="4" t="s">
        <v>19</v>
      </c>
      <c r="B2914" s="4" t="s">
        <v>1006</v>
      </c>
      <c r="C2914" s="4" t="s">
        <v>1007</v>
      </c>
      <c r="D2914" s="4" t="s">
        <v>1008</v>
      </c>
      <c r="E2914" s="4" t="s">
        <v>87</v>
      </c>
      <c r="F2914" s="4" t="s">
        <v>2532</v>
      </c>
      <c r="G2914" s="4" t="s">
        <v>2533</v>
      </c>
      <c r="H2914" s="4" t="s">
        <v>69</v>
      </c>
      <c r="I2914" s="4" t="s">
        <v>38</v>
      </c>
      <c r="J2914" s="4" t="s">
        <v>28</v>
      </c>
      <c r="K2914" s="4" t="s">
        <v>28</v>
      </c>
      <c r="L2914" s="4" t="s">
        <v>27</v>
      </c>
      <c r="M2914" s="4" t="s">
        <v>34</v>
      </c>
      <c r="N2914" s="4" t="s">
        <v>27</v>
      </c>
    </row>
    <row r="2915" spans="1:14" ht="14.4" thickBot="1" x14ac:dyDescent="0.35">
      <c r="A2915" s="4" t="s">
        <v>19</v>
      </c>
      <c r="B2915" s="4" t="s">
        <v>1006</v>
      </c>
      <c r="C2915" s="4" t="s">
        <v>1007</v>
      </c>
      <c r="D2915" s="4" t="s">
        <v>1008</v>
      </c>
      <c r="E2915" s="4" t="s">
        <v>87</v>
      </c>
      <c r="F2915" s="4" t="s">
        <v>3301</v>
      </c>
      <c r="G2915" s="4" t="s">
        <v>3302</v>
      </c>
      <c r="H2915" s="4" t="s">
        <v>26</v>
      </c>
      <c r="I2915" s="4" t="s">
        <v>94</v>
      </c>
      <c r="J2915" s="4" t="s">
        <v>27</v>
      </c>
      <c r="K2915" s="4" t="s">
        <v>28</v>
      </c>
      <c r="L2915" s="4" t="s">
        <v>28</v>
      </c>
      <c r="M2915" s="4" t="s">
        <v>34</v>
      </c>
      <c r="N2915" s="4" t="s">
        <v>27</v>
      </c>
    </row>
    <row r="2916" spans="1:14" ht="14.4" thickBot="1" x14ac:dyDescent="0.35">
      <c r="A2916" s="4" t="s">
        <v>19</v>
      </c>
      <c r="B2916" s="4" t="s">
        <v>1006</v>
      </c>
      <c r="C2916" s="4" t="s">
        <v>1007</v>
      </c>
      <c r="D2916" s="4" t="s">
        <v>1008</v>
      </c>
      <c r="E2916" s="4" t="s">
        <v>87</v>
      </c>
      <c r="F2916" s="4" t="s">
        <v>3303</v>
      </c>
      <c r="G2916" s="4" t="s">
        <v>3304</v>
      </c>
      <c r="H2916" s="4" t="s">
        <v>69</v>
      </c>
      <c r="I2916" s="4" t="s">
        <v>38</v>
      </c>
      <c r="J2916" s="4" t="s">
        <v>28</v>
      </c>
      <c r="K2916" s="4" t="s">
        <v>28</v>
      </c>
      <c r="L2916" s="4" t="s">
        <v>27</v>
      </c>
      <c r="M2916" s="4" t="s">
        <v>34</v>
      </c>
      <c r="N2916" s="4" t="s">
        <v>27</v>
      </c>
    </row>
    <row r="2917" spans="1:14" ht="14.4" thickBot="1" x14ac:dyDescent="0.35">
      <c r="A2917" s="4" t="s">
        <v>19</v>
      </c>
      <c r="B2917" s="4" t="s">
        <v>1006</v>
      </c>
      <c r="C2917" s="4" t="s">
        <v>1007</v>
      </c>
      <c r="D2917" s="4" t="s">
        <v>1008</v>
      </c>
      <c r="E2917" s="4" t="s">
        <v>87</v>
      </c>
      <c r="F2917" s="4" t="s">
        <v>3305</v>
      </c>
      <c r="G2917" s="4" t="s">
        <v>3306</v>
      </c>
      <c r="H2917" s="4" t="s">
        <v>26</v>
      </c>
      <c r="I2917" s="4" t="s">
        <v>69</v>
      </c>
      <c r="J2917" s="4" t="s">
        <v>27</v>
      </c>
      <c r="K2917" s="4" t="s">
        <v>28</v>
      </c>
      <c r="L2917" s="4" t="s">
        <v>28</v>
      </c>
      <c r="M2917" s="4" t="s">
        <v>34</v>
      </c>
      <c r="N2917" s="4" t="s">
        <v>27</v>
      </c>
    </row>
    <row r="2918" spans="1:14" ht="14.4" thickBot="1" x14ac:dyDescent="0.35">
      <c r="A2918" s="4" t="s">
        <v>19</v>
      </c>
      <c r="B2918" s="4" t="s">
        <v>1006</v>
      </c>
      <c r="C2918" s="4" t="s">
        <v>1007</v>
      </c>
      <c r="D2918" s="4" t="s">
        <v>1008</v>
      </c>
      <c r="E2918" s="4" t="s">
        <v>87</v>
      </c>
      <c r="F2918" s="4" t="s">
        <v>3307</v>
      </c>
      <c r="G2918" s="4" t="s">
        <v>3308</v>
      </c>
      <c r="H2918" s="4" t="s">
        <v>135</v>
      </c>
      <c r="I2918" s="4" t="s">
        <v>38</v>
      </c>
      <c r="J2918" s="4" t="s">
        <v>28</v>
      </c>
      <c r="K2918" s="4" t="s">
        <v>28</v>
      </c>
      <c r="L2918" s="4" t="s">
        <v>27</v>
      </c>
      <c r="M2918" s="4" t="s">
        <v>34</v>
      </c>
      <c r="N2918" s="4" t="s">
        <v>27</v>
      </c>
    </row>
    <row r="2919" spans="1:14" ht="14.4" thickBot="1" x14ac:dyDescent="0.35">
      <c r="A2919" s="4" t="s">
        <v>19</v>
      </c>
      <c r="B2919" s="4" t="s">
        <v>1006</v>
      </c>
      <c r="C2919" s="4" t="s">
        <v>1007</v>
      </c>
      <c r="D2919" s="4" t="s">
        <v>1008</v>
      </c>
      <c r="E2919" s="4" t="s">
        <v>87</v>
      </c>
      <c r="F2919" s="4" t="s">
        <v>4111</v>
      </c>
      <c r="G2919" s="4" t="s">
        <v>4112</v>
      </c>
      <c r="H2919" s="4" t="s">
        <v>135</v>
      </c>
      <c r="I2919" s="4" t="s">
        <v>38</v>
      </c>
      <c r="J2919" s="4" t="s">
        <v>28</v>
      </c>
      <c r="K2919" s="4" t="s">
        <v>28</v>
      </c>
      <c r="L2919" s="4" t="s">
        <v>27</v>
      </c>
      <c r="M2919" s="4" t="s">
        <v>34</v>
      </c>
      <c r="N2919" s="4" t="s">
        <v>27</v>
      </c>
    </row>
    <row r="2920" spans="1:14" ht="14.4" thickBot="1" x14ac:dyDescent="0.35">
      <c r="A2920" s="4" t="s">
        <v>19</v>
      </c>
      <c r="B2920" s="4" t="s">
        <v>1006</v>
      </c>
      <c r="C2920" s="4" t="s">
        <v>1007</v>
      </c>
      <c r="D2920" s="4" t="s">
        <v>1008</v>
      </c>
      <c r="E2920" s="4" t="s">
        <v>87</v>
      </c>
      <c r="F2920" s="4" t="s">
        <v>4113</v>
      </c>
      <c r="G2920" s="4" t="s">
        <v>4114</v>
      </c>
      <c r="H2920" s="4" t="s">
        <v>69</v>
      </c>
      <c r="I2920" s="4" t="s">
        <v>94</v>
      </c>
      <c r="J2920" s="4" t="s">
        <v>28</v>
      </c>
      <c r="K2920" s="4" t="s">
        <v>27</v>
      </c>
      <c r="L2920" s="4" t="s">
        <v>28</v>
      </c>
      <c r="M2920" s="4" t="s">
        <v>34</v>
      </c>
      <c r="N2920" s="4" t="s">
        <v>27</v>
      </c>
    </row>
    <row r="2921" spans="1:14" ht="14.4" thickBot="1" x14ac:dyDescent="0.35">
      <c r="A2921" s="4" t="s">
        <v>19</v>
      </c>
      <c r="B2921" s="4" t="s">
        <v>1006</v>
      </c>
      <c r="C2921" s="4" t="s">
        <v>1007</v>
      </c>
      <c r="D2921" s="4" t="s">
        <v>1008</v>
      </c>
      <c r="E2921" s="4" t="s">
        <v>87</v>
      </c>
      <c r="F2921" s="4" t="s">
        <v>4115</v>
      </c>
      <c r="G2921" s="4" t="s">
        <v>4116</v>
      </c>
      <c r="H2921" s="4" t="s">
        <v>26</v>
      </c>
      <c r="I2921" s="4" t="s">
        <v>26</v>
      </c>
      <c r="J2921" s="4" t="s">
        <v>27</v>
      </c>
      <c r="K2921" s="4" t="s">
        <v>28</v>
      </c>
      <c r="L2921" s="4" t="s">
        <v>28</v>
      </c>
      <c r="M2921" s="4" t="s">
        <v>34</v>
      </c>
      <c r="N2921" s="4" t="s">
        <v>27</v>
      </c>
    </row>
    <row r="2922" spans="1:14" ht="14.4" thickBot="1" x14ac:dyDescent="0.35">
      <c r="A2922" s="4" t="s">
        <v>19</v>
      </c>
      <c r="B2922" s="4" t="s">
        <v>1006</v>
      </c>
      <c r="C2922" s="4" t="s">
        <v>1007</v>
      </c>
      <c r="D2922" s="4" t="s">
        <v>1008</v>
      </c>
      <c r="E2922" s="4" t="s">
        <v>87</v>
      </c>
      <c r="F2922" s="4" t="s">
        <v>4117</v>
      </c>
      <c r="G2922" s="4" t="s">
        <v>4118</v>
      </c>
      <c r="H2922" s="4" t="s">
        <v>37</v>
      </c>
      <c r="I2922" s="4" t="s">
        <v>38</v>
      </c>
      <c r="J2922" s="4" t="s">
        <v>28</v>
      </c>
      <c r="K2922" s="4" t="s">
        <v>28</v>
      </c>
      <c r="L2922" s="4" t="s">
        <v>27</v>
      </c>
      <c r="M2922" s="4" t="s">
        <v>34</v>
      </c>
      <c r="N2922" s="4" t="s">
        <v>27</v>
      </c>
    </row>
    <row r="2923" spans="1:14" ht="14.4" thickBot="1" x14ac:dyDescent="0.35">
      <c r="A2923" s="4" t="s">
        <v>19</v>
      </c>
      <c r="B2923" s="4" t="s">
        <v>1006</v>
      </c>
      <c r="C2923" s="4" t="s">
        <v>1007</v>
      </c>
      <c r="D2923" s="4" t="s">
        <v>1008</v>
      </c>
      <c r="E2923" s="4" t="s">
        <v>87</v>
      </c>
      <c r="F2923" s="4" t="s">
        <v>4119</v>
      </c>
      <c r="G2923" s="4" t="s">
        <v>4120</v>
      </c>
      <c r="H2923" s="4" t="s">
        <v>135</v>
      </c>
      <c r="I2923" s="4" t="s">
        <v>69</v>
      </c>
      <c r="J2923" s="4" t="s">
        <v>27</v>
      </c>
      <c r="K2923" s="4" t="s">
        <v>28</v>
      </c>
      <c r="L2923" s="4" t="s">
        <v>28</v>
      </c>
      <c r="M2923" s="4" t="s">
        <v>34</v>
      </c>
      <c r="N2923" s="4" t="s">
        <v>27</v>
      </c>
    </row>
    <row r="2924" spans="1:14" ht="14.4" thickBot="1" x14ac:dyDescent="0.35">
      <c r="A2924" s="4" t="s">
        <v>19</v>
      </c>
      <c r="B2924" s="4" t="s">
        <v>1006</v>
      </c>
      <c r="C2924" s="4" t="s">
        <v>1007</v>
      </c>
      <c r="D2924" s="4" t="s">
        <v>1008</v>
      </c>
      <c r="E2924" s="4" t="s">
        <v>87</v>
      </c>
      <c r="F2924" s="4" t="s">
        <v>4121</v>
      </c>
      <c r="G2924" s="4" t="s">
        <v>4122</v>
      </c>
      <c r="H2924" s="4" t="s">
        <v>135</v>
      </c>
      <c r="I2924" s="4" t="s">
        <v>33</v>
      </c>
      <c r="J2924" s="4" t="s">
        <v>27</v>
      </c>
      <c r="K2924" s="4" t="s">
        <v>28</v>
      </c>
      <c r="L2924" s="4" t="s">
        <v>28</v>
      </c>
      <c r="M2924" s="4" t="s">
        <v>34</v>
      </c>
      <c r="N2924" s="4" t="s">
        <v>27</v>
      </c>
    </row>
    <row r="2925" spans="1:14" ht="14.4" thickBot="1" x14ac:dyDescent="0.35">
      <c r="A2925" s="4" t="s">
        <v>19</v>
      </c>
      <c r="B2925" s="4" t="s">
        <v>1006</v>
      </c>
      <c r="C2925" s="4" t="s">
        <v>1007</v>
      </c>
      <c r="D2925" s="4" t="s">
        <v>1008</v>
      </c>
      <c r="E2925" s="4" t="s">
        <v>87</v>
      </c>
      <c r="F2925" s="4" t="s">
        <v>4123</v>
      </c>
      <c r="G2925" s="4" t="s">
        <v>4124</v>
      </c>
      <c r="H2925" s="4" t="s">
        <v>454</v>
      </c>
      <c r="I2925" s="4" t="s">
        <v>94</v>
      </c>
      <c r="J2925" s="4" t="s">
        <v>28</v>
      </c>
      <c r="K2925" s="4" t="s">
        <v>27</v>
      </c>
      <c r="L2925" s="4" t="s">
        <v>28</v>
      </c>
      <c r="M2925" s="4" t="s">
        <v>34</v>
      </c>
      <c r="N2925" s="4" t="s">
        <v>27</v>
      </c>
    </row>
    <row r="2926" spans="1:14" ht="14.4" thickBot="1" x14ac:dyDescent="0.35">
      <c r="A2926" s="4" t="s">
        <v>19</v>
      </c>
      <c r="B2926" s="4" t="s">
        <v>1006</v>
      </c>
      <c r="C2926" s="4" t="s">
        <v>1007</v>
      </c>
      <c r="D2926" s="4" t="s">
        <v>1008</v>
      </c>
      <c r="E2926" s="4" t="s">
        <v>87</v>
      </c>
      <c r="F2926" s="4" t="s">
        <v>4125</v>
      </c>
      <c r="G2926" s="4" t="s">
        <v>4126</v>
      </c>
      <c r="H2926" s="4" t="s">
        <v>135</v>
      </c>
      <c r="I2926" s="4" t="s">
        <v>38</v>
      </c>
      <c r="J2926" s="4" t="s">
        <v>28</v>
      </c>
      <c r="K2926" s="4" t="s">
        <v>28</v>
      </c>
      <c r="L2926" s="4" t="s">
        <v>27</v>
      </c>
      <c r="M2926" s="4" t="s">
        <v>34</v>
      </c>
      <c r="N2926" s="4" t="s">
        <v>27</v>
      </c>
    </row>
    <row r="2927" spans="1:14" ht="14.4" thickBot="1" x14ac:dyDescent="0.35">
      <c r="A2927" s="4" t="s">
        <v>19</v>
      </c>
      <c r="B2927" s="4" t="s">
        <v>1006</v>
      </c>
      <c r="C2927" s="4" t="s">
        <v>1007</v>
      </c>
      <c r="D2927" s="4" t="s">
        <v>1008</v>
      </c>
      <c r="E2927" s="4" t="s">
        <v>87</v>
      </c>
      <c r="F2927" s="4" t="s">
        <v>4800</v>
      </c>
      <c r="G2927" s="4" t="s">
        <v>4801</v>
      </c>
      <c r="H2927" s="4" t="s">
        <v>37</v>
      </c>
      <c r="I2927" s="4" t="s">
        <v>38</v>
      </c>
      <c r="J2927" s="4" t="s">
        <v>28</v>
      </c>
      <c r="K2927" s="4" t="s">
        <v>28</v>
      </c>
      <c r="L2927" s="4" t="s">
        <v>27</v>
      </c>
      <c r="M2927" s="4" t="s">
        <v>34</v>
      </c>
      <c r="N2927" s="4" t="s">
        <v>27</v>
      </c>
    </row>
    <row r="2928" spans="1:14" ht="14.4" thickBot="1" x14ac:dyDescent="0.35">
      <c r="A2928" s="4" t="s">
        <v>19</v>
      </c>
      <c r="B2928" s="4" t="s">
        <v>1006</v>
      </c>
      <c r="C2928" s="4" t="s">
        <v>1007</v>
      </c>
      <c r="D2928" s="4" t="s">
        <v>1008</v>
      </c>
      <c r="E2928" s="4" t="s">
        <v>87</v>
      </c>
      <c r="F2928" s="4" t="s">
        <v>4802</v>
      </c>
      <c r="G2928" s="4" t="s">
        <v>4803</v>
      </c>
      <c r="H2928" s="4" t="s">
        <v>135</v>
      </c>
      <c r="I2928" s="4" t="s">
        <v>94</v>
      </c>
      <c r="J2928" s="4" t="s">
        <v>27</v>
      </c>
      <c r="K2928" s="4" t="s">
        <v>28</v>
      </c>
      <c r="L2928" s="4" t="s">
        <v>28</v>
      </c>
      <c r="M2928" s="4" t="s">
        <v>34</v>
      </c>
      <c r="N2928" s="4" t="s">
        <v>27</v>
      </c>
    </row>
    <row r="2929" spans="1:14" ht="14.4" thickBot="1" x14ac:dyDescent="0.35">
      <c r="A2929" s="4" t="s">
        <v>19</v>
      </c>
      <c r="B2929" s="4" t="s">
        <v>1006</v>
      </c>
      <c r="C2929" s="4" t="s">
        <v>1007</v>
      </c>
      <c r="D2929" s="4" t="s">
        <v>1008</v>
      </c>
      <c r="E2929" s="4" t="s">
        <v>87</v>
      </c>
      <c r="F2929" s="4" t="s">
        <v>4804</v>
      </c>
      <c r="G2929" s="4" t="s">
        <v>4805</v>
      </c>
      <c r="H2929" s="4" t="s">
        <v>37</v>
      </c>
      <c r="I2929" s="4" t="s">
        <v>38</v>
      </c>
      <c r="J2929" s="4" t="s">
        <v>28</v>
      </c>
      <c r="K2929" s="4" t="s">
        <v>28</v>
      </c>
      <c r="L2929" s="4" t="s">
        <v>27</v>
      </c>
      <c r="M2929" s="4" t="s">
        <v>34</v>
      </c>
      <c r="N2929" s="4" t="s">
        <v>27</v>
      </c>
    </row>
    <row r="2930" spans="1:14" ht="14.4" thickBot="1" x14ac:dyDescent="0.35">
      <c r="A2930" s="4" t="s">
        <v>19</v>
      </c>
      <c r="B2930" s="4" t="s">
        <v>1006</v>
      </c>
      <c r="C2930" s="4" t="s">
        <v>1007</v>
      </c>
      <c r="D2930" s="4" t="s">
        <v>1008</v>
      </c>
      <c r="E2930" s="4" t="s">
        <v>87</v>
      </c>
      <c r="F2930" s="4" t="s">
        <v>4806</v>
      </c>
      <c r="G2930" s="4" t="s">
        <v>4807</v>
      </c>
      <c r="H2930" s="4" t="s">
        <v>69</v>
      </c>
      <c r="I2930" s="4" t="s">
        <v>94</v>
      </c>
      <c r="J2930" s="4" t="s">
        <v>28</v>
      </c>
      <c r="K2930" s="4" t="s">
        <v>27</v>
      </c>
      <c r="L2930" s="4" t="s">
        <v>28</v>
      </c>
      <c r="M2930" s="4" t="s">
        <v>34</v>
      </c>
      <c r="N2930" s="4" t="s">
        <v>27</v>
      </c>
    </row>
    <row r="2931" spans="1:14" ht="14.4" thickBot="1" x14ac:dyDescent="0.35">
      <c r="A2931" s="4" t="s">
        <v>19</v>
      </c>
      <c r="B2931" s="4" t="s">
        <v>1006</v>
      </c>
      <c r="C2931" s="4" t="s">
        <v>1007</v>
      </c>
      <c r="D2931" s="4" t="s">
        <v>1008</v>
      </c>
      <c r="E2931" s="4" t="s">
        <v>87</v>
      </c>
      <c r="F2931" s="4" t="s">
        <v>4808</v>
      </c>
      <c r="G2931" s="4" t="s">
        <v>4809</v>
      </c>
      <c r="H2931" s="4" t="s">
        <v>37</v>
      </c>
      <c r="I2931" s="4" t="s">
        <v>38</v>
      </c>
      <c r="J2931" s="4" t="s">
        <v>28</v>
      </c>
      <c r="K2931" s="4" t="s">
        <v>28</v>
      </c>
      <c r="L2931" s="4" t="s">
        <v>27</v>
      </c>
      <c r="M2931" s="4" t="s">
        <v>34</v>
      </c>
      <c r="N2931" s="4" t="s">
        <v>27</v>
      </c>
    </row>
    <row r="2932" spans="1:14" ht="14.4" thickBot="1" x14ac:dyDescent="0.35">
      <c r="A2932" s="4" t="s">
        <v>19</v>
      </c>
      <c r="B2932" s="4" t="s">
        <v>1006</v>
      </c>
      <c r="C2932" s="4" t="s">
        <v>1007</v>
      </c>
      <c r="D2932" s="4" t="s">
        <v>1008</v>
      </c>
      <c r="E2932" s="4" t="s">
        <v>87</v>
      </c>
      <c r="F2932" s="4" t="s">
        <v>4810</v>
      </c>
      <c r="G2932" s="4" t="s">
        <v>4811</v>
      </c>
      <c r="H2932" s="4" t="s">
        <v>69</v>
      </c>
      <c r="I2932" s="4" t="s">
        <v>38</v>
      </c>
      <c r="J2932" s="4" t="s">
        <v>28</v>
      </c>
      <c r="K2932" s="4" t="s">
        <v>28</v>
      </c>
      <c r="L2932" s="4" t="s">
        <v>27</v>
      </c>
      <c r="M2932" s="4" t="s">
        <v>34</v>
      </c>
      <c r="N2932" s="4" t="s">
        <v>27</v>
      </c>
    </row>
    <row r="2933" spans="1:14" ht="14.4" thickBot="1" x14ac:dyDescent="0.35">
      <c r="A2933" s="4" t="s">
        <v>19</v>
      </c>
      <c r="B2933" s="4" t="s">
        <v>1006</v>
      </c>
      <c r="C2933" s="4" t="s">
        <v>1007</v>
      </c>
      <c r="D2933" s="4" t="s">
        <v>1008</v>
      </c>
      <c r="E2933" s="4" t="s">
        <v>87</v>
      </c>
      <c r="F2933" s="4" t="s">
        <v>5505</v>
      </c>
      <c r="G2933" s="4" t="s">
        <v>5506</v>
      </c>
      <c r="H2933" s="4" t="s">
        <v>135</v>
      </c>
      <c r="I2933" s="4" t="s">
        <v>38</v>
      </c>
      <c r="J2933" s="4" t="s">
        <v>28</v>
      </c>
      <c r="K2933" s="4" t="s">
        <v>28</v>
      </c>
      <c r="L2933" s="4" t="s">
        <v>27</v>
      </c>
      <c r="M2933" s="4" t="s">
        <v>34</v>
      </c>
      <c r="N2933" s="4" t="s">
        <v>27</v>
      </c>
    </row>
    <row r="2934" spans="1:14" ht="14.4" thickBot="1" x14ac:dyDescent="0.35">
      <c r="A2934" s="4" t="s">
        <v>19</v>
      </c>
      <c r="B2934" s="4" t="s">
        <v>1006</v>
      </c>
      <c r="C2934" s="4" t="s">
        <v>1007</v>
      </c>
      <c r="D2934" s="4" t="s">
        <v>1008</v>
      </c>
      <c r="E2934" s="4" t="s">
        <v>87</v>
      </c>
      <c r="F2934" s="4" t="s">
        <v>5507</v>
      </c>
      <c r="G2934" s="4" t="s">
        <v>5508</v>
      </c>
      <c r="H2934" s="4" t="s">
        <v>135</v>
      </c>
      <c r="I2934" s="4" t="s">
        <v>94</v>
      </c>
      <c r="J2934" s="4" t="s">
        <v>27</v>
      </c>
      <c r="K2934" s="4" t="s">
        <v>28</v>
      </c>
      <c r="L2934" s="4" t="s">
        <v>28</v>
      </c>
      <c r="M2934" s="4" t="s">
        <v>34</v>
      </c>
      <c r="N2934" s="4" t="s">
        <v>27</v>
      </c>
    </row>
    <row r="2935" spans="1:14" ht="14.4" thickBot="1" x14ac:dyDescent="0.35">
      <c r="A2935" s="4" t="s">
        <v>19</v>
      </c>
      <c r="B2935" s="4" t="s">
        <v>1006</v>
      </c>
      <c r="C2935" s="4" t="s">
        <v>1007</v>
      </c>
      <c r="D2935" s="4" t="s">
        <v>1008</v>
      </c>
      <c r="E2935" s="4" t="s">
        <v>87</v>
      </c>
      <c r="F2935" s="4" t="s">
        <v>5509</v>
      </c>
      <c r="G2935" s="4" t="s">
        <v>5510</v>
      </c>
      <c r="H2935" s="4" t="s">
        <v>135</v>
      </c>
      <c r="I2935" s="4" t="s">
        <v>94</v>
      </c>
      <c r="J2935" s="4" t="s">
        <v>27</v>
      </c>
      <c r="K2935" s="4" t="s">
        <v>28</v>
      </c>
      <c r="L2935" s="4" t="s">
        <v>28</v>
      </c>
      <c r="M2935" s="4" t="s">
        <v>34</v>
      </c>
      <c r="N2935" s="4" t="s">
        <v>27</v>
      </c>
    </row>
    <row r="2936" spans="1:14" ht="14.4" thickBot="1" x14ac:dyDescent="0.35">
      <c r="A2936" s="4" t="s">
        <v>19</v>
      </c>
      <c r="B2936" s="4" t="s">
        <v>1006</v>
      </c>
      <c r="C2936" s="4" t="s">
        <v>1007</v>
      </c>
      <c r="D2936" s="4" t="s">
        <v>1008</v>
      </c>
      <c r="E2936" s="4" t="s">
        <v>87</v>
      </c>
      <c r="F2936" s="4" t="s">
        <v>5511</v>
      </c>
      <c r="G2936" s="4" t="s">
        <v>5512</v>
      </c>
      <c r="H2936" s="4" t="s">
        <v>135</v>
      </c>
      <c r="I2936" s="4" t="s">
        <v>38</v>
      </c>
      <c r="J2936" s="4" t="s">
        <v>28</v>
      </c>
      <c r="K2936" s="4" t="s">
        <v>28</v>
      </c>
      <c r="L2936" s="4" t="s">
        <v>27</v>
      </c>
      <c r="M2936" s="4" t="s">
        <v>34</v>
      </c>
      <c r="N2936" s="4" t="s">
        <v>27</v>
      </c>
    </row>
    <row r="2937" spans="1:14" ht="14.4" thickBot="1" x14ac:dyDescent="0.35">
      <c r="A2937" s="4" t="s">
        <v>19</v>
      </c>
      <c r="B2937" s="4" t="s">
        <v>1006</v>
      </c>
      <c r="C2937" s="4" t="s">
        <v>1007</v>
      </c>
      <c r="D2937" s="4" t="s">
        <v>1008</v>
      </c>
      <c r="E2937" s="4" t="s">
        <v>87</v>
      </c>
      <c r="F2937" s="4" t="s">
        <v>5513</v>
      </c>
      <c r="G2937" s="4" t="s">
        <v>5514</v>
      </c>
      <c r="H2937" s="4" t="s">
        <v>37</v>
      </c>
      <c r="I2937" s="4" t="s">
        <v>38</v>
      </c>
      <c r="J2937" s="4" t="s">
        <v>28</v>
      </c>
      <c r="K2937" s="4" t="s">
        <v>28</v>
      </c>
      <c r="L2937" s="4" t="s">
        <v>27</v>
      </c>
      <c r="M2937" s="4" t="s">
        <v>34</v>
      </c>
      <c r="N2937" s="4" t="s">
        <v>27</v>
      </c>
    </row>
    <row r="2938" spans="1:14" ht="14.4" thickBot="1" x14ac:dyDescent="0.35">
      <c r="A2938" s="4" t="s">
        <v>19</v>
      </c>
      <c r="B2938" s="4" t="s">
        <v>1006</v>
      </c>
      <c r="C2938" s="4" t="s">
        <v>1007</v>
      </c>
      <c r="D2938" s="4" t="s">
        <v>1008</v>
      </c>
      <c r="E2938" s="4" t="s">
        <v>87</v>
      </c>
      <c r="F2938" s="4" t="s">
        <v>5515</v>
      </c>
      <c r="G2938" s="4" t="s">
        <v>5516</v>
      </c>
      <c r="H2938" s="4" t="s">
        <v>135</v>
      </c>
      <c r="I2938" s="4" t="s">
        <v>33</v>
      </c>
      <c r="J2938" s="4" t="s">
        <v>27</v>
      </c>
      <c r="K2938" s="4" t="s">
        <v>28</v>
      </c>
      <c r="L2938" s="4" t="s">
        <v>28</v>
      </c>
      <c r="M2938" s="4" t="s">
        <v>34</v>
      </c>
      <c r="N2938" s="4" t="s">
        <v>27</v>
      </c>
    </row>
    <row r="2939" spans="1:14" ht="14.4" thickBot="1" x14ac:dyDescent="0.35">
      <c r="A2939" s="4" t="s">
        <v>19</v>
      </c>
      <c r="B2939" s="4" t="s">
        <v>1006</v>
      </c>
      <c r="C2939" s="4" t="s">
        <v>1007</v>
      </c>
      <c r="D2939" s="4" t="s">
        <v>1008</v>
      </c>
      <c r="E2939" s="4" t="s">
        <v>87</v>
      </c>
      <c r="F2939" s="4" t="s">
        <v>5517</v>
      </c>
      <c r="G2939" s="4" t="s">
        <v>5518</v>
      </c>
      <c r="H2939" s="4" t="s">
        <v>135</v>
      </c>
      <c r="I2939" s="4" t="s">
        <v>94</v>
      </c>
      <c r="J2939" s="4" t="s">
        <v>27</v>
      </c>
      <c r="K2939" s="4" t="s">
        <v>28</v>
      </c>
      <c r="L2939" s="4" t="s">
        <v>28</v>
      </c>
      <c r="M2939" s="4" t="s">
        <v>34</v>
      </c>
      <c r="N2939" s="4" t="s">
        <v>27</v>
      </c>
    </row>
    <row r="2940" spans="1:14" ht="14.4" thickBot="1" x14ac:dyDescent="0.35">
      <c r="A2940" s="4" t="s">
        <v>19</v>
      </c>
      <c r="B2940" s="4" t="s">
        <v>1006</v>
      </c>
      <c r="C2940" s="4" t="s">
        <v>1007</v>
      </c>
      <c r="D2940" s="4" t="s">
        <v>1008</v>
      </c>
      <c r="E2940" s="4" t="s">
        <v>87</v>
      </c>
      <c r="F2940" s="4" t="s">
        <v>5519</v>
      </c>
      <c r="G2940" s="4" t="s">
        <v>5520</v>
      </c>
      <c r="H2940" s="4" t="s">
        <v>37</v>
      </c>
      <c r="I2940" s="4" t="s">
        <v>38</v>
      </c>
      <c r="J2940" s="4" t="s">
        <v>28</v>
      </c>
      <c r="K2940" s="4" t="s">
        <v>28</v>
      </c>
      <c r="L2940" s="4" t="s">
        <v>27</v>
      </c>
      <c r="M2940" s="4" t="s">
        <v>34</v>
      </c>
      <c r="N2940" s="4" t="s">
        <v>27</v>
      </c>
    </row>
    <row r="2941" spans="1:14" ht="14.4" thickBot="1" x14ac:dyDescent="0.35">
      <c r="A2941" s="4" t="s">
        <v>19</v>
      </c>
      <c r="B2941" s="4" t="s">
        <v>1006</v>
      </c>
      <c r="C2941" s="4" t="s">
        <v>1007</v>
      </c>
      <c r="D2941" s="4" t="s">
        <v>1008</v>
      </c>
      <c r="E2941" s="4" t="s">
        <v>87</v>
      </c>
      <c r="F2941" s="4" t="s">
        <v>6211</v>
      </c>
      <c r="G2941" s="4" t="s">
        <v>6212</v>
      </c>
      <c r="H2941" s="4" t="s">
        <v>116</v>
      </c>
      <c r="I2941" s="4" t="s">
        <v>122</v>
      </c>
      <c r="J2941" s="4" t="s">
        <v>27</v>
      </c>
      <c r="K2941" s="4" t="s">
        <v>28</v>
      </c>
      <c r="L2941" s="4" t="s">
        <v>28</v>
      </c>
      <c r="M2941" s="4" t="s">
        <v>34</v>
      </c>
      <c r="N2941" s="4" t="s">
        <v>27</v>
      </c>
    </row>
    <row r="2942" spans="1:14" ht="14.4" thickBot="1" x14ac:dyDescent="0.35">
      <c r="A2942" s="4" t="s">
        <v>19</v>
      </c>
      <c r="B2942" s="4" t="s">
        <v>1006</v>
      </c>
      <c r="C2942" s="4" t="s">
        <v>1007</v>
      </c>
      <c r="D2942" s="4" t="s">
        <v>1008</v>
      </c>
      <c r="E2942" s="4" t="s">
        <v>87</v>
      </c>
      <c r="F2942" s="4" t="s">
        <v>6213</v>
      </c>
      <c r="G2942" s="4" t="s">
        <v>6214</v>
      </c>
      <c r="H2942" s="4" t="s">
        <v>116</v>
      </c>
      <c r="I2942" s="4" t="s">
        <v>94</v>
      </c>
      <c r="J2942" s="4" t="s">
        <v>27</v>
      </c>
      <c r="K2942" s="4" t="s">
        <v>28</v>
      </c>
      <c r="L2942" s="4" t="s">
        <v>28</v>
      </c>
      <c r="M2942" s="4" t="s">
        <v>34</v>
      </c>
      <c r="N2942" s="4" t="s">
        <v>27</v>
      </c>
    </row>
    <row r="2943" spans="1:14" ht="14.4" thickBot="1" x14ac:dyDescent="0.35">
      <c r="A2943" s="4" t="s">
        <v>19</v>
      </c>
      <c r="B2943" s="4" t="s">
        <v>1006</v>
      </c>
      <c r="C2943" s="4" t="s">
        <v>1007</v>
      </c>
      <c r="D2943" s="4" t="s">
        <v>1008</v>
      </c>
      <c r="E2943" s="4" t="s">
        <v>87</v>
      </c>
      <c r="F2943" s="4" t="s">
        <v>6215</v>
      </c>
      <c r="G2943" s="4" t="s">
        <v>6216</v>
      </c>
      <c r="H2943" s="4" t="s">
        <v>135</v>
      </c>
      <c r="I2943" s="4" t="s">
        <v>94</v>
      </c>
      <c r="J2943" s="4" t="s">
        <v>27</v>
      </c>
      <c r="K2943" s="4" t="s">
        <v>28</v>
      </c>
      <c r="L2943" s="4" t="s">
        <v>28</v>
      </c>
      <c r="M2943" s="4" t="s">
        <v>34</v>
      </c>
      <c r="N2943" s="4" t="s">
        <v>27</v>
      </c>
    </row>
    <row r="2944" spans="1:14" ht="14.4" thickBot="1" x14ac:dyDescent="0.35">
      <c r="A2944" s="4" t="s">
        <v>19</v>
      </c>
      <c r="B2944" s="4" t="s">
        <v>1006</v>
      </c>
      <c r="C2944" s="4" t="s">
        <v>1007</v>
      </c>
      <c r="D2944" s="4" t="s">
        <v>1008</v>
      </c>
      <c r="E2944" s="4" t="s">
        <v>87</v>
      </c>
      <c r="F2944" s="4" t="s">
        <v>6217</v>
      </c>
      <c r="G2944" s="4" t="s">
        <v>6218</v>
      </c>
      <c r="H2944" s="4" t="s">
        <v>135</v>
      </c>
      <c r="I2944" s="4" t="s">
        <v>94</v>
      </c>
      <c r="J2944" s="4" t="s">
        <v>27</v>
      </c>
      <c r="K2944" s="4" t="s">
        <v>28</v>
      </c>
      <c r="L2944" s="4" t="s">
        <v>28</v>
      </c>
      <c r="M2944" s="4" t="s">
        <v>34</v>
      </c>
      <c r="N2944" s="4" t="s">
        <v>27</v>
      </c>
    </row>
    <row r="2945" spans="1:14" ht="14.4" thickBot="1" x14ac:dyDescent="0.35">
      <c r="A2945" s="4" t="s">
        <v>19</v>
      </c>
      <c r="B2945" s="4" t="s">
        <v>1006</v>
      </c>
      <c r="C2945" s="4" t="s">
        <v>1007</v>
      </c>
      <c r="D2945" s="4" t="s">
        <v>1008</v>
      </c>
      <c r="E2945" s="4" t="s">
        <v>87</v>
      </c>
      <c r="F2945" s="4" t="s">
        <v>6219</v>
      </c>
      <c r="G2945" s="4" t="s">
        <v>6220</v>
      </c>
      <c r="H2945" s="4" t="s">
        <v>26</v>
      </c>
      <c r="I2945" s="4" t="s">
        <v>38</v>
      </c>
      <c r="J2945" s="4" t="s">
        <v>28</v>
      </c>
      <c r="K2945" s="4" t="s">
        <v>28</v>
      </c>
      <c r="L2945" s="4" t="s">
        <v>27</v>
      </c>
      <c r="M2945" s="4" t="s">
        <v>34</v>
      </c>
      <c r="N2945" s="4" t="s">
        <v>27</v>
      </c>
    </row>
    <row r="2946" spans="1:14" ht="14.4" thickBot="1" x14ac:dyDescent="0.35">
      <c r="A2946" s="4" t="s">
        <v>19</v>
      </c>
      <c r="B2946" s="4" t="s">
        <v>1006</v>
      </c>
      <c r="C2946" s="4" t="s">
        <v>3292</v>
      </c>
      <c r="D2946" s="4" t="s">
        <v>3293</v>
      </c>
      <c r="E2946" s="5"/>
      <c r="F2946" s="4" t="s">
        <v>3294</v>
      </c>
      <c r="G2946" s="4" t="s">
        <v>3295</v>
      </c>
      <c r="H2946" s="4" t="s">
        <v>37</v>
      </c>
      <c r="I2946" s="4" t="s">
        <v>38</v>
      </c>
      <c r="J2946" s="4" t="s">
        <v>28</v>
      </c>
      <c r="K2946" s="4" t="s">
        <v>28</v>
      </c>
      <c r="L2946" s="4" t="s">
        <v>27</v>
      </c>
      <c r="M2946" s="4" t="s">
        <v>375</v>
      </c>
      <c r="N2946" s="4" t="s">
        <v>28</v>
      </c>
    </row>
    <row r="2947" spans="1:14" ht="14.4" thickBot="1" x14ac:dyDescent="0.35">
      <c r="A2947" s="4" t="s">
        <v>19</v>
      </c>
      <c r="B2947" s="4" t="s">
        <v>1006</v>
      </c>
      <c r="C2947" s="4" t="s">
        <v>4098</v>
      </c>
      <c r="D2947" s="4" t="s">
        <v>4099</v>
      </c>
      <c r="E2947" s="5"/>
      <c r="F2947" s="4" t="s">
        <v>4100</v>
      </c>
      <c r="G2947" s="4" t="s">
        <v>4101</v>
      </c>
      <c r="H2947" s="4" t="s">
        <v>33</v>
      </c>
      <c r="I2947" s="4" t="s">
        <v>38</v>
      </c>
      <c r="J2947" s="4" t="s">
        <v>28</v>
      </c>
      <c r="K2947" s="4" t="s">
        <v>28</v>
      </c>
      <c r="L2947" s="4" t="s">
        <v>27</v>
      </c>
      <c r="M2947" s="4" t="s">
        <v>375</v>
      </c>
      <c r="N2947" s="4" t="s">
        <v>28</v>
      </c>
    </row>
    <row r="2948" spans="1:14" ht="14.4" thickBot="1" x14ac:dyDescent="0.35">
      <c r="A2948" s="4" t="s">
        <v>19</v>
      </c>
      <c r="B2948" s="4" t="s">
        <v>1006</v>
      </c>
      <c r="C2948" s="4" t="s">
        <v>4098</v>
      </c>
      <c r="D2948" s="4" t="s">
        <v>4099</v>
      </c>
      <c r="E2948" s="5"/>
      <c r="F2948" s="4" t="s">
        <v>4799</v>
      </c>
      <c r="G2948" s="4" t="s">
        <v>4099</v>
      </c>
      <c r="H2948" s="4" t="s">
        <v>33</v>
      </c>
      <c r="I2948" s="4" t="s">
        <v>38</v>
      </c>
      <c r="J2948" s="4" t="s">
        <v>28</v>
      </c>
      <c r="K2948" s="4" t="s">
        <v>28</v>
      </c>
      <c r="L2948" s="4" t="s">
        <v>27</v>
      </c>
      <c r="M2948" s="4" t="s">
        <v>375</v>
      </c>
      <c r="N2948" s="4" t="s">
        <v>28</v>
      </c>
    </row>
    <row r="2949" spans="1:14" ht="14.4" thickBot="1" x14ac:dyDescent="0.35">
      <c r="A2949" s="4" t="s">
        <v>19</v>
      </c>
      <c r="B2949" s="4" t="s">
        <v>1006</v>
      </c>
      <c r="C2949" s="4" t="s">
        <v>4098</v>
      </c>
      <c r="D2949" s="4" t="s">
        <v>4099</v>
      </c>
      <c r="E2949" s="5"/>
      <c r="F2949" s="4" t="s">
        <v>5500</v>
      </c>
      <c r="G2949" s="4" t="s">
        <v>5501</v>
      </c>
      <c r="H2949" s="4" t="s">
        <v>33</v>
      </c>
      <c r="I2949" s="4" t="s">
        <v>38</v>
      </c>
      <c r="J2949" s="4" t="s">
        <v>28</v>
      </c>
      <c r="K2949" s="4" t="s">
        <v>28</v>
      </c>
      <c r="L2949" s="4" t="s">
        <v>27</v>
      </c>
      <c r="M2949" s="4" t="s">
        <v>375</v>
      </c>
      <c r="N2949" s="4" t="s">
        <v>28</v>
      </c>
    </row>
    <row r="2950" spans="1:14" ht="14.4" thickBot="1" x14ac:dyDescent="0.35">
      <c r="A2950" s="4" t="s">
        <v>19</v>
      </c>
      <c r="B2950" s="4" t="s">
        <v>1006</v>
      </c>
      <c r="C2950" s="4" t="s">
        <v>4098</v>
      </c>
      <c r="D2950" s="4" t="s">
        <v>4099</v>
      </c>
      <c r="E2950" s="5"/>
      <c r="F2950" s="4" t="s">
        <v>5502</v>
      </c>
      <c r="G2950" s="4" t="s">
        <v>5491</v>
      </c>
      <c r="H2950" s="4" t="s">
        <v>122</v>
      </c>
      <c r="I2950" s="4" t="s">
        <v>38</v>
      </c>
      <c r="J2950" s="4" t="s">
        <v>28</v>
      </c>
      <c r="K2950" s="4" t="s">
        <v>28</v>
      </c>
      <c r="L2950" s="4" t="s">
        <v>27</v>
      </c>
      <c r="M2950" s="4" t="s">
        <v>375</v>
      </c>
      <c r="N2950" s="4" t="s">
        <v>28</v>
      </c>
    </row>
    <row r="2951" spans="1:14" ht="14.4" thickBot="1" x14ac:dyDescent="0.35">
      <c r="A2951" s="4" t="s">
        <v>19</v>
      </c>
      <c r="B2951" s="4" t="s">
        <v>1006</v>
      </c>
      <c r="C2951" s="4" t="s">
        <v>4098</v>
      </c>
      <c r="D2951" s="4" t="s">
        <v>4099</v>
      </c>
      <c r="E2951" s="5"/>
      <c r="F2951" s="4" t="s">
        <v>6203</v>
      </c>
      <c r="G2951" s="4" t="s">
        <v>6204</v>
      </c>
      <c r="H2951" s="4" t="s">
        <v>69</v>
      </c>
      <c r="I2951" s="4" t="s">
        <v>38</v>
      </c>
      <c r="J2951" s="4" t="s">
        <v>28</v>
      </c>
      <c r="K2951" s="4" t="s">
        <v>28</v>
      </c>
      <c r="L2951" s="4" t="s">
        <v>27</v>
      </c>
      <c r="M2951" s="4" t="s">
        <v>375</v>
      </c>
      <c r="N2951" s="4" t="s">
        <v>28</v>
      </c>
    </row>
    <row r="2952" spans="1:14" ht="14.4" thickBot="1" x14ac:dyDescent="0.35">
      <c r="A2952" s="4" t="s">
        <v>19</v>
      </c>
      <c r="B2952" s="4" t="s">
        <v>1006</v>
      </c>
      <c r="C2952" s="4" t="s">
        <v>4098</v>
      </c>
      <c r="D2952" s="4" t="s">
        <v>4099</v>
      </c>
      <c r="E2952" s="5"/>
      <c r="F2952" s="4" t="s">
        <v>6205</v>
      </c>
      <c r="G2952" s="4" t="s">
        <v>6206</v>
      </c>
      <c r="H2952" s="4" t="s">
        <v>33</v>
      </c>
      <c r="I2952" s="4" t="s">
        <v>38</v>
      </c>
      <c r="J2952" s="4" t="s">
        <v>28</v>
      </c>
      <c r="K2952" s="4" t="s">
        <v>28</v>
      </c>
      <c r="L2952" s="4" t="s">
        <v>27</v>
      </c>
      <c r="M2952" s="4" t="s">
        <v>375</v>
      </c>
      <c r="N2952" s="4" t="s">
        <v>28</v>
      </c>
    </row>
    <row r="2953" spans="1:14" ht="14.4" thickBot="1" x14ac:dyDescent="0.35">
      <c r="A2953" s="4" t="s">
        <v>19</v>
      </c>
      <c r="B2953" s="4" t="s">
        <v>1006</v>
      </c>
      <c r="C2953" s="4" t="s">
        <v>4098</v>
      </c>
      <c r="D2953" s="4" t="s">
        <v>4099</v>
      </c>
      <c r="E2953" s="5"/>
      <c r="F2953" s="4" t="s">
        <v>85</v>
      </c>
      <c r="G2953" s="4" t="s">
        <v>180</v>
      </c>
      <c r="H2953" s="4" t="s">
        <v>33</v>
      </c>
      <c r="I2953" s="4" t="s">
        <v>38</v>
      </c>
      <c r="J2953" s="4" t="s">
        <v>28</v>
      </c>
      <c r="K2953" s="4" t="s">
        <v>28</v>
      </c>
      <c r="L2953" s="4" t="s">
        <v>27</v>
      </c>
      <c r="M2953" s="4" t="s">
        <v>375</v>
      </c>
      <c r="N2953" s="4" t="s">
        <v>28</v>
      </c>
    </row>
    <row r="2954" spans="1:14" ht="14.4" thickBot="1" x14ac:dyDescent="0.35">
      <c r="A2954" s="4" t="s">
        <v>19</v>
      </c>
      <c r="B2954" s="4" t="s">
        <v>1006</v>
      </c>
      <c r="C2954" s="4" t="s">
        <v>4106</v>
      </c>
      <c r="D2954" s="4" t="s">
        <v>4107</v>
      </c>
      <c r="E2954" s="4" t="s">
        <v>87</v>
      </c>
      <c r="F2954" s="4" t="s">
        <v>4108</v>
      </c>
      <c r="G2954" s="4" t="s">
        <v>4107</v>
      </c>
      <c r="H2954" s="4" t="s">
        <v>26</v>
      </c>
      <c r="I2954" s="4" t="s">
        <v>38</v>
      </c>
      <c r="J2954" s="4" t="s">
        <v>28</v>
      </c>
      <c r="K2954" s="4" t="s">
        <v>28</v>
      </c>
      <c r="L2954" s="4" t="s">
        <v>27</v>
      </c>
      <c r="M2954" s="4" t="s">
        <v>34</v>
      </c>
      <c r="N2954" s="4" t="s">
        <v>28</v>
      </c>
    </row>
    <row r="2955" spans="1:14" ht="14.4" thickBot="1" x14ac:dyDescent="0.35">
      <c r="A2955" s="4" t="s">
        <v>19</v>
      </c>
      <c r="B2955" s="4" t="s">
        <v>996</v>
      </c>
      <c r="C2955" s="4" t="s">
        <v>932</v>
      </c>
      <c r="D2955" s="4" t="s">
        <v>1002</v>
      </c>
      <c r="E2955" s="4" t="s">
        <v>999</v>
      </c>
      <c r="F2955" s="4" t="s">
        <v>1003</v>
      </c>
      <c r="G2955" s="4" t="s">
        <v>1004</v>
      </c>
      <c r="H2955" s="4" t="s">
        <v>1005</v>
      </c>
      <c r="I2955" s="4" t="s">
        <v>38</v>
      </c>
      <c r="J2955" s="4" t="s">
        <v>28</v>
      </c>
      <c r="K2955" s="4" t="s">
        <v>28</v>
      </c>
      <c r="L2955" s="4" t="s">
        <v>27</v>
      </c>
      <c r="M2955" s="4" t="s">
        <v>34</v>
      </c>
      <c r="N2955" s="4" t="s">
        <v>28</v>
      </c>
    </row>
    <row r="2956" spans="1:14" ht="14.4" thickBot="1" x14ac:dyDescent="0.35">
      <c r="A2956" s="4" t="s">
        <v>19</v>
      </c>
      <c r="B2956" s="4" t="s">
        <v>996</v>
      </c>
      <c r="C2956" s="4" t="s">
        <v>932</v>
      </c>
      <c r="D2956" s="4" t="s">
        <v>1002</v>
      </c>
      <c r="E2956" s="4" t="s">
        <v>999</v>
      </c>
      <c r="F2956" s="4" t="s">
        <v>4109</v>
      </c>
      <c r="G2956" s="4" t="s">
        <v>4110</v>
      </c>
      <c r="H2956" s="4" t="s">
        <v>486</v>
      </c>
      <c r="I2956" s="4" t="s">
        <v>38</v>
      </c>
      <c r="J2956" s="4" t="s">
        <v>28</v>
      </c>
      <c r="K2956" s="4" t="s">
        <v>28</v>
      </c>
      <c r="L2956" s="4" t="s">
        <v>27</v>
      </c>
      <c r="M2956" s="4" t="s">
        <v>34</v>
      </c>
      <c r="N2956" s="4" t="s">
        <v>28</v>
      </c>
    </row>
    <row r="2957" spans="1:14" ht="14.4" thickBot="1" x14ac:dyDescent="0.35">
      <c r="A2957" s="4" t="s">
        <v>19</v>
      </c>
      <c r="B2957" s="4" t="s">
        <v>996</v>
      </c>
      <c r="C2957" s="4" t="s">
        <v>3297</v>
      </c>
      <c r="D2957" s="4" t="s">
        <v>3298</v>
      </c>
      <c r="E2957" s="4" t="s">
        <v>999</v>
      </c>
      <c r="F2957" s="4" t="s">
        <v>3299</v>
      </c>
      <c r="G2957" s="4" t="s">
        <v>3300</v>
      </c>
      <c r="H2957" s="4" t="s">
        <v>69</v>
      </c>
      <c r="I2957" s="4" t="s">
        <v>38</v>
      </c>
      <c r="J2957" s="4" t="s">
        <v>28</v>
      </c>
      <c r="K2957" s="4" t="s">
        <v>28</v>
      </c>
      <c r="L2957" s="4" t="s">
        <v>27</v>
      </c>
      <c r="M2957" s="4" t="s">
        <v>34</v>
      </c>
      <c r="N2957" s="4" t="s">
        <v>28</v>
      </c>
    </row>
    <row r="2958" spans="1:14" ht="14.4" thickBot="1" x14ac:dyDescent="0.35">
      <c r="A2958" s="4" t="s">
        <v>19</v>
      </c>
      <c r="B2958" s="4" t="s">
        <v>996</v>
      </c>
      <c r="C2958" s="4" t="s">
        <v>1726</v>
      </c>
      <c r="D2958" s="4" t="s">
        <v>4102</v>
      </c>
      <c r="E2958" s="4" t="s">
        <v>999</v>
      </c>
      <c r="F2958" s="4" t="s">
        <v>850</v>
      </c>
      <c r="G2958" s="4" t="s">
        <v>4103</v>
      </c>
      <c r="H2958" s="4" t="s">
        <v>135</v>
      </c>
      <c r="I2958" s="4" t="s">
        <v>38</v>
      </c>
      <c r="J2958" s="4" t="s">
        <v>28</v>
      </c>
      <c r="K2958" s="4" t="s">
        <v>28</v>
      </c>
      <c r="L2958" s="4" t="s">
        <v>27</v>
      </c>
      <c r="M2958" s="4" t="s">
        <v>34</v>
      </c>
      <c r="N2958" s="4" t="s">
        <v>28</v>
      </c>
    </row>
    <row r="2959" spans="1:14" ht="14.4" thickBot="1" x14ac:dyDescent="0.35">
      <c r="A2959" s="4" t="s">
        <v>19</v>
      </c>
      <c r="B2959" s="4" t="s">
        <v>996</v>
      </c>
      <c r="C2959" s="4" t="s">
        <v>997</v>
      </c>
      <c r="D2959" s="4" t="s">
        <v>998</v>
      </c>
      <c r="E2959" s="4" t="s">
        <v>999</v>
      </c>
      <c r="F2959" s="4" t="s">
        <v>1000</v>
      </c>
      <c r="G2959" s="4" t="s">
        <v>1001</v>
      </c>
      <c r="H2959" s="4" t="s">
        <v>135</v>
      </c>
      <c r="I2959" s="4" t="s">
        <v>38</v>
      </c>
      <c r="J2959" s="4" t="s">
        <v>28</v>
      </c>
      <c r="K2959" s="4" t="s">
        <v>28</v>
      </c>
      <c r="L2959" s="4" t="s">
        <v>27</v>
      </c>
      <c r="M2959" s="4" t="s">
        <v>34</v>
      </c>
      <c r="N2959" s="4" t="s">
        <v>28</v>
      </c>
    </row>
    <row r="2960" spans="1:14" ht="14.4" thickBot="1" x14ac:dyDescent="0.35">
      <c r="A2960" s="4" t="s">
        <v>19</v>
      </c>
      <c r="B2960" s="4" t="s">
        <v>996</v>
      </c>
      <c r="C2960" s="4" t="s">
        <v>997</v>
      </c>
      <c r="D2960" s="4" t="s">
        <v>998</v>
      </c>
      <c r="E2960" s="4" t="s">
        <v>999</v>
      </c>
      <c r="F2960" s="4" t="s">
        <v>1881</v>
      </c>
      <c r="G2960" s="4" t="s">
        <v>1882</v>
      </c>
      <c r="H2960" s="4" t="s">
        <v>37</v>
      </c>
      <c r="I2960" s="4" t="s">
        <v>38</v>
      </c>
      <c r="J2960" s="4" t="s">
        <v>28</v>
      </c>
      <c r="K2960" s="4" t="s">
        <v>28</v>
      </c>
      <c r="L2960" s="4" t="s">
        <v>27</v>
      </c>
      <c r="M2960" s="4" t="s">
        <v>34</v>
      </c>
      <c r="N2960" s="4" t="s">
        <v>28</v>
      </c>
    </row>
    <row r="2961" spans="1:14" ht="14.4" thickBot="1" x14ac:dyDescent="0.35">
      <c r="A2961" s="4" t="s">
        <v>19</v>
      </c>
      <c r="B2961" s="4" t="s">
        <v>996</v>
      </c>
      <c r="C2961" s="4" t="s">
        <v>997</v>
      </c>
      <c r="D2961" s="4" t="s">
        <v>998</v>
      </c>
      <c r="E2961" s="4" t="s">
        <v>999</v>
      </c>
      <c r="F2961" s="4" t="s">
        <v>214</v>
      </c>
      <c r="G2961" s="4" t="s">
        <v>3296</v>
      </c>
      <c r="H2961" s="4" t="s">
        <v>37</v>
      </c>
      <c r="I2961" s="4" t="s">
        <v>38</v>
      </c>
      <c r="J2961" s="4" t="s">
        <v>28</v>
      </c>
      <c r="K2961" s="4" t="s">
        <v>28</v>
      </c>
      <c r="L2961" s="4" t="s">
        <v>27</v>
      </c>
      <c r="M2961" s="4" t="s">
        <v>34</v>
      </c>
      <c r="N2961" s="4" t="s">
        <v>28</v>
      </c>
    </row>
    <row r="2962" spans="1:14" ht="14.4" thickBot="1" x14ac:dyDescent="0.35">
      <c r="A2962" s="4" t="s">
        <v>19</v>
      </c>
      <c r="B2962" s="4" t="s">
        <v>996</v>
      </c>
      <c r="C2962" s="4" t="s">
        <v>997</v>
      </c>
      <c r="D2962" s="4" t="s">
        <v>998</v>
      </c>
      <c r="E2962" s="4" t="s">
        <v>999</v>
      </c>
      <c r="F2962" s="4" t="s">
        <v>5503</v>
      </c>
      <c r="G2962" s="4" t="s">
        <v>5504</v>
      </c>
      <c r="H2962" s="4" t="s">
        <v>69</v>
      </c>
      <c r="I2962" s="4" t="s">
        <v>94</v>
      </c>
      <c r="J2962" s="4" t="s">
        <v>28</v>
      </c>
      <c r="K2962" s="4" t="s">
        <v>27</v>
      </c>
      <c r="L2962" s="4" t="s">
        <v>28</v>
      </c>
      <c r="M2962" s="4" t="s">
        <v>34</v>
      </c>
      <c r="N2962" s="4" t="s">
        <v>28</v>
      </c>
    </row>
    <row r="2963" spans="1:14" ht="14.4" thickBot="1" x14ac:dyDescent="0.35">
      <c r="A2963" s="4" t="s">
        <v>19</v>
      </c>
      <c r="B2963" s="4" t="s">
        <v>996</v>
      </c>
      <c r="C2963" s="4" t="s">
        <v>997</v>
      </c>
      <c r="D2963" s="4" t="s">
        <v>998</v>
      </c>
      <c r="E2963" s="4" t="s">
        <v>999</v>
      </c>
      <c r="F2963" s="4" t="s">
        <v>6209</v>
      </c>
      <c r="G2963" s="4" t="s">
        <v>6210</v>
      </c>
      <c r="H2963" s="4" t="s">
        <v>135</v>
      </c>
      <c r="I2963" s="4" t="s">
        <v>33</v>
      </c>
      <c r="J2963" s="4" t="s">
        <v>27</v>
      </c>
      <c r="K2963" s="4" t="s">
        <v>28</v>
      </c>
      <c r="L2963" s="4" t="s">
        <v>28</v>
      </c>
      <c r="M2963" s="4" t="s">
        <v>34</v>
      </c>
      <c r="N2963" s="4" t="s">
        <v>28</v>
      </c>
    </row>
    <row r="2964" spans="1:14" ht="14.4" thickBot="1" x14ac:dyDescent="0.35">
      <c r="A2964" s="4" t="s">
        <v>19</v>
      </c>
      <c r="B2964" s="4" t="s">
        <v>996</v>
      </c>
      <c r="C2964" s="4" t="s">
        <v>1883</v>
      </c>
      <c r="D2964" s="4" t="s">
        <v>1884</v>
      </c>
      <c r="E2964" s="4" t="s">
        <v>999</v>
      </c>
      <c r="F2964" s="4" t="s">
        <v>1885</v>
      </c>
      <c r="G2964" s="4" t="s">
        <v>1886</v>
      </c>
      <c r="H2964" s="4" t="s">
        <v>69</v>
      </c>
      <c r="I2964" s="4" t="s">
        <v>38</v>
      </c>
      <c r="J2964" s="4" t="s">
        <v>28</v>
      </c>
      <c r="K2964" s="4" t="s">
        <v>28</v>
      </c>
      <c r="L2964" s="4" t="s">
        <v>27</v>
      </c>
      <c r="M2964" s="4" t="s">
        <v>34</v>
      </c>
      <c r="N2964" s="4" t="s">
        <v>28</v>
      </c>
    </row>
    <row r="2965" spans="1:14" ht="14.4" thickBot="1" x14ac:dyDescent="0.35">
      <c r="A2965" s="4" t="s">
        <v>19</v>
      </c>
      <c r="B2965" s="4" t="s">
        <v>2523</v>
      </c>
      <c r="C2965" s="4" t="s">
        <v>2524</v>
      </c>
      <c r="D2965" s="4" t="s">
        <v>2525</v>
      </c>
      <c r="E2965" s="4" t="s">
        <v>999</v>
      </c>
      <c r="F2965" s="4" t="s">
        <v>2526</v>
      </c>
      <c r="G2965" s="4" t="s">
        <v>2527</v>
      </c>
      <c r="H2965" s="4" t="s">
        <v>190</v>
      </c>
      <c r="I2965" s="4" t="s">
        <v>38</v>
      </c>
      <c r="J2965" s="4" t="s">
        <v>28</v>
      </c>
      <c r="K2965" s="4" t="s">
        <v>28</v>
      </c>
      <c r="L2965" s="4" t="s">
        <v>27</v>
      </c>
      <c r="M2965" s="4" t="s">
        <v>34</v>
      </c>
      <c r="N2965" s="4" t="s">
        <v>28</v>
      </c>
    </row>
    <row r="2966" spans="1:14" ht="14.4" thickBot="1" x14ac:dyDescent="0.35">
      <c r="A2966" s="4" t="s">
        <v>19</v>
      </c>
      <c r="B2966" s="4" t="s">
        <v>2523</v>
      </c>
      <c r="C2966" s="4" t="s">
        <v>2524</v>
      </c>
      <c r="D2966" s="4" t="s">
        <v>2525</v>
      </c>
      <c r="E2966" s="4" t="s">
        <v>999</v>
      </c>
      <c r="F2966" s="4" t="s">
        <v>4104</v>
      </c>
      <c r="G2966" s="4" t="s">
        <v>4105</v>
      </c>
      <c r="H2966" s="4" t="s">
        <v>190</v>
      </c>
      <c r="I2966" s="4" t="s">
        <v>38</v>
      </c>
      <c r="J2966" s="4" t="s">
        <v>28</v>
      </c>
      <c r="K2966" s="4" t="s">
        <v>28</v>
      </c>
      <c r="L2966" s="4" t="s">
        <v>27</v>
      </c>
      <c r="M2966" s="4" t="s">
        <v>34</v>
      </c>
      <c r="N2966" s="4" t="s">
        <v>28</v>
      </c>
    </row>
    <row r="2967" spans="1:14" ht="14.4" thickBot="1" x14ac:dyDescent="0.35">
      <c r="A2967" s="4" t="s">
        <v>19</v>
      </c>
      <c r="B2967" s="4" t="s">
        <v>2523</v>
      </c>
      <c r="C2967" s="4" t="s">
        <v>2524</v>
      </c>
      <c r="D2967" s="4" t="s">
        <v>2525</v>
      </c>
      <c r="E2967" s="4" t="s">
        <v>999</v>
      </c>
      <c r="F2967" s="4" t="s">
        <v>6207</v>
      </c>
      <c r="G2967" s="4" t="s">
        <v>6208</v>
      </c>
      <c r="H2967" s="4" t="s">
        <v>190</v>
      </c>
      <c r="I2967" s="4" t="s">
        <v>38</v>
      </c>
      <c r="J2967" s="4" t="s">
        <v>28</v>
      </c>
      <c r="K2967" s="4" t="s">
        <v>28</v>
      </c>
      <c r="L2967" s="4" t="s">
        <v>27</v>
      </c>
      <c r="M2967" s="4" t="s">
        <v>34</v>
      </c>
      <c r="N2967" s="4" t="s">
        <v>28</v>
      </c>
    </row>
    <row r="2968" spans="1:14" ht="13.8" x14ac:dyDescent="0.3">
      <c r="A2968" s="6">
        <v>44132</v>
      </c>
      <c r="F2968" s="7">
        <v>1</v>
      </c>
      <c r="K2968" s="8">
        <v>0.17710648000000001</v>
      </c>
    </row>
  </sheetData>
  <autoFilter ref="A1:N1" xr:uid="{00000000-0009-0000-0000-000004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M360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D8" sqref="D8"/>
    </sheetView>
  </sheetViews>
  <sheetFormatPr defaultColWidth="0" defaultRowHeight="13.8" zeroHeight="1" x14ac:dyDescent="0.3"/>
  <cols>
    <col min="1" max="1" width="14.44140625" style="2" bestFit="1" customWidth="1"/>
    <col min="2" max="2" width="39.88671875" style="2" bestFit="1" customWidth="1"/>
    <col min="3" max="3" width="15.109375" style="2" bestFit="1" customWidth="1"/>
    <col min="4" max="4" width="11.109375" style="19" bestFit="1" customWidth="1"/>
    <col min="5" max="5" width="11.88671875" style="2" bestFit="1" customWidth="1"/>
    <col min="6" max="6" width="23.88671875" style="2" bestFit="1" customWidth="1"/>
    <col min="7" max="7" width="16.5546875" style="2" bestFit="1" customWidth="1"/>
    <col min="8" max="8" width="17" style="2" bestFit="1" customWidth="1"/>
    <col min="9" max="9" width="12.109375" style="2" bestFit="1" customWidth="1"/>
    <col min="10" max="10" width="13.109375" style="2" bestFit="1" customWidth="1"/>
    <col min="11" max="11" width="24.44140625" style="2" bestFit="1" customWidth="1"/>
    <col min="12" max="12" width="15" style="2" bestFit="1" customWidth="1"/>
    <col min="13" max="13" width="21.109375" style="2" bestFit="1" customWidth="1"/>
    <col min="14" max="14" width="12.88671875" style="2" bestFit="1" customWidth="1"/>
    <col min="15" max="15" width="11.109375" style="2" bestFit="1" customWidth="1"/>
    <col min="16" max="16" width="14.44140625" style="2" bestFit="1" customWidth="1"/>
    <col min="17" max="17" width="10.88671875" style="2" bestFit="1" customWidth="1"/>
    <col min="18" max="18" width="13.44140625" style="2" bestFit="1" customWidth="1"/>
    <col min="19" max="19" width="19.44140625" style="2" bestFit="1" customWidth="1"/>
    <col min="20" max="20" width="10.44140625" style="2" bestFit="1" customWidth="1"/>
    <col min="21" max="21" width="20.5546875" style="2" bestFit="1" customWidth="1"/>
    <col min="22" max="22" width="11.5546875" style="2" bestFit="1" customWidth="1"/>
    <col min="23" max="23" width="13.5546875" style="2" bestFit="1" customWidth="1"/>
    <col min="24" max="24" width="15" style="2" bestFit="1" customWidth="1"/>
    <col min="25" max="25" width="10.5546875" style="2" bestFit="1" customWidth="1"/>
    <col min="26" max="26" width="12.44140625" style="2" bestFit="1" customWidth="1"/>
    <col min="27" max="27" width="15.44140625" style="2" bestFit="1" customWidth="1"/>
    <col min="28" max="28" width="13.44140625" style="2" bestFit="1" customWidth="1"/>
    <col min="29" max="29" width="18.109375" style="2" bestFit="1" customWidth="1"/>
    <col min="30" max="30" width="18" style="2" bestFit="1" customWidth="1"/>
    <col min="31" max="31" width="16.109375" style="2" bestFit="1" customWidth="1"/>
    <col min="32" max="32" width="11.44140625" style="2" bestFit="1" customWidth="1"/>
    <col min="33" max="33" width="13.88671875" style="2" bestFit="1" customWidth="1"/>
    <col min="34" max="34" width="20.5546875" style="2" bestFit="1" customWidth="1"/>
    <col min="35" max="35" width="15.5546875" style="2" bestFit="1" customWidth="1"/>
    <col min="36" max="36" width="18.5546875" style="2" bestFit="1" customWidth="1"/>
    <col min="37" max="37" width="11" style="2" bestFit="1" customWidth="1"/>
    <col min="38" max="38" width="18.88671875" style="2" bestFit="1" customWidth="1"/>
    <col min="39" max="39" width="14.44140625" style="2" bestFit="1" customWidth="1"/>
    <col min="40" max="40" width="17.44140625" style="2" bestFit="1" customWidth="1"/>
    <col min="41" max="41" width="20.44140625" style="2" bestFit="1" customWidth="1"/>
    <col min="42" max="42" width="28.5546875" style="2" bestFit="1" customWidth="1"/>
    <col min="43" max="43" width="17.109375" style="2" bestFit="1" customWidth="1"/>
    <col min="44" max="44" width="15.88671875" style="2" bestFit="1" customWidth="1"/>
    <col min="45" max="45" width="20.88671875" style="2" customWidth="1"/>
    <col min="46" max="46" width="18.44140625" style="2" customWidth="1"/>
    <col min="47" max="47" width="17.44140625" style="2" customWidth="1"/>
    <col min="48" max="48" width="21.109375" style="2" customWidth="1"/>
    <col min="49" max="49" width="10.44140625" style="2" bestFit="1" customWidth="1"/>
    <col min="50" max="50" width="13.88671875" style="2" customWidth="1"/>
    <col min="51" max="51" width="10.5546875" style="2" customWidth="1"/>
    <col min="52" max="52" width="10.44140625" style="2" bestFit="1" customWidth="1"/>
    <col min="53" max="53" width="11.5546875" style="2" customWidth="1"/>
    <col min="54" max="54" width="10.5546875" style="2" customWidth="1"/>
    <col min="55" max="55" width="11.5546875" style="2" customWidth="1"/>
    <col min="56" max="56" width="11" style="2" customWidth="1"/>
    <col min="57" max="57" width="18" style="2" customWidth="1"/>
    <col min="58" max="58" width="20.5546875" style="2" customWidth="1"/>
    <col min="59" max="59" width="17.5546875" style="2" customWidth="1"/>
    <col min="60" max="60" width="12" style="2" customWidth="1"/>
    <col min="61" max="61" width="10.44140625" style="2" bestFit="1" customWidth="1"/>
    <col min="62" max="62" width="12" style="2" customWidth="1"/>
    <col min="63" max="63" width="11.44140625" style="2" customWidth="1"/>
    <col min="64" max="64" width="15" style="2" customWidth="1"/>
    <col min="65" max="65" width="10.44140625" style="2" bestFit="1" customWidth="1"/>
    <col min="66" max="66" width="12.109375" style="2" customWidth="1"/>
    <col min="67" max="67" width="17" style="2" customWidth="1"/>
    <col min="68" max="68" width="14.88671875" style="2" customWidth="1"/>
    <col min="69" max="69" width="13.109375" style="2" customWidth="1"/>
    <col min="70" max="70" width="13.44140625" style="2" customWidth="1"/>
    <col min="71" max="71" width="16.109375" style="2" customWidth="1"/>
    <col min="72" max="72" width="12.5546875" style="2" customWidth="1"/>
    <col min="73" max="73" width="11.109375" style="2" customWidth="1"/>
    <col min="74" max="74" width="17.109375" style="2" customWidth="1"/>
    <col min="75" max="75" width="15.44140625" style="2" customWidth="1"/>
    <col min="76" max="76" width="12.5546875" style="2" customWidth="1"/>
    <col min="77" max="77" width="22.88671875" style="2" customWidth="1"/>
    <col min="78" max="78" width="19" style="2" customWidth="1"/>
    <col min="79" max="79" width="13.5546875" style="2" customWidth="1"/>
    <col min="80" max="80" width="12.109375" style="2" customWidth="1"/>
    <col min="81" max="81" width="13.88671875" style="2" customWidth="1"/>
    <col min="82" max="82" width="18.44140625" style="2" customWidth="1"/>
    <col min="83" max="83" width="10.44140625" style="2" bestFit="1" customWidth="1"/>
    <col min="84" max="84" width="13.88671875" style="2" customWidth="1"/>
    <col min="85" max="85" width="16.88671875" style="2" customWidth="1"/>
    <col min="86" max="86" width="13.109375" style="2" customWidth="1"/>
    <col min="87" max="87" width="12" style="2" customWidth="1"/>
    <col min="88" max="88" width="12.109375" style="2" customWidth="1"/>
    <col min="89" max="89" width="15.109375" style="2" customWidth="1"/>
    <col min="90" max="90" width="15" style="2" customWidth="1"/>
    <col min="91" max="91" width="12.109375" style="2" customWidth="1"/>
    <col min="92" max="92" width="14.44140625" style="2" customWidth="1"/>
    <col min="93" max="93" width="12.44140625" style="2" customWidth="1"/>
    <col min="94" max="94" width="11.109375" style="2" customWidth="1"/>
    <col min="95" max="95" width="14.44140625" style="2" customWidth="1"/>
    <col min="96" max="96" width="13.44140625" style="2" customWidth="1"/>
    <col min="97" max="97" width="10.5546875" style="2" customWidth="1"/>
    <col min="98" max="98" width="20" style="2" customWidth="1"/>
    <col min="99" max="99" width="19.88671875" style="2" customWidth="1"/>
    <col min="100" max="100" width="19.44140625" style="2" customWidth="1"/>
    <col min="101" max="101" width="21.109375" style="2" customWidth="1"/>
    <col min="102" max="102" width="17.5546875" style="2" customWidth="1"/>
    <col min="103" max="103" width="16.44140625" style="2" customWidth="1"/>
    <col min="104" max="104" width="11.88671875" style="2" customWidth="1"/>
    <col min="105" max="105" width="12.109375" style="2" customWidth="1"/>
    <col min="106" max="106" width="11.109375" style="2" customWidth="1"/>
    <col min="107" max="107" width="15.109375" style="2" customWidth="1"/>
    <col min="108" max="108" width="12.5546875" style="2" customWidth="1"/>
    <col min="109" max="109" width="12.44140625" style="2" customWidth="1"/>
    <col min="110" max="110" width="13.88671875" style="2" customWidth="1"/>
    <col min="111" max="111" width="15.88671875" style="2" customWidth="1"/>
    <col min="112" max="112" width="20.109375" style="2" customWidth="1"/>
    <col min="113" max="113" width="19.44140625" style="2" customWidth="1"/>
    <col min="114" max="114" width="20.5546875" style="2" customWidth="1"/>
    <col min="115" max="115" width="21.44140625" style="2" customWidth="1"/>
    <col min="116" max="116" width="13.5546875" style="2" customWidth="1"/>
    <col min="117" max="117" width="12.5546875" style="2" customWidth="1"/>
    <col min="118" max="118" width="20.5546875" style="2" customWidth="1"/>
    <col min="119" max="119" width="13.88671875" style="2" customWidth="1"/>
    <col min="120" max="120" width="12.5546875" style="2" customWidth="1"/>
    <col min="121" max="121" width="16.109375" style="2" customWidth="1"/>
    <col min="122" max="122" width="20.109375" style="2" customWidth="1"/>
    <col min="123" max="123" width="15.109375" style="2" customWidth="1"/>
    <col min="124" max="124" width="13.5546875" style="2" customWidth="1"/>
    <col min="125" max="125" width="14" style="2" customWidth="1"/>
    <col min="126" max="126" width="13.109375" style="2" customWidth="1"/>
    <col min="127" max="127" width="11.44140625" style="2" customWidth="1"/>
    <col min="128" max="128" width="10.88671875" style="2" customWidth="1"/>
    <col min="129" max="130" width="10.44140625" style="2" bestFit="1" customWidth="1"/>
    <col min="131" max="131" width="12" style="2" customWidth="1"/>
    <col min="132" max="132" width="14.88671875" style="2" customWidth="1"/>
    <col min="133" max="133" width="15.88671875" style="2" customWidth="1"/>
    <col min="134" max="134" width="13.44140625" style="2" customWidth="1"/>
    <col min="135" max="135" width="12.5546875" style="2" customWidth="1"/>
    <col min="136" max="136" width="10.44140625" style="2" bestFit="1" customWidth="1"/>
    <col min="137" max="137" width="13.109375" style="2" customWidth="1"/>
    <col min="138" max="138" width="11.44140625" style="2" customWidth="1"/>
    <col min="139" max="139" width="10.44140625" style="2" bestFit="1" customWidth="1"/>
    <col min="140" max="140" width="13.44140625" style="2" customWidth="1"/>
    <col min="141" max="141" width="13.5546875" style="2" customWidth="1"/>
    <col min="142" max="142" width="16.44140625" style="2" customWidth="1"/>
    <col min="143" max="143" width="12.44140625" style="2" customWidth="1"/>
    <col min="144" max="144" width="12.5546875" style="2" customWidth="1"/>
    <col min="145" max="145" width="30.5546875" style="2" customWidth="1"/>
    <col min="146" max="146" width="15" style="2" customWidth="1"/>
    <col min="147" max="147" width="13.88671875" style="2" customWidth="1"/>
    <col min="148" max="148" width="12.44140625" style="2" customWidth="1"/>
    <col min="149" max="149" width="20.88671875" style="2" customWidth="1"/>
    <col min="150" max="150" width="15.5546875" style="2" customWidth="1"/>
    <col min="151" max="151" width="19.109375" style="2" customWidth="1"/>
    <col min="152" max="152" width="10.44140625" style="2" bestFit="1" customWidth="1"/>
    <col min="153" max="153" width="12.109375" style="2" customWidth="1"/>
    <col min="154" max="154" width="10.88671875" style="2" customWidth="1"/>
    <col min="155" max="155" width="12.44140625" style="2" customWidth="1"/>
    <col min="156" max="156" width="13.44140625" style="2" customWidth="1"/>
    <col min="157" max="157" width="13.5546875" style="2" customWidth="1"/>
    <col min="158" max="158" width="19.44140625" style="2" customWidth="1"/>
    <col min="159" max="159" width="12.44140625" style="2" customWidth="1"/>
    <col min="160" max="160" width="21.88671875" style="2" customWidth="1"/>
    <col min="161" max="161" width="18.44140625" style="2" customWidth="1"/>
    <col min="162" max="162" width="10.44140625" style="2" bestFit="1" customWidth="1"/>
    <col min="163" max="163" width="12.88671875" style="2" customWidth="1"/>
    <col min="164" max="164" width="10.44140625" style="2" bestFit="1" customWidth="1"/>
    <col min="165" max="165" width="13.109375" style="2" customWidth="1"/>
    <col min="166" max="166" width="14.109375" style="2" customWidth="1"/>
    <col min="167" max="167" width="16.5546875" style="2" customWidth="1"/>
    <col min="168" max="168" width="11.109375" style="2" customWidth="1"/>
    <col min="169" max="169" width="28.44140625" style="2" customWidth="1"/>
    <col min="170" max="170" width="13.109375" style="2" customWidth="1"/>
    <col min="171" max="171" width="22" style="2" customWidth="1"/>
    <col min="172" max="172" width="10.44140625" style="2" bestFit="1" customWidth="1"/>
    <col min="173" max="173" width="16.109375" style="2" customWidth="1"/>
    <col min="174" max="174" width="16.88671875" style="2" customWidth="1"/>
    <col min="175" max="175" width="17.109375" style="2" customWidth="1"/>
    <col min="176" max="176" width="15.44140625" style="2" customWidth="1"/>
    <col min="177" max="177" width="12.44140625" style="2" customWidth="1"/>
    <col min="178" max="178" width="13.44140625" style="2" customWidth="1"/>
    <col min="179" max="179" width="10.44140625" style="2" bestFit="1" customWidth="1"/>
    <col min="180" max="180" width="10.88671875" style="2" customWidth="1"/>
    <col min="181" max="182" width="10.44140625" style="2" bestFit="1" customWidth="1"/>
    <col min="183" max="183" width="41.44140625" style="2" customWidth="1"/>
    <col min="184" max="184" width="20.88671875" style="2" customWidth="1"/>
    <col min="185" max="185" width="23.109375" style="2" customWidth="1"/>
    <col min="186" max="186" width="22.44140625" style="2" customWidth="1"/>
    <col min="187" max="187" width="32.5546875" style="2" customWidth="1"/>
    <col min="188" max="188" width="16.44140625" style="2" customWidth="1"/>
    <col min="189" max="189" width="14.88671875" style="2" customWidth="1"/>
    <col min="190" max="190" width="18.5546875" style="2" customWidth="1"/>
    <col min="191" max="191" width="26.109375" style="2" customWidth="1"/>
    <col min="192" max="192" width="19.44140625" style="2" customWidth="1"/>
    <col min="193" max="193" width="26.109375" style="2" customWidth="1"/>
    <col min="194" max="194" width="3.5546875" style="2" customWidth="1"/>
    <col min="195" max="195" width="0" style="2" hidden="1" customWidth="1"/>
    <col min="196" max="16384" width="19.44140625" style="2" hidden="1"/>
  </cols>
  <sheetData>
    <row r="1" spans="1:193" ht="14.4" thickBot="1" x14ac:dyDescent="0.35">
      <c r="A1" s="20"/>
      <c r="B1" s="20"/>
      <c r="C1" s="20"/>
      <c r="D1" s="21" t="s">
        <v>6249</v>
      </c>
      <c r="E1" s="22" t="s">
        <v>6250</v>
      </c>
      <c r="F1" s="23" t="s">
        <v>6251</v>
      </c>
      <c r="G1" s="23" t="s">
        <v>6252</v>
      </c>
      <c r="H1" s="23" t="s">
        <v>6253</v>
      </c>
      <c r="I1" s="23" t="s">
        <v>6254</v>
      </c>
      <c r="J1" s="23" t="s">
        <v>6255</v>
      </c>
      <c r="K1" s="23" t="s">
        <v>6256</v>
      </c>
      <c r="L1" s="23" t="s">
        <v>6257</v>
      </c>
      <c r="M1" s="23" t="s">
        <v>6258</v>
      </c>
      <c r="N1" s="23" t="s">
        <v>6259</v>
      </c>
      <c r="O1" s="23" t="s">
        <v>6260</v>
      </c>
      <c r="P1" s="23" t="s">
        <v>6261</v>
      </c>
      <c r="Q1" s="23" t="s">
        <v>6262</v>
      </c>
      <c r="R1" s="23" t="s">
        <v>6263</v>
      </c>
      <c r="S1" s="23" t="s">
        <v>6264</v>
      </c>
      <c r="T1" s="23" t="s">
        <v>6265</v>
      </c>
      <c r="U1" s="23" t="s">
        <v>6266</v>
      </c>
      <c r="V1" s="23" t="s">
        <v>6267</v>
      </c>
      <c r="W1" s="23" t="s">
        <v>6268</v>
      </c>
      <c r="X1" s="23" t="s">
        <v>6269</v>
      </c>
      <c r="Y1" s="23" t="s">
        <v>6270</v>
      </c>
      <c r="Z1" s="23" t="s">
        <v>6271</v>
      </c>
      <c r="AA1" s="23" t="s">
        <v>6272</v>
      </c>
      <c r="AB1" s="23" t="s">
        <v>6273</v>
      </c>
      <c r="AC1" s="23" t="s">
        <v>6274</v>
      </c>
      <c r="AD1" s="23" t="s">
        <v>6275</v>
      </c>
      <c r="AE1" s="23" t="s">
        <v>6276</v>
      </c>
      <c r="AF1" s="23" t="s">
        <v>6277</v>
      </c>
      <c r="AG1" s="23" t="s">
        <v>6278</v>
      </c>
      <c r="AH1" s="23" t="s">
        <v>6279</v>
      </c>
      <c r="AI1" s="23" t="s">
        <v>6280</v>
      </c>
      <c r="AJ1" s="23" t="s">
        <v>6281</v>
      </c>
      <c r="AK1" s="23" t="s">
        <v>6282</v>
      </c>
      <c r="AL1" s="23" t="s">
        <v>6283</v>
      </c>
      <c r="AM1" s="23" t="s">
        <v>6284</v>
      </c>
      <c r="AN1" s="23" t="s">
        <v>6285</v>
      </c>
      <c r="AO1" s="23" t="s">
        <v>6286</v>
      </c>
      <c r="AP1" s="23" t="s">
        <v>6287</v>
      </c>
      <c r="AQ1" s="23" t="s">
        <v>6288</v>
      </c>
      <c r="AR1" s="23" t="s">
        <v>6289</v>
      </c>
      <c r="AS1" s="23" t="s">
        <v>6290</v>
      </c>
      <c r="AT1" s="23" t="s">
        <v>6291</v>
      </c>
      <c r="AU1" s="23" t="s">
        <v>6292</v>
      </c>
      <c r="AV1" s="23" t="s">
        <v>6293</v>
      </c>
      <c r="AW1" s="23" t="s">
        <v>6294</v>
      </c>
      <c r="AX1" s="23" t="s">
        <v>6295</v>
      </c>
      <c r="AY1" s="23" t="s">
        <v>6296</v>
      </c>
      <c r="AZ1" s="23" t="s">
        <v>6297</v>
      </c>
      <c r="BA1" s="23" t="s">
        <v>6298</v>
      </c>
      <c r="BB1" s="23" t="s">
        <v>6299</v>
      </c>
      <c r="BC1" s="23" t="s">
        <v>6300</v>
      </c>
      <c r="BD1" s="23" t="s">
        <v>6301</v>
      </c>
      <c r="BE1" s="23" t="s">
        <v>6302</v>
      </c>
      <c r="BF1" s="23" t="s">
        <v>6303</v>
      </c>
      <c r="BG1" s="23" t="s">
        <v>6304</v>
      </c>
      <c r="BH1" s="23" t="s">
        <v>6305</v>
      </c>
      <c r="BI1" s="23" t="s">
        <v>6306</v>
      </c>
      <c r="BJ1" s="23" t="s">
        <v>6307</v>
      </c>
      <c r="BK1" s="23" t="s">
        <v>6308</v>
      </c>
      <c r="BL1" s="23" t="s">
        <v>6309</v>
      </c>
      <c r="BM1" s="23" t="s">
        <v>6310</v>
      </c>
      <c r="BN1" s="23" t="s">
        <v>6311</v>
      </c>
      <c r="BO1" s="23" t="s">
        <v>6312</v>
      </c>
      <c r="BP1" s="23" t="s">
        <v>6313</v>
      </c>
      <c r="BQ1" s="23" t="s">
        <v>6314</v>
      </c>
      <c r="BR1" s="23" t="s">
        <v>6315</v>
      </c>
      <c r="BS1" s="23" t="s">
        <v>6316</v>
      </c>
      <c r="BT1" s="23" t="s">
        <v>6317</v>
      </c>
      <c r="BU1" s="23" t="s">
        <v>6318</v>
      </c>
      <c r="BV1" s="23" t="s">
        <v>6319</v>
      </c>
      <c r="BW1" s="23" t="s">
        <v>6320</v>
      </c>
      <c r="BX1" s="23" t="s">
        <v>6321</v>
      </c>
      <c r="BY1" s="23" t="s">
        <v>6322</v>
      </c>
      <c r="BZ1" s="23" t="s">
        <v>6323</v>
      </c>
      <c r="CA1" s="23" t="s">
        <v>6324</v>
      </c>
      <c r="CB1" s="23" t="s">
        <v>6325</v>
      </c>
      <c r="CC1" s="23" t="s">
        <v>6326</v>
      </c>
      <c r="CD1" s="23" t="s">
        <v>6327</v>
      </c>
      <c r="CE1" s="23" t="s">
        <v>6328</v>
      </c>
      <c r="CF1" s="23" t="s">
        <v>6329</v>
      </c>
      <c r="CG1" s="23" t="s">
        <v>6330</v>
      </c>
      <c r="CH1" s="23" t="s">
        <v>6331</v>
      </c>
      <c r="CI1" s="23" t="s">
        <v>6332</v>
      </c>
      <c r="CJ1" s="23" t="s">
        <v>6333</v>
      </c>
      <c r="CK1" s="23" t="s">
        <v>6334</v>
      </c>
      <c r="CL1" s="23" t="s">
        <v>6335</v>
      </c>
      <c r="CM1" s="23" t="s">
        <v>6336</v>
      </c>
      <c r="CN1" s="23" t="s">
        <v>6337</v>
      </c>
      <c r="CO1" s="23" t="s">
        <v>6338</v>
      </c>
      <c r="CP1" s="23" t="s">
        <v>6339</v>
      </c>
      <c r="CQ1" s="23" t="s">
        <v>6340</v>
      </c>
      <c r="CR1" s="23" t="s">
        <v>6341</v>
      </c>
      <c r="CS1" s="23" t="s">
        <v>6342</v>
      </c>
      <c r="CT1" s="23" t="s">
        <v>6343</v>
      </c>
      <c r="CU1" s="23" t="s">
        <v>6344</v>
      </c>
      <c r="CV1" s="23" t="s">
        <v>6345</v>
      </c>
      <c r="CW1" s="23" t="s">
        <v>6346</v>
      </c>
      <c r="CX1" s="23" t="s">
        <v>6347</v>
      </c>
      <c r="CY1" s="23" t="s">
        <v>6348</v>
      </c>
      <c r="CZ1" s="23" t="s">
        <v>6349</v>
      </c>
      <c r="DA1" s="23" t="s">
        <v>6350</v>
      </c>
      <c r="DB1" s="23" t="s">
        <v>6351</v>
      </c>
      <c r="DC1" s="23" t="s">
        <v>6352</v>
      </c>
      <c r="DD1" s="23" t="s">
        <v>6353</v>
      </c>
      <c r="DE1" s="23" t="s">
        <v>6354</v>
      </c>
      <c r="DF1" s="23" t="s">
        <v>6355</v>
      </c>
      <c r="DG1" s="23" t="s">
        <v>6356</v>
      </c>
      <c r="DH1" s="23" t="s">
        <v>6357</v>
      </c>
      <c r="DI1" s="23" t="s">
        <v>6358</v>
      </c>
      <c r="DJ1" s="23" t="s">
        <v>6359</v>
      </c>
      <c r="DK1" s="23" t="s">
        <v>6360</v>
      </c>
      <c r="DL1" s="23" t="s">
        <v>6361</v>
      </c>
      <c r="DM1" s="23" t="s">
        <v>6362</v>
      </c>
      <c r="DN1" s="23" t="s">
        <v>6363</v>
      </c>
      <c r="DO1" s="23" t="s">
        <v>6364</v>
      </c>
      <c r="DP1" s="23" t="s">
        <v>6365</v>
      </c>
      <c r="DQ1" s="23" t="s">
        <v>6366</v>
      </c>
      <c r="DR1" s="23" t="s">
        <v>6367</v>
      </c>
      <c r="DS1" s="23" t="s">
        <v>6368</v>
      </c>
      <c r="DT1" s="23" t="s">
        <v>6369</v>
      </c>
      <c r="DU1" s="23" t="s">
        <v>6370</v>
      </c>
      <c r="DV1" s="23" t="s">
        <v>6371</v>
      </c>
      <c r="DW1" s="23" t="s">
        <v>6372</v>
      </c>
      <c r="DX1" s="23" t="s">
        <v>6373</v>
      </c>
      <c r="DY1" s="23" t="s">
        <v>6374</v>
      </c>
      <c r="DZ1" s="23" t="s">
        <v>6375</v>
      </c>
      <c r="EA1" s="23" t="s">
        <v>6376</v>
      </c>
      <c r="EB1" s="23" t="s">
        <v>6377</v>
      </c>
      <c r="EC1" s="23" t="s">
        <v>6378</v>
      </c>
      <c r="ED1" s="23" t="s">
        <v>6379</v>
      </c>
      <c r="EE1" s="23" t="s">
        <v>6380</v>
      </c>
      <c r="EF1" s="23" t="s">
        <v>6381</v>
      </c>
      <c r="EG1" s="23" t="s">
        <v>6382</v>
      </c>
      <c r="EH1" s="23" t="s">
        <v>6383</v>
      </c>
      <c r="EI1" s="23" t="s">
        <v>6384</v>
      </c>
      <c r="EJ1" s="23" t="s">
        <v>6385</v>
      </c>
      <c r="EK1" s="23" t="s">
        <v>6386</v>
      </c>
      <c r="EL1" s="23" t="s">
        <v>6387</v>
      </c>
      <c r="EM1" s="23" t="s">
        <v>6388</v>
      </c>
      <c r="EN1" s="23" t="s">
        <v>6389</v>
      </c>
      <c r="EO1" s="23" t="s">
        <v>6390</v>
      </c>
      <c r="EP1" s="23" t="s">
        <v>6391</v>
      </c>
      <c r="EQ1" s="23" t="s">
        <v>6392</v>
      </c>
      <c r="ER1" s="23" t="s">
        <v>6393</v>
      </c>
      <c r="ES1" s="23" t="s">
        <v>6394</v>
      </c>
      <c r="ET1" s="23" t="s">
        <v>6395</v>
      </c>
      <c r="EU1" s="23" t="s">
        <v>6396</v>
      </c>
      <c r="EV1" s="23" t="s">
        <v>6397</v>
      </c>
      <c r="EW1" s="23" t="s">
        <v>6398</v>
      </c>
      <c r="EX1" s="23" t="s">
        <v>6399</v>
      </c>
      <c r="EY1" s="23" t="s">
        <v>6400</v>
      </c>
      <c r="EZ1" s="23" t="s">
        <v>6401</v>
      </c>
      <c r="FA1" s="23" t="s">
        <v>6402</v>
      </c>
      <c r="FB1" s="23" t="s">
        <v>6403</v>
      </c>
      <c r="FC1" s="23" t="s">
        <v>6404</v>
      </c>
      <c r="FD1" s="23" t="s">
        <v>6405</v>
      </c>
      <c r="FE1" s="23" t="s">
        <v>6406</v>
      </c>
      <c r="FF1" s="23" t="s">
        <v>6407</v>
      </c>
      <c r="FG1" s="23" t="s">
        <v>6408</v>
      </c>
      <c r="FH1" s="23" t="s">
        <v>6409</v>
      </c>
      <c r="FI1" s="23" t="s">
        <v>6410</v>
      </c>
      <c r="FJ1" s="23" t="s">
        <v>6411</v>
      </c>
      <c r="FK1" s="23" t="s">
        <v>6412</v>
      </c>
      <c r="FL1" s="23" t="s">
        <v>6413</v>
      </c>
      <c r="FM1" s="23" t="s">
        <v>6414</v>
      </c>
      <c r="FN1" s="23" t="s">
        <v>6415</v>
      </c>
      <c r="FO1" s="23" t="s">
        <v>6416</v>
      </c>
      <c r="FP1" s="23" t="s">
        <v>6417</v>
      </c>
      <c r="FQ1" s="23" t="s">
        <v>6418</v>
      </c>
      <c r="FR1" s="23" t="s">
        <v>6419</v>
      </c>
      <c r="FS1" s="23" t="s">
        <v>6420</v>
      </c>
      <c r="FT1" s="23" t="s">
        <v>6421</v>
      </c>
      <c r="FU1" s="23" t="s">
        <v>6422</v>
      </c>
      <c r="FV1" s="23" t="s">
        <v>6423</v>
      </c>
      <c r="FW1" s="23" t="s">
        <v>6424</v>
      </c>
      <c r="FX1" s="23" t="s">
        <v>6425</v>
      </c>
      <c r="FY1" s="23" t="s">
        <v>6426</v>
      </c>
      <c r="FZ1" s="23" t="s">
        <v>6427</v>
      </c>
      <c r="GA1" s="23" t="s">
        <v>6428</v>
      </c>
      <c r="GB1" s="23" t="s">
        <v>6429</v>
      </c>
      <c r="GC1" s="23" t="s">
        <v>6430</v>
      </c>
      <c r="GD1" s="23" t="s">
        <v>6431</v>
      </c>
      <c r="GE1" s="23" t="s">
        <v>6432</v>
      </c>
      <c r="GF1" s="23" t="s">
        <v>6433</v>
      </c>
      <c r="GG1" s="23" t="s">
        <v>6434</v>
      </c>
      <c r="GH1" s="23" t="s">
        <v>6435</v>
      </c>
      <c r="GI1" s="23" t="s">
        <v>6436</v>
      </c>
      <c r="GJ1" s="23" t="s">
        <v>6437</v>
      </c>
      <c r="GK1" s="23" t="s">
        <v>6438</v>
      </c>
    </row>
    <row r="2" spans="1:193" ht="14.4" thickBot="1" x14ac:dyDescent="0.35">
      <c r="A2" s="20"/>
      <c r="B2" s="20"/>
      <c r="C2" s="20"/>
      <c r="D2" s="21" t="s">
        <v>9</v>
      </c>
      <c r="E2" s="24" t="s">
        <v>461</v>
      </c>
      <c r="F2" s="23" t="s">
        <v>469</v>
      </c>
      <c r="G2" s="23" t="s">
        <v>1646</v>
      </c>
      <c r="H2" s="23" t="s">
        <v>473</v>
      </c>
      <c r="I2" s="23" t="s">
        <v>477</v>
      </c>
      <c r="J2" s="23" t="s">
        <v>1405</v>
      </c>
      <c r="K2" s="23" t="s">
        <v>743</v>
      </c>
      <c r="L2" s="23" t="s">
        <v>1522</v>
      </c>
      <c r="M2" s="23" t="s">
        <v>2185</v>
      </c>
      <c r="N2" s="23" t="s">
        <v>1409</v>
      </c>
      <c r="O2" s="23" t="s">
        <v>1413</v>
      </c>
      <c r="P2" s="23" t="s">
        <v>409</v>
      </c>
      <c r="Q2" s="23" t="s">
        <v>425</v>
      </c>
      <c r="R2" s="23" t="s">
        <v>2139</v>
      </c>
      <c r="S2" s="23" t="s">
        <v>433</v>
      </c>
      <c r="T2" s="23" t="s">
        <v>445</v>
      </c>
      <c r="U2" s="23" t="s">
        <v>450</v>
      </c>
      <c r="V2" s="23" t="s">
        <v>1380</v>
      </c>
      <c r="W2" s="23" t="s">
        <v>2160</v>
      </c>
      <c r="X2" s="23" t="s">
        <v>3809</v>
      </c>
      <c r="Y2" s="23" t="s">
        <v>456</v>
      </c>
      <c r="Z2" s="23" t="s">
        <v>3639</v>
      </c>
      <c r="AA2" s="23" t="s">
        <v>735</v>
      </c>
      <c r="AB2" s="23" t="s">
        <v>1640</v>
      </c>
      <c r="AC2" s="23" t="s">
        <v>371</v>
      </c>
      <c r="AD2" s="23" t="s">
        <v>749</v>
      </c>
      <c r="AE2" s="23" t="s">
        <v>1314</v>
      </c>
      <c r="AF2" s="23" t="s">
        <v>399</v>
      </c>
      <c r="AG2" s="23" t="s">
        <v>404</v>
      </c>
      <c r="AH2" s="23" t="s">
        <v>767</v>
      </c>
      <c r="AI2" s="23" t="s">
        <v>1323</v>
      </c>
      <c r="AJ2" s="23" t="s">
        <v>555</v>
      </c>
      <c r="AK2" s="23" t="s">
        <v>771</v>
      </c>
      <c r="AL2" s="23" t="s">
        <v>3805</v>
      </c>
      <c r="AM2" s="23" t="s">
        <v>1859</v>
      </c>
      <c r="AN2" s="23" t="s">
        <v>3811</v>
      </c>
      <c r="AO2" s="23" t="s">
        <v>479</v>
      </c>
      <c r="AP2" s="23" t="s">
        <v>1914</v>
      </c>
      <c r="AQ2" s="23" t="s">
        <v>776</v>
      </c>
      <c r="AR2" s="23" t="s">
        <v>667</v>
      </c>
      <c r="AS2" s="23" t="s">
        <v>1628</v>
      </c>
      <c r="AT2" s="23" t="s">
        <v>783</v>
      </c>
      <c r="AU2" s="23" t="s">
        <v>728</v>
      </c>
      <c r="AV2" s="23" t="s">
        <v>1634</v>
      </c>
      <c r="AW2" s="23" t="s">
        <v>546</v>
      </c>
      <c r="AX2" s="23" t="s">
        <v>2224</v>
      </c>
      <c r="AY2" s="23" t="s">
        <v>2752</v>
      </c>
      <c r="AZ2" s="23" t="s">
        <v>550</v>
      </c>
      <c r="BA2" s="23" t="s">
        <v>1552</v>
      </c>
      <c r="BB2" s="23" t="s">
        <v>797</v>
      </c>
      <c r="BC2" s="23" t="s">
        <v>610</v>
      </c>
      <c r="BD2" s="23" t="s">
        <v>805</v>
      </c>
      <c r="BE2" s="23" t="s">
        <v>614</v>
      </c>
      <c r="BF2" s="23" t="s">
        <v>962</v>
      </c>
      <c r="BG2" s="23" t="s">
        <v>3801</v>
      </c>
      <c r="BH2" s="23" t="s">
        <v>506</v>
      </c>
      <c r="BI2" s="23" t="s">
        <v>522</v>
      </c>
      <c r="BJ2" s="23" t="s">
        <v>811</v>
      </c>
      <c r="BK2" s="23" t="s">
        <v>1668</v>
      </c>
      <c r="BL2" s="23" t="s">
        <v>815</v>
      </c>
      <c r="BM2" s="23" t="s">
        <v>526</v>
      </c>
      <c r="BN2" s="23" t="s">
        <v>1477</v>
      </c>
      <c r="BO2" s="23" t="s">
        <v>1318</v>
      </c>
      <c r="BP2" s="23" t="s">
        <v>541</v>
      </c>
      <c r="BQ2" s="23" t="s">
        <v>1484</v>
      </c>
      <c r="BR2" s="23" t="s">
        <v>1548</v>
      </c>
      <c r="BS2" s="23" t="s">
        <v>354</v>
      </c>
      <c r="BT2" s="23" t="s">
        <v>362</v>
      </c>
      <c r="BU2" s="23" t="s">
        <v>1123</v>
      </c>
      <c r="BV2" s="23" t="s">
        <v>1446</v>
      </c>
      <c r="BW2" s="23" t="s">
        <v>1450</v>
      </c>
      <c r="BX2" s="23" t="s">
        <v>496</v>
      </c>
      <c r="BY2" s="23" t="s">
        <v>501</v>
      </c>
      <c r="BZ2" s="23" t="s">
        <v>2344</v>
      </c>
      <c r="CA2" s="23" t="s">
        <v>588</v>
      </c>
      <c r="CB2" s="23" t="s">
        <v>2405</v>
      </c>
      <c r="CC2" s="23" t="s">
        <v>4461</v>
      </c>
      <c r="CD2" s="23" t="s">
        <v>252</v>
      </c>
      <c r="CE2" s="23" t="s">
        <v>323</v>
      </c>
      <c r="CF2" s="23" t="s">
        <v>3521</v>
      </c>
      <c r="CG2" s="23" t="s">
        <v>4217</v>
      </c>
      <c r="CH2" s="23" t="s">
        <v>2765</v>
      </c>
      <c r="CI2" s="23" t="s">
        <v>827</v>
      </c>
      <c r="CJ2" s="23" t="s">
        <v>2069</v>
      </c>
      <c r="CK2" s="23" t="s">
        <v>328</v>
      </c>
      <c r="CL2" s="23" t="s">
        <v>335</v>
      </c>
      <c r="CM2" s="23" t="s">
        <v>339</v>
      </c>
      <c r="CN2" s="23" t="s">
        <v>968</v>
      </c>
      <c r="CO2" s="23" t="s">
        <v>209</v>
      </c>
      <c r="CP2" s="23" t="s">
        <v>214</v>
      </c>
      <c r="CQ2" s="23" t="s">
        <v>233</v>
      </c>
      <c r="CR2" s="23" t="s">
        <v>243</v>
      </c>
      <c r="CS2" s="23" t="s">
        <v>3161</v>
      </c>
      <c r="CT2" s="23" t="s">
        <v>247</v>
      </c>
      <c r="CU2" s="23" t="s">
        <v>4931</v>
      </c>
      <c r="CV2" s="23" t="s">
        <v>1195</v>
      </c>
      <c r="CW2" s="23" t="s">
        <v>2684</v>
      </c>
      <c r="CX2" s="23" t="s">
        <v>1710</v>
      </c>
      <c r="CY2" s="23" t="s">
        <v>4262</v>
      </c>
      <c r="CZ2" s="23" t="s">
        <v>1117</v>
      </c>
      <c r="DA2" s="23" t="s">
        <v>166</v>
      </c>
      <c r="DB2" s="23" t="s">
        <v>97</v>
      </c>
      <c r="DC2" s="23" t="s">
        <v>1127</v>
      </c>
      <c r="DD2" s="23" t="s">
        <v>1966</v>
      </c>
      <c r="DE2" s="23" t="s">
        <v>1578</v>
      </c>
      <c r="DF2" s="23" t="s">
        <v>1822</v>
      </c>
      <c r="DG2" s="23" t="s">
        <v>1131</v>
      </c>
      <c r="DH2" s="23" t="s">
        <v>177</v>
      </c>
      <c r="DI2" s="23" t="s">
        <v>2497</v>
      </c>
      <c r="DJ2" s="23" t="s">
        <v>204</v>
      </c>
      <c r="DK2" s="23" t="s">
        <v>124</v>
      </c>
      <c r="DL2" s="23" t="s">
        <v>136</v>
      </c>
      <c r="DM2" s="23" t="s">
        <v>140</v>
      </c>
      <c r="DN2" s="23" t="s">
        <v>145</v>
      </c>
      <c r="DO2" s="23" t="s">
        <v>149</v>
      </c>
      <c r="DP2" s="23" t="s">
        <v>1106</v>
      </c>
      <c r="DQ2" s="23" t="s">
        <v>154</v>
      </c>
      <c r="DR2" s="23" t="s">
        <v>4193</v>
      </c>
      <c r="DS2" s="23" t="s">
        <v>1714</v>
      </c>
      <c r="DT2" s="23" t="s">
        <v>159</v>
      </c>
      <c r="DU2" s="23" t="s">
        <v>730</v>
      </c>
      <c r="DV2" s="23" t="s">
        <v>1923</v>
      </c>
      <c r="DW2" s="23" t="s">
        <v>107</v>
      </c>
      <c r="DX2" s="23" t="s">
        <v>1088</v>
      </c>
      <c r="DY2" s="23" t="s">
        <v>5174</v>
      </c>
      <c r="DZ2" s="23" t="s">
        <v>2578</v>
      </c>
      <c r="EA2" s="23" t="s">
        <v>112</v>
      </c>
      <c r="EB2" s="23" t="s">
        <v>2412</v>
      </c>
      <c r="EC2" s="23" t="s">
        <v>1929</v>
      </c>
      <c r="ED2" s="23" t="s">
        <v>118</v>
      </c>
      <c r="EE2" s="23" t="s">
        <v>1933</v>
      </c>
      <c r="EF2" s="23" t="s">
        <v>832</v>
      </c>
      <c r="EG2" s="23" t="s">
        <v>65</v>
      </c>
      <c r="EH2" s="23" t="s">
        <v>70</v>
      </c>
      <c r="EI2" s="23" t="s">
        <v>76</v>
      </c>
      <c r="EJ2" s="23" t="s">
        <v>80</v>
      </c>
      <c r="EK2" s="23" t="s">
        <v>85</v>
      </c>
      <c r="EL2" s="23" t="s">
        <v>838</v>
      </c>
      <c r="EM2" s="23" t="s">
        <v>102</v>
      </c>
      <c r="EN2" s="23" t="s">
        <v>846</v>
      </c>
      <c r="EO2" s="23" t="s">
        <v>1078</v>
      </c>
      <c r="EP2" s="23" t="s">
        <v>188</v>
      </c>
      <c r="EQ2" s="23" t="s">
        <v>1082</v>
      </c>
      <c r="ER2" s="23" t="s">
        <v>1040</v>
      </c>
      <c r="ES2" s="23" t="s">
        <v>40</v>
      </c>
      <c r="ET2" s="23" t="s">
        <v>3333</v>
      </c>
      <c r="EU2" s="23" t="s">
        <v>46</v>
      </c>
      <c r="EV2" s="23" t="s">
        <v>1048</v>
      </c>
      <c r="EW2" s="23" t="s">
        <v>1732</v>
      </c>
      <c r="EX2" s="23" t="s">
        <v>52</v>
      </c>
      <c r="EY2" s="23" t="s">
        <v>57</v>
      </c>
      <c r="EZ2" s="23" t="s">
        <v>850</v>
      </c>
      <c r="FA2" s="23" t="s">
        <v>2558</v>
      </c>
      <c r="FB2" s="23" t="s">
        <v>1053</v>
      </c>
      <c r="FC2" s="23" t="s">
        <v>1020</v>
      </c>
      <c r="FD2" s="23" t="s">
        <v>3315</v>
      </c>
      <c r="FE2" s="23" t="s">
        <v>973</v>
      </c>
      <c r="FF2" s="23" t="s">
        <v>2538</v>
      </c>
      <c r="FG2" s="23" t="s">
        <v>3309</v>
      </c>
      <c r="FH2" s="23" t="s">
        <v>1028</v>
      </c>
      <c r="FI2" s="23" t="s">
        <v>2542</v>
      </c>
      <c r="FJ2" s="23" t="s">
        <v>855</v>
      </c>
      <c r="FK2" s="23" t="s">
        <v>1032</v>
      </c>
      <c r="FL2" s="23" t="s">
        <v>21</v>
      </c>
      <c r="FM2" s="23" t="s">
        <v>859</v>
      </c>
      <c r="FN2" s="23" t="s">
        <v>480</v>
      </c>
      <c r="FO2" s="23" t="s">
        <v>1423</v>
      </c>
      <c r="FP2" s="23" t="s">
        <v>863</v>
      </c>
      <c r="FQ2" s="23" t="s">
        <v>1429</v>
      </c>
      <c r="FR2" s="23" t="s">
        <v>1433</v>
      </c>
      <c r="FS2" s="23" t="s">
        <v>491</v>
      </c>
      <c r="FT2" s="23" t="s">
        <v>3178</v>
      </c>
      <c r="FU2" s="23" t="s">
        <v>1437</v>
      </c>
      <c r="FV2" s="23" t="s">
        <v>1441</v>
      </c>
      <c r="FW2" s="23" t="s">
        <v>2515</v>
      </c>
      <c r="FX2" s="23" t="s">
        <v>3272</v>
      </c>
      <c r="FY2" s="23" t="s">
        <v>886</v>
      </c>
      <c r="FZ2" s="23" t="s">
        <v>882</v>
      </c>
      <c r="GA2" s="23" t="s">
        <v>979</v>
      </c>
      <c r="GB2" s="23" t="s">
        <v>1007</v>
      </c>
      <c r="GC2" s="23" t="s">
        <v>3292</v>
      </c>
      <c r="GD2" s="23" t="s">
        <v>4098</v>
      </c>
      <c r="GE2" s="23" t="s">
        <v>4106</v>
      </c>
      <c r="GF2" s="23" t="s">
        <v>932</v>
      </c>
      <c r="GG2" s="23" t="s">
        <v>3297</v>
      </c>
      <c r="GH2" s="23" t="s">
        <v>1726</v>
      </c>
      <c r="GI2" s="23" t="s">
        <v>997</v>
      </c>
      <c r="GJ2" s="23" t="s">
        <v>1883</v>
      </c>
      <c r="GK2" s="23" t="s">
        <v>2524</v>
      </c>
    </row>
    <row r="3" spans="1:193" ht="14.4" thickBot="1" x14ac:dyDescent="0.35">
      <c r="A3" s="11" t="s">
        <v>6249</v>
      </c>
      <c r="B3" s="12" t="s">
        <v>1</v>
      </c>
      <c r="C3" s="12" t="s">
        <v>9</v>
      </c>
      <c r="D3" s="21" t="s">
        <v>1</v>
      </c>
      <c r="E3" s="16" t="s">
        <v>462</v>
      </c>
      <c r="F3" s="16" t="s">
        <v>470</v>
      </c>
      <c r="G3" s="16" t="s">
        <v>1647</v>
      </c>
      <c r="H3" s="16" t="s">
        <v>474</v>
      </c>
      <c r="I3" s="16" t="s">
        <v>478</v>
      </c>
      <c r="J3" s="16" t="s">
        <v>1406</v>
      </c>
      <c r="K3" s="16" t="s">
        <v>744</v>
      </c>
      <c r="L3" s="16" t="s">
        <v>1523</v>
      </c>
      <c r="M3" s="16" t="s">
        <v>2186</v>
      </c>
      <c r="N3" s="16" t="s">
        <v>1410</v>
      </c>
      <c r="O3" s="16" t="s">
        <v>1414</v>
      </c>
      <c r="P3" s="16" t="s">
        <v>410</v>
      </c>
      <c r="Q3" s="16" t="s">
        <v>426</v>
      </c>
      <c r="R3" s="16" t="s">
        <v>2140</v>
      </c>
      <c r="S3" s="16" t="s">
        <v>434</v>
      </c>
      <c r="T3" s="16" t="s">
        <v>446</v>
      </c>
      <c r="U3" s="16" t="s">
        <v>451</v>
      </c>
      <c r="V3" s="16" t="s">
        <v>1381</v>
      </c>
      <c r="W3" s="16" t="s">
        <v>2161</v>
      </c>
      <c r="X3" s="16" t="s">
        <v>5303</v>
      </c>
      <c r="Y3" s="16" t="s">
        <v>457</v>
      </c>
      <c r="Z3" s="16" t="s">
        <v>3640</v>
      </c>
      <c r="AA3" s="16" t="s">
        <v>736</v>
      </c>
      <c r="AB3" s="16" t="s">
        <v>1641</v>
      </c>
      <c r="AC3" s="16" t="s">
        <v>372</v>
      </c>
      <c r="AD3" s="16" t="s">
        <v>750</v>
      </c>
      <c r="AE3" s="16" t="s">
        <v>1315</v>
      </c>
      <c r="AF3" s="16" t="s">
        <v>400</v>
      </c>
      <c r="AG3" s="16" t="s">
        <v>405</v>
      </c>
      <c r="AH3" s="16" t="s">
        <v>768</v>
      </c>
      <c r="AI3" s="16" t="s">
        <v>1324</v>
      </c>
      <c r="AJ3" s="16" t="s">
        <v>556</v>
      </c>
      <c r="AK3" s="16" t="s">
        <v>772</v>
      </c>
      <c r="AL3" s="16" t="s">
        <v>3806</v>
      </c>
      <c r="AM3" s="16" t="s">
        <v>1860</v>
      </c>
      <c r="AN3" s="16" t="s">
        <v>3812</v>
      </c>
      <c r="AO3" s="16" t="s">
        <v>663</v>
      </c>
      <c r="AP3" s="16" t="s">
        <v>3818</v>
      </c>
      <c r="AQ3" s="16" t="s">
        <v>777</v>
      </c>
      <c r="AR3" s="16" t="s">
        <v>668</v>
      </c>
      <c r="AS3" s="16" t="s">
        <v>1629</v>
      </c>
      <c r="AT3" s="16" t="s">
        <v>784</v>
      </c>
      <c r="AU3" s="16" t="s">
        <v>729</v>
      </c>
      <c r="AV3" s="16" t="s">
        <v>1635</v>
      </c>
      <c r="AW3" s="16" t="s">
        <v>547</v>
      </c>
      <c r="AX3" s="16" t="s">
        <v>2225</v>
      </c>
      <c r="AY3" s="16" t="s">
        <v>3754</v>
      </c>
      <c r="AZ3" s="16" t="s">
        <v>551</v>
      </c>
      <c r="BA3" s="16" t="s">
        <v>1553</v>
      </c>
      <c r="BB3" s="16" t="s">
        <v>798</v>
      </c>
      <c r="BC3" s="16" t="s">
        <v>611</v>
      </c>
      <c r="BD3" s="16" t="s">
        <v>806</v>
      </c>
      <c r="BE3" s="16" t="s">
        <v>615</v>
      </c>
      <c r="BF3" s="16" t="s">
        <v>963</v>
      </c>
      <c r="BG3" s="16" t="s">
        <v>3802</v>
      </c>
      <c r="BH3" s="16" t="s">
        <v>507</v>
      </c>
      <c r="BI3" s="16" t="s">
        <v>523</v>
      </c>
      <c r="BJ3" s="16" t="s">
        <v>812</v>
      </c>
      <c r="BK3" s="16" t="s">
        <v>2210</v>
      </c>
      <c r="BL3" s="16" t="s">
        <v>816</v>
      </c>
      <c r="BM3" s="16" t="s">
        <v>527</v>
      </c>
      <c r="BN3" s="16" t="s">
        <v>1478</v>
      </c>
      <c r="BO3" s="16" t="s">
        <v>2400</v>
      </c>
      <c r="BP3" s="16" t="s">
        <v>542</v>
      </c>
      <c r="BQ3" s="16" t="s">
        <v>1485</v>
      </c>
      <c r="BR3" s="16" t="s">
        <v>1549</v>
      </c>
      <c r="BS3" s="16" t="s">
        <v>355</v>
      </c>
      <c r="BT3" s="16" t="s">
        <v>363</v>
      </c>
      <c r="BU3" s="16" t="s">
        <v>2933</v>
      </c>
      <c r="BV3" s="16" t="s">
        <v>1447</v>
      </c>
      <c r="BW3" s="16" t="s">
        <v>1451</v>
      </c>
      <c r="BX3" s="16" t="s">
        <v>497</v>
      </c>
      <c r="BY3" s="16" t="s">
        <v>502</v>
      </c>
      <c r="BZ3" s="16" t="s">
        <v>3680</v>
      </c>
      <c r="CA3" s="16" t="s">
        <v>589</v>
      </c>
      <c r="CB3" s="16" t="s">
        <v>2406</v>
      </c>
      <c r="CC3" s="16" t="s">
        <v>4462</v>
      </c>
      <c r="CD3" s="16" t="s">
        <v>253</v>
      </c>
      <c r="CE3" s="16" t="s">
        <v>324</v>
      </c>
      <c r="CF3" s="16" t="s">
        <v>3522</v>
      </c>
      <c r="CG3" s="16" t="s">
        <v>5703</v>
      </c>
      <c r="CH3" s="16" t="s">
        <v>2766</v>
      </c>
      <c r="CI3" s="16" t="s">
        <v>828</v>
      </c>
      <c r="CJ3" s="16" t="s">
        <v>2070</v>
      </c>
      <c r="CK3" s="16" t="s">
        <v>329</v>
      </c>
      <c r="CL3" s="16" t="s">
        <v>336</v>
      </c>
      <c r="CM3" s="16" t="s">
        <v>340</v>
      </c>
      <c r="CN3" s="16" t="s">
        <v>969</v>
      </c>
      <c r="CO3" s="16" t="s">
        <v>210</v>
      </c>
      <c r="CP3" s="16" t="s">
        <v>215</v>
      </c>
      <c r="CQ3" s="16" t="s">
        <v>234</v>
      </c>
      <c r="CR3" s="16" t="s">
        <v>244</v>
      </c>
      <c r="CS3" s="16" t="s">
        <v>3162</v>
      </c>
      <c r="CT3" s="16" t="s">
        <v>248</v>
      </c>
      <c r="CU3" s="16" t="s">
        <v>4932</v>
      </c>
      <c r="CV3" s="16" t="s">
        <v>1196</v>
      </c>
      <c r="CW3" s="16" t="s">
        <v>2685</v>
      </c>
      <c r="CX3" s="16" t="s">
        <v>1711</v>
      </c>
      <c r="CY3" s="16" t="s">
        <v>4263</v>
      </c>
      <c r="CZ3" s="16" t="s">
        <v>1118</v>
      </c>
      <c r="DA3" s="16" t="s">
        <v>167</v>
      </c>
      <c r="DB3" s="16" t="s">
        <v>171</v>
      </c>
      <c r="DC3" s="16" t="s">
        <v>1128</v>
      </c>
      <c r="DD3" s="16" t="s">
        <v>1967</v>
      </c>
      <c r="DE3" s="16" t="s">
        <v>2605</v>
      </c>
      <c r="DF3" s="16" t="s">
        <v>2409</v>
      </c>
      <c r="DG3" s="16" t="s">
        <v>1132</v>
      </c>
      <c r="DH3" s="16" t="s">
        <v>178</v>
      </c>
      <c r="DI3" s="16" t="s">
        <v>2498</v>
      </c>
      <c r="DJ3" s="16" t="s">
        <v>205</v>
      </c>
      <c r="DK3" s="16" t="s">
        <v>125</v>
      </c>
      <c r="DL3" s="16" t="s">
        <v>137</v>
      </c>
      <c r="DM3" s="16" t="s">
        <v>141</v>
      </c>
      <c r="DN3" s="16" t="s">
        <v>146</v>
      </c>
      <c r="DO3" s="16" t="s">
        <v>150</v>
      </c>
      <c r="DP3" s="16" t="s">
        <v>1107</v>
      </c>
      <c r="DQ3" s="16" t="s">
        <v>155</v>
      </c>
      <c r="DR3" s="16" t="s">
        <v>4194</v>
      </c>
      <c r="DS3" s="16" t="s">
        <v>1715</v>
      </c>
      <c r="DT3" s="16" t="s">
        <v>160</v>
      </c>
      <c r="DU3" s="16" t="s">
        <v>1114</v>
      </c>
      <c r="DV3" s="16" t="s">
        <v>1924</v>
      </c>
      <c r="DW3" s="16" t="s">
        <v>108</v>
      </c>
      <c r="DX3" s="16" t="s">
        <v>1089</v>
      </c>
      <c r="DY3" s="16" t="s">
        <v>5378</v>
      </c>
      <c r="DZ3" s="16" t="s">
        <v>2579</v>
      </c>
      <c r="EA3" s="16" t="s">
        <v>113</v>
      </c>
      <c r="EB3" s="16" t="s">
        <v>2413</v>
      </c>
      <c r="EC3" s="16" t="s">
        <v>1930</v>
      </c>
      <c r="ED3" s="16" t="s">
        <v>119</v>
      </c>
      <c r="EE3" s="16" t="s">
        <v>1934</v>
      </c>
      <c r="EF3" s="16" t="s">
        <v>833</v>
      </c>
      <c r="EG3" s="16" t="s">
        <v>66</v>
      </c>
      <c r="EH3" s="16" t="s">
        <v>71</v>
      </c>
      <c r="EI3" s="16" t="s">
        <v>77</v>
      </c>
      <c r="EJ3" s="16" t="s">
        <v>81</v>
      </c>
      <c r="EK3" s="16" t="s">
        <v>86</v>
      </c>
      <c r="EL3" s="16" t="s">
        <v>839</v>
      </c>
      <c r="EM3" s="16" t="s">
        <v>103</v>
      </c>
      <c r="EN3" s="4" t="s">
        <v>847</v>
      </c>
      <c r="EO3" s="16" t="s">
        <v>1079</v>
      </c>
      <c r="EP3" s="16" t="s">
        <v>1916</v>
      </c>
      <c r="EQ3" s="16" t="s">
        <v>1083</v>
      </c>
      <c r="ER3" s="16" t="s">
        <v>1041</v>
      </c>
      <c r="ES3" s="16" t="s">
        <v>41</v>
      </c>
      <c r="ET3" s="16" t="s">
        <v>3334</v>
      </c>
      <c r="EU3" s="16" t="s">
        <v>47</v>
      </c>
      <c r="EV3" s="16" t="s">
        <v>1049</v>
      </c>
      <c r="EW3" s="16" t="s">
        <v>1733</v>
      </c>
      <c r="EX3" s="16" t="s">
        <v>53</v>
      </c>
      <c r="EY3" s="16" t="s">
        <v>58</v>
      </c>
      <c r="EZ3" s="16" t="s">
        <v>851</v>
      </c>
      <c r="FA3" s="16" t="s">
        <v>2559</v>
      </c>
      <c r="FB3" s="16" t="s">
        <v>1054</v>
      </c>
      <c r="FC3" s="16" t="s">
        <v>1021</v>
      </c>
      <c r="FD3" s="16" t="s">
        <v>3316</v>
      </c>
      <c r="FE3" s="16" t="s">
        <v>974</v>
      </c>
      <c r="FF3" s="16" t="s">
        <v>2539</v>
      </c>
      <c r="FG3" s="16" t="s">
        <v>3310</v>
      </c>
      <c r="FH3" s="4" t="s">
        <v>1029</v>
      </c>
      <c r="FI3" s="16" t="s">
        <v>2543</v>
      </c>
      <c r="FJ3" s="16" t="s">
        <v>856</v>
      </c>
      <c r="FK3" s="16" t="s">
        <v>1033</v>
      </c>
      <c r="FL3" s="16" t="s">
        <v>22</v>
      </c>
      <c r="FM3" s="16" t="s">
        <v>860</v>
      </c>
      <c r="FN3" s="16" t="s">
        <v>481</v>
      </c>
      <c r="FO3" s="16" t="s">
        <v>1424</v>
      </c>
      <c r="FP3" s="16" t="s">
        <v>864</v>
      </c>
      <c r="FQ3" s="16" t="s">
        <v>1430</v>
      </c>
      <c r="FR3" s="16" t="s">
        <v>1434</v>
      </c>
      <c r="FS3" s="16" t="s">
        <v>492</v>
      </c>
      <c r="FT3" s="16" t="s">
        <v>3179</v>
      </c>
      <c r="FU3" s="16" t="s">
        <v>1438</v>
      </c>
      <c r="FV3" s="16" t="s">
        <v>1442</v>
      </c>
      <c r="FW3" s="16" t="s">
        <v>2516</v>
      </c>
      <c r="FX3" s="16" t="s">
        <v>3273</v>
      </c>
      <c r="FY3" s="16" t="s">
        <v>887</v>
      </c>
      <c r="FZ3" s="16" t="s">
        <v>883</v>
      </c>
      <c r="GA3" s="16" t="s">
        <v>980</v>
      </c>
      <c r="GB3" s="16" t="s">
        <v>1008</v>
      </c>
      <c r="GC3" s="16" t="s">
        <v>3293</v>
      </c>
      <c r="GD3" s="16" t="s">
        <v>4099</v>
      </c>
      <c r="GE3" s="16" t="s">
        <v>4107</v>
      </c>
      <c r="GF3" s="16" t="s">
        <v>1002</v>
      </c>
      <c r="GG3" s="16" t="s">
        <v>3298</v>
      </c>
      <c r="GH3" s="16" t="s">
        <v>4102</v>
      </c>
      <c r="GI3" s="16" t="s">
        <v>998</v>
      </c>
      <c r="GJ3" s="16" t="s">
        <v>1884</v>
      </c>
      <c r="GK3" s="16" t="s">
        <v>2525</v>
      </c>
    </row>
    <row r="4" spans="1:193" ht="14.4" thickBot="1" x14ac:dyDescent="0.35">
      <c r="A4" s="10" t="s">
        <v>6250</v>
      </c>
      <c r="B4" s="4" t="s">
        <v>462</v>
      </c>
      <c r="C4" s="4" t="s">
        <v>461</v>
      </c>
      <c r="D4" s="18"/>
      <c r="E4" s="13" t="s">
        <v>6248</v>
      </c>
      <c r="F4" s="13" t="s">
        <v>6248</v>
      </c>
      <c r="G4" s="13" t="s">
        <v>6248</v>
      </c>
      <c r="H4" s="13" t="s">
        <v>6248</v>
      </c>
      <c r="I4" s="13" t="s">
        <v>6248</v>
      </c>
      <c r="J4" s="13" t="s">
        <v>6248</v>
      </c>
      <c r="K4" s="13" t="s">
        <v>6248</v>
      </c>
      <c r="L4" s="13" t="s">
        <v>6248</v>
      </c>
      <c r="M4" s="13" t="s">
        <v>6248</v>
      </c>
      <c r="N4" s="13" t="s">
        <v>6248</v>
      </c>
      <c r="O4" s="13" t="s">
        <v>6248</v>
      </c>
      <c r="P4" s="13" t="s">
        <v>6248</v>
      </c>
      <c r="Q4" s="13" t="s">
        <v>6248</v>
      </c>
      <c r="R4" s="13" t="s">
        <v>6248</v>
      </c>
      <c r="S4" s="13" t="s">
        <v>6248</v>
      </c>
      <c r="T4" s="13" t="s">
        <v>6248</v>
      </c>
      <c r="U4" s="13" t="s">
        <v>6248</v>
      </c>
      <c r="V4" s="13" t="s">
        <v>6248</v>
      </c>
      <c r="W4" s="13" t="s">
        <v>6248</v>
      </c>
      <c r="X4" s="13" t="s">
        <v>6248</v>
      </c>
      <c r="Y4" s="13" t="s">
        <v>6248</v>
      </c>
      <c r="Z4" s="13" t="s">
        <v>6248</v>
      </c>
      <c r="AA4" s="13" t="s">
        <v>6248</v>
      </c>
      <c r="AB4" s="13" t="s">
        <v>6248</v>
      </c>
      <c r="AC4" s="13" t="s">
        <v>6248</v>
      </c>
      <c r="AD4" s="13" t="s">
        <v>6248</v>
      </c>
      <c r="AE4" s="13" t="s">
        <v>6248</v>
      </c>
      <c r="AF4" s="13" t="s">
        <v>6248</v>
      </c>
      <c r="AG4" s="13" t="s">
        <v>6248</v>
      </c>
      <c r="AH4" s="13" t="s">
        <v>6248</v>
      </c>
      <c r="AI4" s="13" t="s">
        <v>6248</v>
      </c>
      <c r="AJ4" s="13" t="s">
        <v>6248</v>
      </c>
      <c r="AK4" s="13" t="s">
        <v>6248</v>
      </c>
      <c r="AL4" s="13" t="s">
        <v>6248</v>
      </c>
      <c r="AM4" s="13" t="s">
        <v>6248</v>
      </c>
      <c r="AN4" s="13" t="s">
        <v>6248</v>
      </c>
      <c r="AO4" s="13" t="s">
        <v>6248</v>
      </c>
      <c r="AP4" s="13" t="s">
        <v>6248</v>
      </c>
      <c r="AQ4" s="13" t="s">
        <v>6248</v>
      </c>
      <c r="AR4" s="13" t="s">
        <v>6248</v>
      </c>
      <c r="AS4" s="13" t="s">
        <v>6248</v>
      </c>
      <c r="AT4" s="13" t="s">
        <v>6248</v>
      </c>
      <c r="AU4" s="13" t="s">
        <v>6248</v>
      </c>
      <c r="AV4" s="13" t="s">
        <v>6248</v>
      </c>
      <c r="AW4" s="13" t="s">
        <v>6248</v>
      </c>
      <c r="AX4" s="13" t="s">
        <v>6248</v>
      </c>
      <c r="AY4" s="13" t="s">
        <v>6248</v>
      </c>
      <c r="AZ4" s="13" t="s">
        <v>6248</v>
      </c>
      <c r="BA4" s="13" t="s">
        <v>6248</v>
      </c>
      <c r="BB4" s="13" t="s">
        <v>6248</v>
      </c>
      <c r="BC4" s="13" t="s">
        <v>6248</v>
      </c>
      <c r="BD4" s="13" t="s">
        <v>6248</v>
      </c>
      <c r="BE4" s="13" t="s">
        <v>6248</v>
      </c>
      <c r="BF4" s="13" t="s">
        <v>6248</v>
      </c>
      <c r="BG4" s="13" t="s">
        <v>6248</v>
      </c>
      <c r="BH4" s="13" t="s">
        <v>6248</v>
      </c>
      <c r="BI4" s="13" t="s">
        <v>6248</v>
      </c>
      <c r="BJ4" s="13" t="s">
        <v>6248</v>
      </c>
      <c r="BK4" s="13" t="s">
        <v>6248</v>
      </c>
      <c r="BL4" s="13" t="s">
        <v>6248</v>
      </c>
      <c r="BM4" s="13" t="s">
        <v>6248</v>
      </c>
      <c r="BN4" s="13" t="s">
        <v>6248</v>
      </c>
      <c r="BO4" s="13" t="s">
        <v>6248</v>
      </c>
      <c r="BP4" s="13" t="s">
        <v>6248</v>
      </c>
      <c r="BQ4" s="13" t="s">
        <v>6248</v>
      </c>
      <c r="BR4" s="13" t="s">
        <v>6248</v>
      </c>
      <c r="BS4" s="13" t="s">
        <v>6248</v>
      </c>
      <c r="BT4" s="13" t="s">
        <v>6248</v>
      </c>
      <c r="BU4" s="13" t="s">
        <v>6248</v>
      </c>
      <c r="BV4" s="13" t="s">
        <v>6248</v>
      </c>
      <c r="BW4" s="13" t="s">
        <v>6248</v>
      </c>
      <c r="BX4" s="13" t="s">
        <v>6248</v>
      </c>
      <c r="BY4" s="13" t="s">
        <v>6248</v>
      </c>
      <c r="BZ4" s="13" t="s">
        <v>6248</v>
      </c>
      <c r="CA4" s="13" t="s">
        <v>6248</v>
      </c>
      <c r="CB4" s="13" t="s">
        <v>6248</v>
      </c>
      <c r="CC4" s="13" t="s">
        <v>6248</v>
      </c>
      <c r="CD4" s="13" t="s">
        <v>6248</v>
      </c>
      <c r="CE4" s="13" t="s">
        <v>6248</v>
      </c>
      <c r="CF4" s="13" t="s">
        <v>6248</v>
      </c>
      <c r="CG4" s="13" t="s">
        <v>6248</v>
      </c>
      <c r="CH4" s="13" t="s">
        <v>6248</v>
      </c>
      <c r="CI4" s="13" t="s">
        <v>6248</v>
      </c>
      <c r="CJ4" s="13" t="s">
        <v>6248</v>
      </c>
      <c r="CK4" s="13" t="s">
        <v>6248</v>
      </c>
      <c r="CL4" s="13" t="s">
        <v>6248</v>
      </c>
      <c r="CM4" s="13" t="s">
        <v>6248</v>
      </c>
      <c r="CN4" s="13" t="s">
        <v>6248</v>
      </c>
      <c r="CO4" s="13" t="s">
        <v>6248</v>
      </c>
      <c r="CP4" s="13" t="s">
        <v>6248</v>
      </c>
      <c r="CQ4" s="13" t="s">
        <v>6248</v>
      </c>
      <c r="CR4" s="13" t="s">
        <v>6248</v>
      </c>
      <c r="CS4" s="13" t="s">
        <v>6248</v>
      </c>
      <c r="CT4" s="13" t="s">
        <v>6248</v>
      </c>
      <c r="CU4" s="13" t="s">
        <v>6248</v>
      </c>
      <c r="CV4" s="13" t="s">
        <v>6248</v>
      </c>
      <c r="CW4" s="13" t="s">
        <v>6248</v>
      </c>
      <c r="CX4" s="13" t="s">
        <v>6248</v>
      </c>
      <c r="CY4" s="13" t="s">
        <v>6248</v>
      </c>
      <c r="CZ4" s="13" t="s">
        <v>6248</v>
      </c>
      <c r="DA4" s="13" t="s">
        <v>6248</v>
      </c>
      <c r="DB4" s="13" t="s">
        <v>6248</v>
      </c>
      <c r="DC4" s="13" t="s">
        <v>6248</v>
      </c>
      <c r="DD4" s="13" t="s">
        <v>6248</v>
      </c>
      <c r="DE4" s="13" t="s">
        <v>6248</v>
      </c>
      <c r="DF4" s="13" t="s">
        <v>6248</v>
      </c>
      <c r="DG4" s="13" t="s">
        <v>6248</v>
      </c>
      <c r="DH4" s="13" t="s">
        <v>6248</v>
      </c>
      <c r="DI4" s="13" t="s">
        <v>6248</v>
      </c>
      <c r="DJ4" s="13" t="s">
        <v>6248</v>
      </c>
      <c r="DK4" s="13" t="s">
        <v>6248</v>
      </c>
      <c r="DL4" s="13" t="s">
        <v>6248</v>
      </c>
      <c r="DM4" s="13" t="s">
        <v>6248</v>
      </c>
      <c r="DN4" s="13" t="s">
        <v>6248</v>
      </c>
      <c r="DO4" s="13" t="s">
        <v>6248</v>
      </c>
      <c r="DP4" s="13" t="s">
        <v>6248</v>
      </c>
      <c r="DQ4" s="13" t="s">
        <v>6248</v>
      </c>
      <c r="DR4" s="13" t="s">
        <v>6248</v>
      </c>
      <c r="DS4" s="13" t="s">
        <v>6248</v>
      </c>
      <c r="DT4" s="13" t="s">
        <v>6248</v>
      </c>
      <c r="DU4" s="13" t="s">
        <v>6248</v>
      </c>
      <c r="DV4" s="13" t="s">
        <v>6248</v>
      </c>
      <c r="DW4" s="13" t="s">
        <v>6248</v>
      </c>
      <c r="DX4" s="13" t="s">
        <v>6248</v>
      </c>
      <c r="DY4" s="13" t="s">
        <v>6248</v>
      </c>
      <c r="DZ4" s="13" t="s">
        <v>6248</v>
      </c>
      <c r="EA4" s="13" t="s">
        <v>6248</v>
      </c>
      <c r="EB4" s="13" t="s">
        <v>6248</v>
      </c>
      <c r="EC4" s="13" t="s">
        <v>6248</v>
      </c>
      <c r="ED4" s="13" t="s">
        <v>6248</v>
      </c>
      <c r="EE4" s="13" t="s">
        <v>6248</v>
      </c>
      <c r="EF4" s="13" t="s">
        <v>6248</v>
      </c>
      <c r="EG4" s="13" t="s">
        <v>6248</v>
      </c>
      <c r="EH4" s="13" t="s">
        <v>6248</v>
      </c>
      <c r="EI4" s="13" t="s">
        <v>6248</v>
      </c>
      <c r="EJ4" s="13" t="s">
        <v>6248</v>
      </c>
      <c r="EK4" s="13" t="s">
        <v>6248</v>
      </c>
      <c r="EL4" s="13" t="s">
        <v>6248</v>
      </c>
      <c r="EM4" s="13" t="s">
        <v>6248</v>
      </c>
      <c r="EN4" s="3" t="s">
        <v>6248</v>
      </c>
      <c r="EO4" s="13" t="s">
        <v>6248</v>
      </c>
      <c r="EP4" s="13" t="s">
        <v>6248</v>
      </c>
      <c r="EQ4" s="13" t="s">
        <v>6248</v>
      </c>
      <c r="ER4" s="13" t="s">
        <v>6248</v>
      </c>
      <c r="ES4" s="13" t="s">
        <v>6248</v>
      </c>
      <c r="ET4" s="13" t="s">
        <v>6248</v>
      </c>
      <c r="EU4" s="13" t="s">
        <v>6248</v>
      </c>
      <c r="EV4" s="13" t="s">
        <v>6248</v>
      </c>
      <c r="EW4" s="13" t="s">
        <v>6248</v>
      </c>
      <c r="EX4" s="13" t="s">
        <v>6248</v>
      </c>
      <c r="EY4" s="13" t="s">
        <v>6248</v>
      </c>
      <c r="EZ4" s="13" t="s">
        <v>6248</v>
      </c>
      <c r="FA4" s="13" t="s">
        <v>6248</v>
      </c>
      <c r="FB4" s="13" t="s">
        <v>6248</v>
      </c>
      <c r="FC4" s="13" t="s">
        <v>6248</v>
      </c>
      <c r="FD4" s="13" t="s">
        <v>6248</v>
      </c>
      <c r="FE4" s="13" t="s">
        <v>6248</v>
      </c>
      <c r="FF4" s="13" t="s">
        <v>6248</v>
      </c>
      <c r="FG4" s="13" t="s">
        <v>6248</v>
      </c>
      <c r="FH4" s="3" t="s">
        <v>6248</v>
      </c>
      <c r="FI4" s="13" t="s">
        <v>6248</v>
      </c>
      <c r="FJ4" s="13" t="s">
        <v>6248</v>
      </c>
      <c r="FK4" s="13" t="s">
        <v>6248</v>
      </c>
      <c r="FL4" s="13" t="s">
        <v>6248</v>
      </c>
      <c r="FM4" s="13" t="s">
        <v>6248</v>
      </c>
      <c r="FN4" s="13" t="s">
        <v>6248</v>
      </c>
      <c r="FO4" s="13" t="s">
        <v>6248</v>
      </c>
      <c r="FP4" s="13" t="s">
        <v>6248</v>
      </c>
      <c r="FQ4" s="13" t="s">
        <v>6248</v>
      </c>
      <c r="FR4" s="13" t="s">
        <v>6248</v>
      </c>
      <c r="FS4" s="13" t="s">
        <v>6248</v>
      </c>
      <c r="FT4" s="13" t="s">
        <v>6248</v>
      </c>
      <c r="FU4" s="13" t="s">
        <v>6248</v>
      </c>
      <c r="FV4" s="13" t="s">
        <v>6248</v>
      </c>
      <c r="FW4" s="13" t="s">
        <v>6248</v>
      </c>
      <c r="FX4" s="13" t="s">
        <v>6248</v>
      </c>
      <c r="FY4" s="13" t="s">
        <v>6248</v>
      </c>
      <c r="FZ4" s="13" t="s">
        <v>6248</v>
      </c>
      <c r="GA4" s="13" t="s">
        <v>6248</v>
      </c>
      <c r="GB4" s="13" t="s">
        <v>6248</v>
      </c>
      <c r="GC4" s="13" t="s">
        <v>6248</v>
      </c>
      <c r="GD4" s="13" t="s">
        <v>6248</v>
      </c>
      <c r="GE4" s="13" t="s">
        <v>6248</v>
      </c>
      <c r="GF4" s="13" t="s">
        <v>6248</v>
      </c>
      <c r="GG4" s="13" t="s">
        <v>6248</v>
      </c>
      <c r="GH4" s="13" t="s">
        <v>6248</v>
      </c>
      <c r="GI4" s="13" t="s">
        <v>6248</v>
      </c>
      <c r="GJ4" s="13" t="s">
        <v>6248</v>
      </c>
      <c r="GK4" s="13" t="s">
        <v>6248</v>
      </c>
    </row>
    <row r="5" spans="1:193" ht="14.4" thickBot="1" x14ac:dyDescent="0.35">
      <c r="A5" s="10" t="s">
        <v>6251</v>
      </c>
      <c r="B5" s="4" t="s">
        <v>470</v>
      </c>
      <c r="C5" s="4" t="s">
        <v>469</v>
      </c>
      <c r="E5" s="14" t="s">
        <v>2887</v>
      </c>
      <c r="F5" s="16" t="s">
        <v>4423</v>
      </c>
      <c r="G5" s="16" t="s">
        <v>469</v>
      </c>
      <c r="H5" s="16" t="s">
        <v>5134</v>
      </c>
      <c r="I5" s="16" t="s">
        <v>1403</v>
      </c>
      <c r="J5" s="16" t="s">
        <v>3668</v>
      </c>
      <c r="K5" s="16" t="s">
        <v>745</v>
      </c>
      <c r="L5" s="16" t="s">
        <v>4441</v>
      </c>
      <c r="M5" s="16" t="s">
        <v>2187</v>
      </c>
      <c r="N5" s="16" t="s">
        <v>4443</v>
      </c>
      <c r="O5" s="16" t="s">
        <v>2191</v>
      </c>
      <c r="P5" s="16" t="s">
        <v>2844</v>
      </c>
      <c r="Q5" s="16" t="s">
        <v>1493</v>
      </c>
      <c r="R5" s="16" t="s">
        <v>2141</v>
      </c>
      <c r="S5" s="16" t="s">
        <v>2859</v>
      </c>
      <c r="T5" s="16" t="s">
        <v>4413</v>
      </c>
      <c r="U5" s="16" t="s">
        <v>4509</v>
      </c>
      <c r="V5" s="16" t="s">
        <v>1382</v>
      </c>
      <c r="W5" s="16" t="s">
        <v>4415</v>
      </c>
      <c r="X5" s="16" t="s">
        <v>5306</v>
      </c>
      <c r="Y5" s="16" t="s">
        <v>2164</v>
      </c>
      <c r="Z5" s="16" t="s">
        <v>3641</v>
      </c>
      <c r="AA5" s="16" t="s">
        <v>737</v>
      </c>
      <c r="AB5" s="16" t="s">
        <v>1644</v>
      </c>
      <c r="AC5" s="16" t="s">
        <v>1405</v>
      </c>
      <c r="AD5" s="16" t="s">
        <v>2346</v>
      </c>
      <c r="AE5" s="16" t="s">
        <v>2830</v>
      </c>
      <c r="AF5" s="16" t="s">
        <v>3580</v>
      </c>
      <c r="AG5" s="16" t="s">
        <v>406</v>
      </c>
      <c r="AH5" s="16" t="s">
        <v>3124</v>
      </c>
      <c r="AI5" s="16" t="s">
        <v>1325</v>
      </c>
      <c r="AJ5" s="16" t="s">
        <v>5050</v>
      </c>
      <c r="AK5" s="16" t="s">
        <v>1818</v>
      </c>
      <c r="AL5" s="16" t="s">
        <v>5929</v>
      </c>
      <c r="AM5" s="16" t="s">
        <v>4706</v>
      </c>
      <c r="AN5" s="16" t="s">
        <v>3813</v>
      </c>
      <c r="AO5" s="16" t="s">
        <v>3815</v>
      </c>
      <c r="AP5" s="16" t="s">
        <v>3819</v>
      </c>
      <c r="AQ5" s="16" t="s">
        <v>4638</v>
      </c>
      <c r="AR5" s="16" t="s">
        <v>461</v>
      </c>
      <c r="AS5" s="16" t="s">
        <v>5991</v>
      </c>
      <c r="AT5" s="16" t="s">
        <v>2388</v>
      </c>
      <c r="AU5" s="16" t="s">
        <v>3889</v>
      </c>
      <c r="AV5" s="16" t="s">
        <v>2335</v>
      </c>
      <c r="AW5" s="16" t="s">
        <v>2222</v>
      </c>
      <c r="AX5" s="16" t="s">
        <v>2965</v>
      </c>
      <c r="AY5" s="16" t="s">
        <v>5174</v>
      </c>
      <c r="AZ5" s="16" t="s">
        <v>552</v>
      </c>
      <c r="BA5" s="16" t="s">
        <v>3757</v>
      </c>
      <c r="BB5" s="16" t="s">
        <v>5359</v>
      </c>
      <c r="BC5" s="16" t="s">
        <v>3765</v>
      </c>
      <c r="BD5" s="16" t="s">
        <v>5363</v>
      </c>
      <c r="BE5" s="16" t="s">
        <v>3775</v>
      </c>
      <c r="BF5" s="16" t="s">
        <v>3972</v>
      </c>
      <c r="BG5" s="16" t="s">
        <v>5250</v>
      </c>
      <c r="BH5" s="16" t="s">
        <v>520</v>
      </c>
      <c r="BI5" s="16" t="s">
        <v>524</v>
      </c>
      <c r="BJ5" s="16" t="s">
        <v>3976</v>
      </c>
      <c r="BK5" s="16" t="s">
        <v>3697</v>
      </c>
      <c r="BL5" s="16" t="s">
        <v>4072</v>
      </c>
      <c r="BM5" s="16" t="s">
        <v>3701</v>
      </c>
      <c r="BN5" s="16" t="s">
        <v>1479</v>
      </c>
      <c r="BO5" s="16" t="s">
        <v>2401</v>
      </c>
      <c r="BP5" s="16" t="s">
        <v>2219</v>
      </c>
      <c r="BQ5" s="16" t="s">
        <v>4489</v>
      </c>
      <c r="BR5" s="16" t="s">
        <v>886</v>
      </c>
      <c r="BS5" s="16" t="s">
        <v>2793</v>
      </c>
      <c r="BT5" s="16" t="s">
        <v>5021</v>
      </c>
      <c r="BU5" s="16" t="s">
        <v>2936</v>
      </c>
      <c r="BV5" s="16" t="s">
        <v>3675</v>
      </c>
      <c r="BW5" s="16" t="s">
        <v>5885</v>
      </c>
      <c r="BX5" s="16" t="s">
        <v>5208</v>
      </c>
      <c r="BY5" s="16" t="s">
        <v>4456</v>
      </c>
      <c r="BZ5" s="16" t="s">
        <v>3681</v>
      </c>
      <c r="CA5" s="16" t="s">
        <v>5835</v>
      </c>
      <c r="CB5" s="16" t="s">
        <v>2407</v>
      </c>
      <c r="CC5" s="9" t="s">
        <v>4463</v>
      </c>
      <c r="CD5" s="16" t="s">
        <v>1646</v>
      </c>
      <c r="CE5" s="16" t="s">
        <v>2067</v>
      </c>
      <c r="CF5" s="16" t="s">
        <v>3523</v>
      </c>
      <c r="CG5" s="9" t="s">
        <v>5704</v>
      </c>
      <c r="CH5" s="9" t="s">
        <v>2767</v>
      </c>
      <c r="CI5" s="16" t="s">
        <v>3982</v>
      </c>
      <c r="CJ5" s="9" t="s">
        <v>2071</v>
      </c>
      <c r="CK5" s="16" t="s">
        <v>4325</v>
      </c>
      <c r="CL5" s="16" t="s">
        <v>1275</v>
      </c>
      <c r="CM5" s="16" t="s">
        <v>2087</v>
      </c>
      <c r="CN5" s="16" t="s">
        <v>1847</v>
      </c>
      <c r="CO5" s="16" t="s">
        <v>1166</v>
      </c>
      <c r="CP5" s="16" t="s">
        <v>2001</v>
      </c>
      <c r="CQ5" s="16" t="s">
        <v>404</v>
      </c>
      <c r="CR5" s="16" t="s">
        <v>2682</v>
      </c>
      <c r="CS5" s="16" t="s">
        <v>3985</v>
      </c>
      <c r="CT5" s="16" t="s">
        <v>249</v>
      </c>
      <c r="CU5" s="9" t="s">
        <v>4933</v>
      </c>
      <c r="CV5" s="16" t="s">
        <v>1197</v>
      </c>
      <c r="CW5" s="16" t="s">
        <v>5649</v>
      </c>
      <c r="CX5" s="16" t="s">
        <v>6071</v>
      </c>
      <c r="CY5" s="9" t="s">
        <v>4264</v>
      </c>
      <c r="CZ5" s="16" t="s">
        <v>2603</v>
      </c>
      <c r="DA5" s="16" t="s">
        <v>168</v>
      </c>
      <c r="DB5" s="16" t="s">
        <v>3408</v>
      </c>
      <c r="DC5" s="16" t="s">
        <v>1129</v>
      </c>
      <c r="DD5" s="16" t="s">
        <v>4201</v>
      </c>
      <c r="DE5" s="16" t="s">
        <v>5589</v>
      </c>
      <c r="DF5" s="9" t="s">
        <v>2410</v>
      </c>
      <c r="DG5" s="16" t="s">
        <v>2610</v>
      </c>
      <c r="DH5" s="16" t="s">
        <v>3421</v>
      </c>
      <c r="DI5" s="16" t="s">
        <v>3987</v>
      </c>
      <c r="DJ5" s="16" t="s">
        <v>2633</v>
      </c>
      <c r="DK5" s="16" t="s">
        <v>133</v>
      </c>
      <c r="DL5" s="16" t="s">
        <v>138</v>
      </c>
      <c r="DM5" s="16" t="s">
        <v>1096</v>
      </c>
      <c r="DN5" s="16" t="s">
        <v>4184</v>
      </c>
      <c r="DO5" s="16" t="s">
        <v>151</v>
      </c>
      <c r="DP5" s="16" t="s">
        <v>1108</v>
      </c>
      <c r="DQ5" s="16" t="s">
        <v>5583</v>
      </c>
      <c r="DR5" s="16" t="s">
        <v>4195</v>
      </c>
      <c r="DS5" s="16" t="s">
        <v>4677</v>
      </c>
      <c r="DT5" s="16" t="s">
        <v>163</v>
      </c>
      <c r="DU5" s="16" t="s">
        <v>1960</v>
      </c>
      <c r="DV5" s="16" t="s">
        <v>4162</v>
      </c>
      <c r="DW5" s="16" t="s">
        <v>1086</v>
      </c>
      <c r="DX5" s="9" t="s">
        <v>1090</v>
      </c>
      <c r="DY5" s="16" t="s">
        <v>5379</v>
      </c>
      <c r="DZ5" s="16" t="s">
        <v>5567</v>
      </c>
      <c r="EA5" s="16" t="s">
        <v>114</v>
      </c>
      <c r="EB5" s="16" t="s">
        <v>2416</v>
      </c>
      <c r="EC5" s="16" t="s">
        <v>1931</v>
      </c>
      <c r="ED5" s="16" t="s">
        <v>120</v>
      </c>
      <c r="EE5" s="16" t="s">
        <v>1935</v>
      </c>
      <c r="EF5" s="16" t="s">
        <v>3989</v>
      </c>
      <c r="EG5" s="16" t="s">
        <v>67</v>
      </c>
      <c r="EH5" s="16" t="s">
        <v>4834</v>
      </c>
      <c r="EI5" s="9" t="s">
        <v>78</v>
      </c>
      <c r="EJ5" s="16" t="s">
        <v>82</v>
      </c>
      <c r="EK5" s="16" t="s">
        <v>5549</v>
      </c>
      <c r="EL5" s="16" t="s">
        <v>1724</v>
      </c>
      <c r="EM5" s="16" t="s">
        <v>1076</v>
      </c>
      <c r="EN5" s="4" t="s">
        <v>2503</v>
      </c>
      <c r="EO5" s="16" t="s">
        <v>2574</v>
      </c>
      <c r="EP5" s="16" t="s">
        <v>3364</v>
      </c>
      <c r="EQ5" s="16" t="s">
        <v>5563</v>
      </c>
      <c r="ER5" s="16" t="s">
        <v>3325</v>
      </c>
      <c r="ES5" s="16" t="s">
        <v>2552</v>
      </c>
      <c r="ET5" s="16" t="s">
        <v>3335</v>
      </c>
      <c r="EU5" s="16" t="s">
        <v>1900</v>
      </c>
      <c r="EV5" s="16" t="s">
        <v>4828</v>
      </c>
      <c r="EW5" s="16" t="s">
        <v>1734</v>
      </c>
      <c r="EX5" s="16" t="s">
        <v>1904</v>
      </c>
      <c r="EY5" s="16" t="s">
        <v>62</v>
      </c>
      <c r="EZ5" s="16" t="s">
        <v>2505</v>
      </c>
      <c r="FA5" s="16" t="s">
        <v>2560</v>
      </c>
      <c r="FB5" s="16" t="s">
        <v>4830</v>
      </c>
      <c r="FC5" s="16" t="s">
        <v>6229</v>
      </c>
      <c r="FD5" s="16" t="s">
        <v>5523</v>
      </c>
      <c r="FE5" s="16" t="s">
        <v>4783</v>
      </c>
      <c r="FF5" s="16" t="s">
        <v>6225</v>
      </c>
      <c r="FG5" s="16" t="s">
        <v>4816</v>
      </c>
      <c r="FH5" s="4" t="s">
        <v>5527</v>
      </c>
      <c r="FI5" s="16" t="s">
        <v>2544</v>
      </c>
      <c r="FJ5" s="16" t="s">
        <v>4691</v>
      </c>
      <c r="FK5" s="16" t="s">
        <v>5533</v>
      </c>
      <c r="FL5" s="16" t="s">
        <v>30</v>
      </c>
      <c r="FM5" s="16" t="s">
        <v>5393</v>
      </c>
      <c r="FN5" s="16" t="s">
        <v>2927</v>
      </c>
      <c r="FO5" s="16" t="s">
        <v>3737</v>
      </c>
      <c r="FP5" s="16" t="s">
        <v>4697</v>
      </c>
      <c r="FQ5" s="16" t="s">
        <v>5156</v>
      </c>
      <c r="FR5" s="16" t="s">
        <v>1435</v>
      </c>
      <c r="FS5" s="16" t="s">
        <v>3007</v>
      </c>
      <c r="FT5" s="16" t="s">
        <v>4001</v>
      </c>
      <c r="FU5" s="16" t="s">
        <v>2931</v>
      </c>
      <c r="FV5" s="9" t="s">
        <v>1443</v>
      </c>
      <c r="FW5" s="16" t="s">
        <v>4702</v>
      </c>
      <c r="FX5" s="16" t="s">
        <v>3274</v>
      </c>
      <c r="FY5" s="16" t="s">
        <v>4704</v>
      </c>
      <c r="FZ5" s="9" t="s">
        <v>884</v>
      </c>
      <c r="GA5" s="16" t="s">
        <v>6193</v>
      </c>
      <c r="GB5" s="16" t="s">
        <v>6219</v>
      </c>
      <c r="GC5" s="9" t="s">
        <v>3294</v>
      </c>
      <c r="GD5" s="16" t="s">
        <v>4799</v>
      </c>
      <c r="GE5" s="9" t="s">
        <v>4108</v>
      </c>
      <c r="GF5" s="16" t="s">
        <v>4109</v>
      </c>
      <c r="GG5" s="9" t="s">
        <v>3299</v>
      </c>
      <c r="GH5" s="9" t="s">
        <v>850</v>
      </c>
      <c r="GI5" s="16" t="s">
        <v>6209</v>
      </c>
      <c r="GJ5" s="9" t="s">
        <v>1885</v>
      </c>
      <c r="GK5" s="16" t="s">
        <v>2526</v>
      </c>
    </row>
    <row r="6" spans="1:193" ht="14.4" thickBot="1" x14ac:dyDescent="0.35">
      <c r="A6" s="10" t="s">
        <v>6252</v>
      </c>
      <c r="B6" s="4" t="s">
        <v>1647</v>
      </c>
      <c r="C6" s="4" t="s">
        <v>1646</v>
      </c>
      <c r="E6" s="15" t="s">
        <v>4417</v>
      </c>
      <c r="F6" s="16" t="s">
        <v>4427</v>
      </c>
      <c r="G6" s="16" t="s">
        <v>3103</v>
      </c>
      <c r="H6" s="16" t="s">
        <v>3662</v>
      </c>
      <c r="I6" s="16" t="s">
        <v>4437</v>
      </c>
      <c r="J6" s="16" t="s">
        <v>2995</v>
      </c>
      <c r="K6" s="16" t="s">
        <v>4629</v>
      </c>
      <c r="L6" s="16" t="s">
        <v>4439</v>
      </c>
      <c r="M6" s="9" t="s">
        <v>5143</v>
      </c>
      <c r="N6" s="16" t="s">
        <v>1528</v>
      </c>
      <c r="O6" s="16" t="s">
        <v>5200</v>
      </c>
      <c r="P6" s="16" t="s">
        <v>5753</v>
      </c>
      <c r="Q6" s="16" t="s">
        <v>2234</v>
      </c>
      <c r="R6" s="9" t="s">
        <v>3613</v>
      </c>
      <c r="S6" s="16" t="s">
        <v>2143</v>
      </c>
      <c r="T6" s="16" t="s">
        <v>1378</v>
      </c>
      <c r="U6" s="16" t="s">
        <v>2879</v>
      </c>
      <c r="V6" s="9" t="s">
        <v>1384</v>
      </c>
      <c r="W6" s="9" t="s">
        <v>2883</v>
      </c>
      <c r="X6" s="9" t="s">
        <v>5304</v>
      </c>
      <c r="Y6" s="9" t="s">
        <v>458</v>
      </c>
      <c r="Z6" s="9" t="s">
        <v>5785</v>
      </c>
      <c r="AA6" s="16" t="s">
        <v>2337</v>
      </c>
      <c r="AB6" s="9" t="s">
        <v>1642</v>
      </c>
      <c r="AC6" s="16" t="s">
        <v>2114</v>
      </c>
      <c r="AD6" s="16" t="s">
        <v>4632</v>
      </c>
      <c r="AE6" s="16" t="s">
        <v>1318</v>
      </c>
      <c r="AF6" s="16" t="s">
        <v>4378</v>
      </c>
      <c r="AG6" s="9" t="s">
        <v>3582</v>
      </c>
      <c r="AH6" s="9" t="s">
        <v>769</v>
      </c>
      <c r="AI6" s="16" t="s">
        <v>2120</v>
      </c>
      <c r="AJ6" s="16" t="s">
        <v>4381</v>
      </c>
      <c r="AK6" s="16" t="s">
        <v>773</v>
      </c>
      <c r="AL6" s="16" t="s">
        <v>3809</v>
      </c>
      <c r="AM6" s="9" t="s">
        <v>1861</v>
      </c>
      <c r="AN6" s="16" t="s">
        <v>5252</v>
      </c>
      <c r="AO6" s="16" t="s">
        <v>5933</v>
      </c>
      <c r="AP6" s="16" t="s">
        <v>4557</v>
      </c>
      <c r="AQ6" s="16" t="s">
        <v>3128</v>
      </c>
      <c r="AR6" s="16" t="s">
        <v>473</v>
      </c>
      <c r="AS6" s="16" t="s">
        <v>5438</v>
      </c>
      <c r="AT6" s="16" t="s">
        <v>5346</v>
      </c>
      <c r="AU6" s="16" t="s">
        <v>2331</v>
      </c>
      <c r="AV6" s="16" t="s">
        <v>3895</v>
      </c>
      <c r="AW6" s="16" t="s">
        <v>1487</v>
      </c>
      <c r="AX6" s="16" t="s">
        <v>2963</v>
      </c>
      <c r="AY6" s="16" t="s">
        <v>5172</v>
      </c>
      <c r="AZ6" s="9" t="s">
        <v>3708</v>
      </c>
      <c r="BA6" s="9" t="s">
        <v>1554</v>
      </c>
      <c r="BB6" s="16" t="s">
        <v>799</v>
      </c>
      <c r="BC6" s="16" t="s">
        <v>4527</v>
      </c>
      <c r="BD6" s="16" t="s">
        <v>809</v>
      </c>
      <c r="BE6" s="16" t="s">
        <v>660</v>
      </c>
      <c r="BF6" s="16" t="s">
        <v>1702</v>
      </c>
      <c r="BG6" s="16" t="s">
        <v>5925</v>
      </c>
      <c r="BH6" s="16" t="s">
        <v>5849</v>
      </c>
      <c r="BI6" s="16" t="s">
        <v>832</v>
      </c>
      <c r="BJ6" s="16" t="s">
        <v>3974</v>
      </c>
      <c r="BK6" s="16" t="s">
        <v>2211</v>
      </c>
      <c r="BL6" s="16" t="s">
        <v>6175</v>
      </c>
      <c r="BM6" s="16" t="s">
        <v>2951</v>
      </c>
      <c r="BN6" s="16" t="s">
        <v>3704</v>
      </c>
      <c r="BO6" s="9" t="s">
        <v>2403</v>
      </c>
      <c r="BP6" s="16" t="s">
        <v>2961</v>
      </c>
      <c r="BQ6" s="16" t="s">
        <v>1486</v>
      </c>
      <c r="BR6" s="16" t="s">
        <v>5170</v>
      </c>
      <c r="BS6" s="16" t="s">
        <v>771</v>
      </c>
      <c r="BT6" s="16" t="s">
        <v>3551</v>
      </c>
      <c r="BU6" s="16" t="s">
        <v>2934</v>
      </c>
      <c r="BV6" s="16" t="s">
        <v>1448</v>
      </c>
      <c r="BW6" s="16" t="s">
        <v>5204</v>
      </c>
      <c r="BX6" s="16" t="s">
        <v>498</v>
      </c>
      <c r="BY6" s="16" t="s">
        <v>503</v>
      </c>
      <c r="BZ6" s="9" t="s">
        <v>3741</v>
      </c>
      <c r="CA6" s="16" t="s">
        <v>2199</v>
      </c>
      <c r="CB6" s="9" t="s">
        <v>5373</v>
      </c>
      <c r="CD6" s="16" t="s">
        <v>5701</v>
      </c>
      <c r="CE6" s="16" t="s">
        <v>2763</v>
      </c>
      <c r="CF6" s="9" t="s">
        <v>4323</v>
      </c>
      <c r="CI6" s="16" t="s">
        <v>4673</v>
      </c>
      <c r="CK6" s="16" t="s">
        <v>1484</v>
      </c>
      <c r="CL6" s="16" t="s">
        <v>5706</v>
      </c>
      <c r="CM6" s="16" t="s">
        <v>2773</v>
      </c>
      <c r="CN6" s="16" t="s">
        <v>3159</v>
      </c>
      <c r="CO6" s="16" t="s">
        <v>5615</v>
      </c>
      <c r="CP6" s="16" t="s">
        <v>4227</v>
      </c>
      <c r="CQ6" s="16" t="s">
        <v>1189</v>
      </c>
      <c r="CR6" s="16" t="s">
        <v>46</v>
      </c>
      <c r="CS6" s="16" t="s">
        <v>3983</v>
      </c>
      <c r="CT6" s="9" t="s">
        <v>1193</v>
      </c>
      <c r="CV6" s="9" t="s">
        <v>4260</v>
      </c>
      <c r="CW6" s="9" t="s">
        <v>2686</v>
      </c>
      <c r="CX6" s="9" t="s">
        <v>1712</v>
      </c>
      <c r="CZ6" s="16" t="s">
        <v>2601</v>
      </c>
      <c r="DA6" s="9" t="s">
        <v>1121</v>
      </c>
      <c r="DB6" s="16" t="s">
        <v>1123</v>
      </c>
      <c r="DC6" s="9" t="s">
        <v>3411</v>
      </c>
      <c r="DD6" s="16" t="s">
        <v>5587</v>
      </c>
      <c r="DE6" s="9" t="s">
        <v>2606</v>
      </c>
      <c r="DG6" s="16" t="s">
        <v>2608</v>
      </c>
      <c r="DH6" s="16" t="s">
        <v>4874</v>
      </c>
      <c r="DI6" s="9" t="s">
        <v>2499</v>
      </c>
      <c r="DJ6" s="16" t="s">
        <v>4898</v>
      </c>
      <c r="DK6" s="16" t="s">
        <v>131</v>
      </c>
      <c r="DL6" s="16" t="s">
        <v>1094</v>
      </c>
      <c r="DM6" s="16" t="s">
        <v>142</v>
      </c>
      <c r="DN6" s="16" t="s">
        <v>5579</v>
      </c>
      <c r="DO6" s="16" t="s">
        <v>1952</v>
      </c>
      <c r="DP6" s="16" t="s">
        <v>5581</v>
      </c>
      <c r="DQ6" s="16" t="s">
        <v>1127</v>
      </c>
      <c r="DR6" s="9" t="s">
        <v>4870</v>
      </c>
      <c r="DS6" s="16" t="s">
        <v>5376</v>
      </c>
      <c r="DT6" s="16" t="s">
        <v>3402</v>
      </c>
      <c r="DU6" s="16" t="s">
        <v>1115</v>
      </c>
      <c r="DV6" s="16" t="s">
        <v>4852</v>
      </c>
      <c r="DW6" s="16" t="s">
        <v>3370</v>
      </c>
      <c r="DY6" s="9" t="s">
        <v>6073</v>
      </c>
      <c r="DZ6" s="16" t="s">
        <v>4164</v>
      </c>
      <c r="EA6" s="16" t="s">
        <v>2582</v>
      </c>
      <c r="EB6" s="16" t="s">
        <v>2414</v>
      </c>
      <c r="EC6" s="16" t="s">
        <v>3374</v>
      </c>
      <c r="ED6" s="16" t="s">
        <v>2584</v>
      </c>
      <c r="EE6" s="9" t="s">
        <v>4860</v>
      </c>
      <c r="EF6" s="16" t="s">
        <v>836</v>
      </c>
      <c r="EG6" s="9" t="s">
        <v>1057</v>
      </c>
      <c r="EH6" s="16" t="s">
        <v>72</v>
      </c>
      <c r="EJ6" s="9" t="s">
        <v>4150</v>
      </c>
      <c r="EK6" s="16" t="s">
        <v>1912</v>
      </c>
      <c r="EL6" s="16" t="s">
        <v>842</v>
      </c>
      <c r="EM6" s="16" t="s">
        <v>104</v>
      </c>
      <c r="EN6" s="4" t="s">
        <v>848</v>
      </c>
      <c r="EO6" s="16" t="s">
        <v>2572</v>
      </c>
      <c r="EP6" s="16" t="s">
        <v>5561</v>
      </c>
      <c r="EQ6" s="16" t="s">
        <v>5565</v>
      </c>
      <c r="ER6" s="16" t="s">
        <v>2550</v>
      </c>
      <c r="ES6" s="16" t="s">
        <v>3327</v>
      </c>
      <c r="ET6" s="16" t="s">
        <v>4826</v>
      </c>
      <c r="EU6" s="9" t="s">
        <v>49</v>
      </c>
      <c r="EV6" s="16" t="s">
        <v>1902</v>
      </c>
      <c r="EW6" s="16" t="s">
        <v>4688</v>
      </c>
      <c r="EX6" s="16" t="s">
        <v>54</v>
      </c>
      <c r="EY6" s="16" t="s">
        <v>2556</v>
      </c>
      <c r="EZ6" s="9" t="s">
        <v>852</v>
      </c>
      <c r="FA6" s="16" t="s">
        <v>3341</v>
      </c>
      <c r="FB6" s="16" t="s">
        <v>1055</v>
      </c>
      <c r="FC6" s="16" t="s">
        <v>1896</v>
      </c>
      <c r="FD6" s="16" t="s">
        <v>3317</v>
      </c>
      <c r="FE6" s="16" t="s">
        <v>4076</v>
      </c>
      <c r="FF6" s="16" t="s">
        <v>6227</v>
      </c>
      <c r="FG6" s="9" t="s">
        <v>3311</v>
      </c>
      <c r="FH6" s="4" t="s">
        <v>1030</v>
      </c>
      <c r="FI6" s="16" t="s">
        <v>3321</v>
      </c>
      <c r="FJ6" s="9" t="s">
        <v>857</v>
      </c>
      <c r="FK6" s="16" t="s">
        <v>5531</v>
      </c>
      <c r="FL6" s="16" t="s">
        <v>1036</v>
      </c>
      <c r="FM6" s="16" t="s">
        <v>4693</v>
      </c>
      <c r="FN6" s="16" t="s">
        <v>1532</v>
      </c>
      <c r="FO6" s="16" t="s">
        <v>5152</v>
      </c>
      <c r="FP6" s="16" t="s">
        <v>3170</v>
      </c>
      <c r="FQ6" s="16" t="s">
        <v>3005</v>
      </c>
      <c r="FR6" s="16" t="s">
        <v>855</v>
      </c>
      <c r="FS6" s="16" t="s">
        <v>5158</v>
      </c>
      <c r="FT6" s="9" t="s">
        <v>3180</v>
      </c>
      <c r="FU6" s="9" t="s">
        <v>1439</v>
      </c>
      <c r="FW6" s="16" t="s">
        <v>6191</v>
      </c>
      <c r="FX6" s="16" t="s">
        <v>5403</v>
      </c>
      <c r="FY6" s="9" t="s">
        <v>888</v>
      </c>
      <c r="GA6" s="16" t="s">
        <v>4792</v>
      </c>
      <c r="GB6" s="16" t="s">
        <v>4808</v>
      </c>
      <c r="GD6" s="16" t="s">
        <v>4100</v>
      </c>
      <c r="GF6" s="9" t="s">
        <v>1003</v>
      </c>
      <c r="GI6" s="16" t="s">
        <v>5503</v>
      </c>
      <c r="GK6" s="16" t="s">
        <v>4104</v>
      </c>
    </row>
    <row r="7" spans="1:193" ht="14.4" thickBot="1" x14ac:dyDescent="0.35">
      <c r="A7" s="10" t="s">
        <v>6253</v>
      </c>
      <c r="B7" s="4" t="s">
        <v>474</v>
      </c>
      <c r="C7" s="4" t="s">
        <v>473</v>
      </c>
      <c r="E7" s="15" t="s">
        <v>5787</v>
      </c>
      <c r="F7" s="16" t="s">
        <v>2169</v>
      </c>
      <c r="G7" s="16" t="s">
        <v>1652</v>
      </c>
      <c r="H7" s="16" t="s">
        <v>2923</v>
      </c>
      <c r="I7" s="16" t="s">
        <v>479</v>
      </c>
      <c r="J7" s="16" t="s">
        <v>2183</v>
      </c>
      <c r="K7" s="16" t="s">
        <v>6013</v>
      </c>
      <c r="L7" s="16" t="s">
        <v>5141</v>
      </c>
      <c r="N7" s="16" t="s">
        <v>4446</v>
      </c>
      <c r="O7" s="16" t="s">
        <v>3001</v>
      </c>
      <c r="P7" s="16" t="s">
        <v>2840</v>
      </c>
      <c r="Q7" s="16" t="s">
        <v>5767</v>
      </c>
      <c r="S7" s="16" t="s">
        <v>1364</v>
      </c>
      <c r="T7" s="16" t="s">
        <v>5781</v>
      </c>
      <c r="U7" s="16" t="s">
        <v>573</v>
      </c>
      <c r="W7" s="4" t="s">
        <v>2162</v>
      </c>
      <c r="AA7" s="16" t="s">
        <v>5440</v>
      </c>
      <c r="AC7" s="16" t="s">
        <v>4362</v>
      </c>
      <c r="AD7" s="16" t="s">
        <v>3113</v>
      </c>
      <c r="AE7" s="16" t="s">
        <v>3578</v>
      </c>
      <c r="AF7" s="16" t="s">
        <v>1320</v>
      </c>
      <c r="AI7" s="16" t="s">
        <v>5046</v>
      </c>
      <c r="AJ7" s="16" t="s">
        <v>5048</v>
      </c>
      <c r="AK7" s="9" t="s">
        <v>2354</v>
      </c>
      <c r="AL7" s="16" t="s">
        <v>4555</v>
      </c>
      <c r="AN7" s="9" t="s">
        <v>5931</v>
      </c>
      <c r="AO7" s="16" t="s">
        <v>3049</v>
      </c>
      <c r="AP7" s="9" t="s">
        <v>4559</v>
      </c>
      <c r="AQ7" s="16" t="s">
        <v>5329</v>
      </c>
      <c r="AR7" s="16" t="s">
        <v>5280</v>
      </c>
      <c r="AS7" s="9" t="s">
        <v>1630</v>
      </c>
      <c r="AT7" s="16" t="s">
        <v>3924</v>
      </c>
      <c r="AU7" s="16" t="s">
        <v>3887</v>
      </c>
      <c r="AV7" s="16" t="s">
        <v>4615</v>
      </c>
      <c r="AW7" s="9" t="s">
        <v>548</v>
      </c>
      <c r="AX7" s="9" t="s">
        <v>2226</v>
      </c>
      <c r="AY7" s="9" t="s">
        <v>3755</v>
      </c>
      <c r="BB7" s="16" t="s">
        <v>805</v>
      </c>
      <c r="BC7" s="16" t="s">
        <v>5903</v>
      </c>
      <c r="BD7" s="16" t="s">
        <v>5365</v>
      </c>
      <c r="BE7" s="16" t="s">
        <v>5234</v>
      </c>
      <c r="BF7" s="16" t="s">
        <v>1704</v>
      </c>
      <c r="BG7" s="16" t="s">
        <v>3803</v>
      </c>
      <c r="BH7" s="16" t="s">
        <v>5847</v>
      </c>
      <c r="BI7" s="16" t="s">
        <v>4469</v>
      </c>
      <c r="BJ7" s="16" t="s">
        <v>6066</v>
      </c>
      <c r="BK7" s="9" t="s">
        <v>2213</v>
      </c>
      <c r="BL7" s="16" t="s">
        <v>3978</v>
      </c>
      <c r="BM7" s="16" t="s">
        <v>1471</v>
      </c>
      <c r="BN7" s="9" t="s">
        <v>3706</v>
      </c>
      <c r="BP7" s="16" t="s">
        <v>5214</v>
      </c>
      <c r="BQ7" s="16" t="s">
        <v>2264</v>
      </c>
      <c r="BR7" s="9" t="s">
        <v>1550</v>
      </c>
      <c r="BS7" s="16" t="s">
        <v>3543</v>
      </c>
      <c r="BT7" s="16" t="s">
        <v>3553</v>
      </c>
      <c r="BU7" s="16" t="s">
        <v>2938</v>
      </c>
      <c r="BV7" s="9" t="s">
        <v>1534</v>
      </c>
      <c r="BW7" s="16" t="s">
        <v>1452</v>
      </c>
      <c r="BX7" s="16" t="s">
        <v>5206</v>
      </c>
      <c r="BY7" s="16" t="s">
        <v>3677</v>
      </c>
      <c r="CA7" s="16" t="s">
        <v>1536</v>
      </c>
      <c r="CD7" s="16" t="s">
        <v>1225</v>
      </c>
      <c r="CE7" s="9" t="s">
        <v>325</v>
      </c>
      <c r="CI7" s="9" t="s">
        <v>829</v>
      </c>
      <c r="CK7" s="16" t="s">
        <v>332</v>
      </c>
      <c r="CL7" s="16" t="s">
        <v>2769</v>
      </c>
      <c r="CM7" s="16" t="s">
        <v>4327</v>
      </c>
      <c r="CN7" s="16" t="s">
        <v>4675</v>
      </c>
      <c r="CO7" s="16" t="s">
        <v>5617</v>
      </c>
      <c r="CP7" s="16" t="s">
        <v>5621</v>
      </c>
      <c r="CQ7" s="16" t="s">
        <v>4924</v>
      </c>
      <c r="CR7" s="16" t="s">
        <v>1191</v>
      </c>
      <c r="CS7" s="16" t="s">
        <v>6179</v>
      </c>
      <c r="CZ7" s="9" t="s">
        <v>1119</v>
      </c>
      <c r="DB7" s="16" t="s">
        <v>1125</v>
      </c>
      <c r="DD7" s="9" t="s">
        <v>1968</v>
      </c>
      <c r="DG7" s="16" t="s">
        <v>1135</v>
      </c>
      <c r="DH7" s="16" t="s">
        <v>5591</v>
      </c>
      <c r="DJ7" s="16" t="s">
        <v>2635</v>
      </c>
      <c r="DK7" s="16" t="s">
        <v>1937</v>
      </c>
      <c r="DL7" s="9" t="s">
        <v>1943</v>
      </c>
      <c r="DM7" s="16" t="s">
        <v>2589</v>
      </c>
      <c r="DN7" s="16" t="s">
        <v>1104</v>
      </c>
      <c r="DO7" s="16" t="s">
        <v>4186</v>
      </c>
      <c r="DP7" s="16" t="s">
        <v>4188</v>
      </c>
      <c r="DQ7" s="16" t="s">
        <v>2595</v>
      </c>
      <c r="DS7" s="9" t="s">
        <v>1716</v>
      </c>
      <c r="DT7" s="16" t="s">
        <v>161</v>
      </c>
      <c r="DU7" s="16" t="s">
        <v>4872</v>
      </c>
      <c r="DV7" s="9" t="s">
        <v>1925</v>
      </c>
      <c r="DW7" s="16" t="s">
        <v>1429</v>
      </c>
      <c r="DZ7" s="9" t="s">
        <v>2580</v>
      </c>
      <c r="EA7" s="16" t="s">
        <v>5569</v>
      </c>
      <c r="EB7" s="9" t="s">
        <v>6075</v>
      </c>
      <c r="EC7" s="16" t="s">
        <v>4856</v>
      </c>
      <c r="ED7" s="16" t="s">
        <v>4168</v>
      </c>
      <c r="EF7" s="16" t="s">
        <v>5381</v>
      </c>
      <c r="EH7" s="16" t="s">
        <v>2562</v>
      </c>
      <c r="EK7" s="16" t="s">
        <v>5559</v>
      </c>
      <c r="EL7" s="16" t="s">
        <v>5391</v>
      </c>
      <c r="EM7" s="9" t="s">
        <v>4850</v>
      </c>
      <c r="EN7" s="4" t="s">
        <v>1730</v>
      </c>
      <c r="EO7" s="9" t="s">
        <v>1080</v>
      </c>
      <c r="EP7" s="16" t="s">
        <v>3368</v>
      </c>
      <c r="EQ7" s="16" t="s">
        <v>1084</v>
      </c>
      <c r="ER7" s="9" t="s">
        <v>1042</v>
      </c>
      <c r="ES7" s="16" t="s">
        <v>4137</v>
      </c>
      <c r="ET7" s="16" t="s">
        <v>4824</v>
      </c>
      <c r="EV7" s="9" t="s">
        <v>1050</v>
      </c>
      <c r="EW7" s="16" t="s">
        <v>3994</v>
      </c>
      <c r="EX7" s="16" t="s">
        <v>3337</v>
      </c>
      <c r="EY7" s="16" t="s">
        <v>3339</v>
      </c>
      <c r="FA7" s="9" t="s">
        <v>5545</v>
      </c>
      <c r="FB7" s="9" t="s">
        <v>4832</v>
      </c>
      <c r="FC7" s="16" t="s">
        <v>4129</v>
      </c>
      <c r="FD7" s="9" t="s">
        <v>6223</v>
      </c>
      <c r="FE7" s="16" t="s">
        <v>975</v>
      </c>
      <c r="FF7" s="16" t="s">
        <v>6231</v>
      </c>
      <c r="FI7" s="9" t="s">
        <v>3319</v>
      </c>
      <c r="FK7" s="16" t="s">
        <v>2546</v>
      </c>
      <c r="FL7" s="16" t="s">
        <v>1038</v>
      </c>
      <c r="FM7" s="16" t="s">
        <v>1078</v>
      </c>
      <c r="FN7" s="16" t="s">
        <v>5151</v>
      </c>
      <c r="FO7" s="16" t="s">
        <v>1427</v>
      </c>
      <c r="FP7" s="16" t="s">
        <v>4695</v>
      </c>
      <c r="FQ7" s="16" t="s">
        <v>4450</v>
      </c>
      <c r="FR7" s="16" t="s">
        <v>4452</v>
      </c>
      <c r="FS7" s="16" t="s">
        <v>493</v>
      </c>
      <c r="FW7" s="16" t="s">
        <v>5401</v>
      </c>
      <c r="FX7" s="9" t="s">
        <v>4003</v>
      </c>
      <c r="GA7" s="16" t="s">
        <v>1865</v>
      </c>
      <c r="GB7" s="16" t="s">
        <v>5505</v>
      </c>
      <c r="GD7" s="16" t="s">
        <v>5500</v>
      </c>
      <c r="GI7" s="16" t="s">
        <v>214</v>
      </c>
      <c r="GK7" s="9" t="s">
        <v>6207</v>
      </c>
    </row>
    <row r="8" spans="1:193" ht="14.4" thickBot="1" x14ac:dyDescent="0.35">
      <c r="A8" s="10" t="s">
        <v>6254</v>
      </c>
      <c r="B8" s="4" t="s">
        <v>478</v>
      </c>
      <c r="C8" s="4" t="s">
        <v>477</v>
      </c>
      <c r="E8" s="15" t="s">
        <v>3647</v>
      </c>
      <c r="F8" s="16" t="s">
        <v>743</v>
      </c>
      <c r="G8" s="16" t="s">
        <v>6009</v>
      </c>
      <c r="H8" s="16" t="s">
        <v>1401</v>
      </c>
      <c r="I8" s="16" t="s">
        <v>5813</v>
      </c>
      <c r="J8" s="16" t="s">
        <v>1407</v>
      </c>
      <c r="K8" s="16" t="s">
        <v>6016</v>
      </c>
      <c r="L8" s="16" t="s">
        <v>3639</v>
      </c>
      <c r="N8" s="16" t="s">
        <v>3670</v>
      </c>
      <c r="O8" s="16" t="s">
        <v>5147</v>
      </c>
      <c r="P8" s="16" t="s">
        <v>415</v>
      </c>
      <c r="Q8" s="16" t="s">
        <v>1356</v>
      </c>
      <c r="S8" s="16" t="s">
        <v>2861</v>
      </c>
      <c r="T8" s="16" t="s">
        <v>3635</v>
      </c>
      <c r="U8" s="16" t="s">
        <v>1507</v>
      </c>
      <c r="AA8" s="16" t="s">
        <v>739</v>
      </c>
      <c r="AC8" s="16" t="s">
        <v>5025</v>
      </c>
      <c r="AD8" s="16" t="s">
        <v>3915</v>
      </c>
      <c r="AE8" s="16" t="s">
        <v>5042</v>
      </c>
      <c r="AF8" s="16" t="s">
        <v>401</v>
      </c>
      <c r="AI8" s="16" t="s">
        <v>3584</v>
      </c>
      <c r="AJ8" s="16" t="s">
        <v>557</v>
      </c>
      <c r="AL8" s="9" t="s">
        <v>3807</v>
      </c>
      <c r="AO8" s="9" t="s">
        <v>664</v>
      </c>
      <c r="AQ8" s="16" t="s">
        <v>5327</v>
      </c>
      <c r="AR8" s="16" t="s">
        <v>1594</v>
      </c>
      <c r="AT8" s="16" t="s">
        <v>3149</v>
      </c>
      <c r="AU8" s="16" t="s">
        <v>1632</v>
      </c>
      <c r="AV8" s="16" t="s">
        <v>1636</v>
      </c>
      <c r="BB8" s="16" t="s">
        <v>3964</v>
      </c>
      <c r="BC8" s="16" t="s">
        <v>4535</v>
      </c>
      <c r="BD8" s="16" t="s">
        <v>4070</v>
      </c>
      <c r="BE8" s="16" t="s">
        <v>5910</v>
      </c>
      <c r="BF8" s="16" t="s">
        <v>247</v>
      </c>
      <c r="BG8" s="9" t="s">
        <v>5927</v>
      </c>
      <c r="BH8" s="16" t="s">
        <v>1466</v>
      </c>
      <c r="BI8" s="16" t="s">
        <v>3746</v>
      </c>
      <c r="BJ8" s="16" t="s">
        <v>2398</v>
      </c>
      <c r="BL8" s="16" t="s">
        <v>6070</v>
      </c>
      <c r="BM8" s="16" t="s">
        <v>3699</v>
      </c>
      <c r="BP8" s="16" t="s">
        <v>604</v>
      </c>
      <c r="BQ8" s="16" t="s">
        <v>5216</v>
      </c>
      <c r="BS8" s="16" t="s">
        <v>3545</v>
      </c>
      <c r="BT8" s="16" t="s">
        <v>364</v>
      </c>
      <c r="BU8" s="16" t="s">
        <v>3009</v>
      </c>
      <c r="BW8" s="9" t="s">
        <v>5159</v>
      </c>
      <c r="BX8" s="16" t="s">
        <v>2940</v>
      </c>
      <c r="BY8" s="16" t="s">
        <v>1454</v>
      </c>
      <c r="CA8" s="16" t="s">
        <v>590</v>
      </c>
      <c r="CD8" s="16" t="s">
        <v>3458</v>
      </c>
      <c r="CK8" s="16" t="s">
        <v>1273</v>
      </c>
      <c r="CL8" s="16" t="s">
        <v>5708</v>
      </c>
      <c r="CM8" s="16" t="s">
        <v>2775</v>
      </c>
      <c r="CN8" s="16" t="s">
        <v>1859</v>
      </c>
      <c r="CO8" s="16" t="s">
        <v>1987</v>
      </c>
      <c r="CP8" s="16" t="s">
        <v>1169</v>
      </c>
      <c r="CQ8" s="16" t="s">
        <v>5645</v>
      </c>
      <c r="CR8" s="16" t="s">
        <v>4929</v>
      </c>
      <c r="CS8" s="16" t="s">
        <v>5468</v>
      </c>
      <c r="DB8" s="16" t="s">
        <v>3410</v>
      </c>
      <c r="DG8" s="9" t="s">
        <v>1133</v>
      </c>
      <c r="DH8" s="16" t="s">
        <v>1137</v>
      </c>
      <c r="DJ8" s="16" t="s">
        <v>5613</v>
      </c>
      <c r="DK8" s="16" t="s">
        <v>4170</v>
      </c>
      <c r="DM8" s="16" t="s">
        <v>4182</v>
      </c>
      <c r="DN8" s="16" t="s">
        <v>3386</v>
      </c>
      <c r="DO8" s="9" t="s">
        <v>3394</v>
      </c>
      <c r="DP8" s="9" t="s">
        <v>3396</v>
      </c>
      <c r="DQ8" s="16" t="s">
        <v>1956</v>
      </c>
      <c r="DT8" s="16" t="s">
        <v>4197</v>
      </c>
      <c r="DU8" s="16" t="s">
        <v>1958</v>
      </c>
      <c r="DW8" s="16" t="s">
        <v>109</v>
      </c>
      <c r="EA8" s="9" t="s">
        <v>4166</v>
      </c>
      <c r="EC8" s="16" t="s">
        <v>5571</v>
      </c>
      <c r="ED8" s="9" t="s">
        <v>5573</v>
      </c>
      <c r="EF8" s="16" t="s">
        <v>834</v>
      </c>
      <c r="EH8" s="16" t="s">
        <v>1059</v>
      </c>
      <c r="EK8" s="16" t="s">
        <v>1063</v>
      </c>
      <c r="EL8" s="16" t="s">
        <v>5389</v>
      </c>
      <c r="EP8" s="16" t="s">
        <v>4160</v>
      </c>
      <c r="EQ8" s="9" t="s">
        <v>2576</v>
      </c>
      <c r="ES8" s="16" t="s">
        <v>2554</v>
      </c>
      <c r="ET8" s="9" t="s">
        <v>4822</v>
      </c>
      <c r="EW8" s="16" t="s">
        <v>1736</v>
      </c>
      <c r="EX8" s="9" t="s">
        <v>4143</v>
      </c>
      <c r="EY8" s="16" t="s">
        <v>5539</v>
      </c>
      <c r="FC8" s="16" t="s">
        <v>2536</v>
      </c>
      <c r="FE8" s="16" t="s">
        <v>1850</v>
      </c>
      <c r="FF8" s="9" t="s">
        <v>2540</v>
      </c>
      <c r="FK8" s="16" t="s">
        <v>4131</v>
      </c>
      <c r="FL8" s="16" t="s">
        <v>35</v>
      </c>
      <c r="FM8" s="16" t="s">
        <v>859</v>
      </c>
      <c r="FN8" s="16" t="s">
        <v>487</v>
      </c>
      <c r="FO8" s="16" t="s">
        <v>5825</v>
      </c>
      <c r="FP8" s="16" t="s">
        <v>2507</v>
      </c>
      <c r="FQ8" s="9" t="s">
        <v>1431</v>
      </c>
      <c r="FR8" s="16" t="s">
        <v>2252</v>
      </c>
      <c r="FS8" s="9" t="s">
        <v>2197</v>
      </c>
      <c r="FW8" s="16" t="s">
        <v>2517</v>
      </c>
      <c r="GA8" s="16" t="s">
        <v>5492</v>
      </c>
      <c r="GB8" s="16" t="s">
        <v>4113</v>
      </c>
      <c r="GD8" s="16" t="s">
        <v>85</v>
      </c>
      <c r="GI8" s="16" t="s">
        <v>1000</v>
      </c>
    </row>
    <row r="9" spans="1:193" ht="14.4" thickBot="1" x14ac:dyDescent="0.35">
      <c r="A9" s="10" t="s">
        <v>6255</v>
      </c>
      <c r="B9" s="4" t="s">
        <v>1406</v>
      </c>
      <c r="C9" s="4" t="s">
        <v>1405</v>
      </c>
      <c r="E9" s="15" t="s">
        <v>465</v>
      </c>
      <c r="F9" s="16" t="s">
        <v>4433</v>
      </c>
      <c r="G9" s="16" t="s">
        <v>1654</v>
      </c>
      <c r="H9" s="16" t="s">
        <v>2179</v>
      </c>
      <c r="I9" s="16" t="s">
        <v>2181</v>
      </c>
      <c r="J9" s="9" t="s">
        <v>2925</v>
      </c>
      <c r="K9" s="16" t="s">
        <v>5301</v>
      </c>
      <c r="L9" s="16" t="s">
        <v>5139</v>
      </c>
      <c r="N9" s="16" t="s">
        <v>5817</v>
      </c>
      <c r="O9" s="16" t="s">
        <v>1415</v>
      </c>
      <c r="P9" s="16" t="s">
        <v>5745</v>
      </c>
      <c r="Q9" s="16" t="s">
        <v>3605</v>
      </c>
      <c r="S9" s="16" t="s">
        <v>1374</v>
      </c>
      <c r="T9" s="16" t="s">
        <v>4411</v>
      </c>
      <c r="U9" s="16" t="s">
        <v>3723</v>
      </c>
      <c r="AA9" s="16" t="s">
        <v>4619</v>
      </c>
      <c r="AC9" s="16" t="s">
        <v>1409</v>
      </c>
      <c r="AD9" s="16" t="s">
        <v>763</v>
      </c>
      <c r="AE9" s="16" t="s">
        <v>4376</v>
      </c>
      <c r="AF9" s="16" t="s">
        <v>2118</v>
      </c>
      <c r="AI9" s="9" t="s">
        <v>2836</v>
      </c>
      <c r="AJ9" s="16" t="s">
        <v>4379</v>
      </c>
      <c r="AQ9" s="16" t="s">
        <v>4057</v>
      </c>
      <c r="AR9" s="16" t="s">
        <v>450</v>
      </c>
      <c r="AT9" s="16" t="s">
        <v>3138</v>
      </c>
      <c r="AU9" s="16" t="s">
        <v>5295</v>
      </c>
      <c r="AV9" s="16" t="s">
        <v>3100</v>
      </c>
      <c r="BB9" s="16" t="s">
        <v>4661</v>
      </c>
      <c r="BC9" s="16" t="s">
        <v>2268</v>
      </c>
      <c r="BD9" s="16" t="s">
        <v>4669</v>
      </c>
      <c r="BE9" s="16" t="s">
        <v>667</v>
      </c>
      <c r="BF9" s="16" t="s">
        <v>2396</v>
      </c>
      <c r="BH9" s="16" t="s">
        <v>2185</v>
      </c>
      <c r="BI9" s="9" t="s">
        <v>3015</v>
      </c>
      <c r="BJ9" s="9" t="s">
        <v>813</v>
      </c>
      <c r="BL9" s="16" t="s">
        <v>966</v>
      </c>
      <c r="BM9" s="16" t="s">
        <v>4473</v>
      </c>
      <c r="BP9" s="16" t="s">
        <v>1544</v>
      </c>
      <c r="BQ9" s="9" t="s">
        <v>5169</v>
      </c>
      <c r="BS9" s="16" t="s">
        <v>2791</v>
      </c>
      <c r="BT9" s="16" t="s">
        <v>3555</v>
      </c>
      <c r="BU9" s="9" t="s">
        <v>4454</v>
      </c>
      <c r="BX9" s="16" t="s">
        <v>5831</v>
      </c>
      <c r="BY9" s="16" t="s">
        <v>4458</v>
      </c>
      <c r="CA9" s="9" t="s">
        <v>5837</v>
      </c>
      <c r="CD9" s="16" t="s">
        <v>3464</v>
      </c>
      <c r="CK9" s="9" t="s">
        <v>330</v>
      </c>
      <c r="CL9" s="16" t="s">
        <v>5007</v>
      </c>
      <c r="CM9" s="16" t="s">
        <v>3537</v>
      </c>
      <c r="CN9" s="16" t="s">
        <v>1708</v>
      </c>
      <c r="CO9" s="16" t="s">
        <v>1989</v>
      </c>
      <c r="CP9" s="16" t="s">
        <v>5628</v>
      </c>
      <c r="CQ9" s="16" t="s">
        <v>776</v>
      </c>
      <c r="CR9" s="16" t="s">
        <v>4927</v>
      </c>
      <c r="CS9" s="16" t="s">
        <v>4074</v>
      </c>
      <c r="DB9" s="16" t="s">
        <v>174</v>
      </c>
      <c r="DH9" s="16" t="s">
        <v>4881</v>
      </c>
      <c r="DJ9" s="16" t="s">
        <v>1986</v>
      </c>
      <c r="DK9" s="16" t="s">
        <v>4172</v>
      </c>
      <c r="DM9" s="16" t="s">
        <v>3382</v>
      </c>
      <c r="DN9" s="16" t="s">
        <v>4864</v>
      </c>
      <c r="DQ9" s="16" t="s">
        <v>3398</v>
      </c>
      <c r="DT9" s="16" t="s">
        <v>3400</v>
      </c>
      <c r="DU9" s="16" t="s">
        <v>2597</v>
      </c>
      <c r="DW9" s="9" t="s">
        <v>4854</v>
      </c>
      <c r="EC9" s="16" t="s">
        <v>4858</v>
      </c>
      <c r="EF9" s="16" t="s">
        <v>1718</v>
      </c>
      <c r="EH9" s="16" t="s">
        <v>5547</v>
      </c>
      <c r="EK9" s="16" t="s">
        <v>1914</v>
      </c>
      <c r="EL9" s="16" t="s">
        <v>4686</v>
      </c>
      <c r="EP9" s="16" t="s">
        <v>1919</v>
      </c>
      <c r="ES9" s="16" t="s">
        <v>1046</v>
      </c>
      <c r="EW9" s="16" t="s">
        <v>252</v>
      </c>
      <c r="EY9" s="16" t="s">
        <v>4147</v>
      </c>
      <c r="FC9" s="16" t="s">
        <v>3313</v>
      </c>
      <c r="FE9" s="16" t="s">
        <v>2424</v>
      </c>
      <c r="FK9" s="16" t="s">
        <v>1898</v>
      </c>
      <c r="FL9" s="16" t="s">
        <v>5535</v>
      </c>
      <c r="FM9" s="16" t="s">
        <v>861</v>
      </c>
      <c r="FN9" s="16" t="s">
        <v>1419</v>
      </c>
      <c r="FO9" s="16" t="s">
        <v>3672</v>
      </c>
      <c r="FP9" s="16" t="s">
        <v>5480</v>
      </c>
      <c r="FR9" s="16" t="s">
        <v>5202</v>
      </c>
      <c r="FW9" s="16" t="s">
        <v>6092</v>
      </c>
      <c r="GA9" s="16" t="s">
        <v>6201</v>
      </c>
      <c r="GB9" s="16" t="s">
        <v>3301</v>
      </c>
      <c r="GD9" s="16" t="s">
        <v>6205</v>
      </c>
      <c r="GI9" s="9" t="s">
        <v>1881</v>
      </c>
    </row>
    <row r="10" spans="1:193" ht="14.4" thickBot="1" x14ac:dyDescent="0.35">
      <c r="A10" s="10" t="s">
        <v>6256</v>
      </c>
      <c r="B10" s="4" t="s">
        <v>744</v>
      </c>
      <c r="C10" s="4" t="s">
        <v>743</v>
      </c>
      <c r="E10" s="15" t="s">
        <v>5110</v>
      </c>
      <c r="F10" s="16" t="s">
        <v>5116</v>
      </c>
      <c r="G10" s="16" t="s">
        <v>3102</v>
      </c>
      <c r="H10" s="16" t="s">
        <v>5804</v>
      </c>
      <c r="I10" s="16" t="s">
        <v>5881</v>
      </c>
      <c r="K10" s="16" t="s">
        <v>4627</v>
      </c>
      <c r="L10" s="16" t="s">
        <v>2248</v>
      </c>
      <c r="N10" s="16" t="s">
        <v>1411</v>
      </c>
      <c r="O10" s="16" t="s">
        <v>5819</v>
      </c>
      <c r="P10" s="16" t="s">
        <v>5070</v>
      </c>
      <c r="Q10" s="16" t="s">
        <v>1354</v>
      </c>
      <c r="S10" s="16" t="s">
        <v>1640</v>
      </c>
      <c r="T10" s="16" t="s">
        <v>1376</v>
      </c>
      <c r="U10" s="16" t="s">
        <v>452</v>
      </c>
      <c r="AA10" s="16" t="s">
        <v>3230</v>
      </c>
      <c r="AC10" s="16" t="s">
        <v>2817</v>
      </c>
      <c r="AD10" s="16" t="s">
        <v>6034</v>
      </c>
      <c r="AE10" s="16" t="s">
        <v>1316</v>
      </c>
      <c r="AF10" s="16" t="s">
        <v>2116</v>
      </c>
      <c r="AJ10" s="9" t="s">
        <v>1327</v>
      </c>
      <c r="AQ10" s="16" t="s">
        <v>1822</v>
      </c>
      <c r="AR10" s="16" t="s">
        <v>5985</v>
      </c>
      <c r="AT10" s="16" t="s">
        <v>5335</v>
      </c>
      <c r="AU10" s="16" t="s">
        <v>5993</v>
      </c>
      <c r="AV10" s="16" t="s">
        <v>4617</v>
      </c>
      <c r="BB10" s="16" t="s">
        <v>3153</v>
      </c>
      <c r="BC10" s="16" t="s">
        <v>1556</v>
      </c>
      <c r="BD10" s="16" t="s">
        <v>4776</v>
      </c>
      <c r="BE10" s="16" t="s">
        <v>3047</v>
      </c>
      <c r="BF10" s="16" t="s">
        <v>1700</v>
      </c>
      <c r="BH10" s="16" t="s">
        <v>3695</v>
      </c>
      <c r="BL10" s="16" t="s">
        <v>6068</v>
      </c>
      <c r="BM10" s="16" t="s">
        <v>2953</v>
      </c>
      <c r="BP10" s="16" t="s">
        <v>543</v>
      </c>
      <c r="BS10" s="16" t="s">
        <v>5720</v>
      </c>
      <c r="BT10" s="16" t="s">
        <v>4353</v>
      </c>
      <c r="BX10" s="16" t="s">
        <v>5887</v>
      </c>
      <c r="BY10" s="16" t="s">
        <v>5161</v>
      </c>
      <c r="CD10" s="16" t="s">
        <v>1522</v>
      </c>
      <c r="CL10" s="16" t="s">
        <v>5009</v>
      </c>
      <c r="CM10" s="16" t="s">
        <v>4335</v>
      </c>
      <c r="CN10" s="16" t="s">
        <v>2494</v>
      </c>
      <c r="CO10" s="16" t="s">
        <v>2637</v>
      </c>
      <c r="CP10" s="16" t="s">
        <v>1314</v>
      </c>
      <c r="CQ10" s="16" t="s">
        <v>1628</v>
      </c>
      <c r="CR10" s="9" t="s">
        <v>2021</v>
      </c>
      <c r="CS10" s="9" t="s">
        <v>3163</v>
      </c>
      <c r="DB10" s="16" t="s">
        <v>172</v>
      </c>
      <c r="DH10" s="16" t="s">
        <v>1974</v>
      </c>
      <c r="DJ10" s="16" t="s">
        <v>206</v>
      </c>
      <c r="DK10" s="16" t="s">
        <v>5577</v>
      </c>
      <c r="DM10" s="16" t="s">
        <v>3384</v>
      </c>
      <c r="DN10" s="16" t="s">
        <v>1950</v>
      </c>
      <c r="DQ10" s="16" t="s">
        <v>4191</v>
      </c>
      <c r="DT10" s="9" t="s">
        <v>1112</v>
      </c>
      <c r="DU10" s="16" t="s">
        <v>3404</v>
      </c>
      <c r="EC10" s="9" t="s">
        <v>3372</v>
      </c>
      <c r="EF10" s="16" t="s">
        <v>6181</v>
      </c>
      <c r="EH10" s="16" t="s">
        <v>74</v>
      </c>
      <c r="EK10" s="16" t="s">
        <v>4846</v>
      </c>
      <c r="EL10" s="16" t="s">
        <v>4679</v>
      </c>
      <c r="EP10" s="16" t="s">
        <v>3366</v>
      </c>
      <c r="ES10" s="16" t="s">
        <v>5537</v>
      </c>
      <c r="EW10" s="16" t="s">
        <v>3264</v>
      </c>
      <c r="EY10" s="16" t="s">
        <v>5541</v>
      </c>
      <c r="FC10" s="16" t="s">
        <v>2534</v>
      </c>
      <c r="FE10" s="16" t="s">
        <v>4781</v>
      </c>
      <c r="FK10" s="16" t="s">
        <v>3323</v>
      </c>
      <c r="FL10" s="16" t="s">
        <v>24</v>
      </c>
      <c r="FM10" s="16" t="s">
        <v>6085</v>
      </c>
      <c r="FN10" s="16" t="s">
        <v>484</v>
      </c>
      <c r="FO10" s="16" t="s">
        <v>3735</v>
      </c>
      <c r="FP10" s="16" t="s">
        <v>3268</v>
      </c>
      <c r="FR10" s="16" t="s">
        <v>2195</v>
      </c>
      <c r="FW10" s="9" t="s">
        <v>6090</v>
      </c>
      <c r="GA10" s="16" t="s">
        <v>3290</v>
      </c>
      <c r="GB10" s="16" t="s">
        <v>1011</v>
      </c>
      <c r="GD10" s="16" t="s">
        <v>5502</v>
      </c>
    </row>
    <row r="11" spans="1:193" ht="14.4" thickBot="1" x14ac:dyDescent="0.35">
      <c r="A11" s="10" t="s">
        <v>6257</v>
      </c>
      <c r="B11" s="4" t="s">
        <v>1523</v>
      </c>
      <c r="C11" s="4" t="s">
        <v>1522</v>
      </c>
      <c r="E11" s="15" t="s">
        <v>5106</v>
      </c>
      <c r="F11" s="16" t="s">
        <v>1513</v>
      </c>
      <c r="G11" s="16" t="s">
        <v>1648</v>
      </c>
      <c r="H11" s="16" t="s">
        <v>3729</v>
      </c>
      <c r="I11" s="9" t="s">
        <v>581</v>
      </c>
      <c r="K11" s="16" t="s">
        <v>6134</v>
      </c>
      <c r="L11" s="16" t="s">
        <v>1526</v>
      </c>
      <c r="N11" s="16" t="s">
        <v>1082</v>
      </c>
      <c r="O11" s="9" t="s">
        <v>5145</v>
      </c>
      <c r="P11" s="16" t="s">
        <v>2838</v>
      </c>
      <c r="Q11" s="16" t="s">
        <v>4497</v>
      </c>
      <c r="S11" s="16" t="s">
        <v>2238</v>
      </c>
      <c r="T11" s="16" t="s">
        <v>447</v>
      </c>
      <c r="U11" s="16" t="s">
        <v>2881</v>
      </c>
      <c r="AA11" s="16" t="s">
        <v>1638</v>
      </c>
      <c r="AC11" s="16" t="s">
        <v>4356</v>
      </c>
      <c r="AD11" s="16" t="s">
        <v>546</v>
      </c>
      <c r="AE11" s="9" t="s">
        <v>2832</v>
      </c>
      <c r="AF11" s="16" t="s">
        <v>5044</v>
      </c>
      <c r="AQ11" s="16" t="s">
        <v>778</v>
      </c>
      <c r="AR11" s="16" t="s">
        <v>3865</v>
      </c>
      <c r="AT11" s="16" t="s">
        <v>3930</v>
      </c>
      <c r="AU11" s="16" t="s">
        <v>3098</v>
      </c>
      <c r="AV11" s="9" t="s">
        <v>6005</v>
      </c>
      <c r="BB11" s="16" t="s">
        <v>3151</v>
      </c>
      <c r="BC11" s="16" t="s">
        <v>2266</v>
      </c>
      <c r="BD11" s="16" t="s">
        <v>4671</v>
      </c>
      <c r="BE11" s="16" t="s">
        <v>1584</v>
      </c>
      <c r="BF11" s="16" t="s">
        <v>5369</v>
      </c>
      <c r="BH11" s="16" t="s">
        <v>3685</v>
      </c>
      <c r="BL11" s="16" t="s">
        <v>817</v>
      </c>
      <c r="BM11" s="16" t="s">
        <v>4483</v>
      </c>
      <c r="BP11" s="16" t="s">
        <v>3023</v>
      </c>
      <c r="BS11" s="16" t="s">
        <v>1283</v>
      </c>
      <c r="BT11" s="16" t="s">
        <v>1289</v>
      </c>
      <c r="BX11" s="16" t="s">
        <v>3011</v>
      </c>
      <c r="BY11" s="16" t="s">
        <v>5210</v>
      </c>
      <c r="CD11" s="16" t="s">
        <v>1269</v>
      </c>
      <c r="CL11" s="9" t="s">
        <v>337</v>
      </c>
      <c r="CM11" s="16" t="s">
        <v>3529</v>
      </c>
      <c r="CN11" s="16" t="s">
        <v>970</v>
      </c>
      <c r="CO11" s="16" t="s">
        <v>4900</v>
      </c>
      <c r="CP11" s="16" t="s">
        <v>3439</v>
      </c>
      <c r="CQ11" s="16" t="s">
        <v>4258</v>
      </c>
      <c r="DB11" s="16" t="s">
        <v>3406</v>
      </c>
      <c r="DH11" s="16" t="s">
        <v>5593</v>
      </c>
      <c r="DJ11" s="16" t="s">
        <v>1164</v>
      </c>
      <c r="DK11" s="16" t="s">
        <v>128</v>
      </c>
      <c r="DM11" s="9" t="s">
        <v>4862</v>
      </c>
      <c r="DN11" s="16" t="s">
        <v>1100</v>
      </c>
      <c r="DQ11" s="16" t="s">
        <v>156</v>
      </c>
      <c r="DU11" s="9" t="s">
        <v>2599</v>
      </c>
      <c r="EF11" s="16" t="s">
        <v>1849</v>
      </c>
      <c r="EH11" s="16" t="s">
        <v>2564</v>
      </c>
      <c r="EK11" s="16" t="s">
        <v>4848</v>
      </c>
      <c r="EL11" s="16" t="s">
        <v>6183</v>
      </c>
      <c r="EP11" s="16" t="s">
        <v>1917</v>
      </c>
      <c r="ES11" s="16" t="s">
        <v>3331</v>
      </c>
      <c r="EW11" s="16" t="s">
        <v>4779</v>
      </c>
      <c r="EY11" s="16" t="s">
        <v>5543</v>
      </c>
      <c r="FC11" s="16" t="s">
        <v>5525</v>
      </c>
      <c r="FE11" s="16" t="s">
        <v>3996</v>
      </c>
      <c r="FK11" s="16" t="s">
        <v>1034</v>
      </c>
      <c r="FL11" s="16" t="s">
        <v>2548</v>
      </c>
      <c r="FM11" s="16" t="s">
        <v>3266</v>
      </c>
      <c r="FN11" s="16" t="s">
        <v>5821</v>
      </c>
      <c r="FO11" s="16" t="s">
        <v>1425</v>
      </c>
      <c r="FP11" s="16" t="s">
        <v>4078</v>
      </c>
      <c r="FR11" s="16" t="s">
        <v>5827</v>
      </c>
      <c r="GA11" s="16" t="s">
        <v>4796</v>
      </c>
      <c r="GB11" s="16" t="s">
        <v>1017</v>
      </c>
      <c r="GD11" s="9" t="s">
        <v>6203</v>
      </c>
    </row>
    <row r="12" spans="1:193" ht="14.4" thickBot="1" x14ac:dyDescent="0.35">
      <c r="A12" s="10" t="s">
        <v>6258</v>
      </c>
      <c r="B12" s="4" t="s">
        <v>2186</v>
      </c>
      <c r="C12" s="4" t="s">
        <v>2185</v>
      </c>
      <c r="E12" s="15" t="s">
        <v>5108</v>
      </c>
      <c r="F12" s="16" t="s">
        <v>5131</v>
      </c>
      <c r="G12" s="16" t="s">
        <v>6132</v>
      </c>
      <c r="H12" s="16" t="s">
        <v>1397</v>
      </c>
      <c r="K12" s="16" t="s">
        <v>1804</v>
      </c>
      <c r="L12" s="16" t="s">
        <v>2250</v>
      </c>
      <c r="N12" s="16" t="s">
        <v>2189</v>
      </c>
      <c r="P12" s="16" t="s">
        <v>423</v>
      </c>
      <c r="Q12" s="16" t="s">
        <v>5074</v>
      </c>
      <c r="S12" s="16" t="s">
        <v>4503</v>
      </c>
      <c r="T12" s="16" t="s">
        <v>3637</v>
      </c>
      <c r="U12" s="16" t="s">
        <v>5783</v>
      </c>
      <c r="AA12" s="9" t="s">
        <v>741</v>
      </c>
      <c r="AC12" s="16" t="s">
        <v>4360</v>
      </c>
      <c r="AD12" s="16" t="s">
        <v>3917</v>
      </c>
      <c r="AF12" s="9" t="s">
        <v>2834</v>
      </c>
      <c r="AQ12" s="16" t="s">
        <v>5325</v>
      </c>
      <c r="AR12" s="16" t="s">
        <v>3869</v>
      </c>
      <c r="AT12" s="16" t="s">
        <v>3932</v>
      </c>
      <c r="AU12" s="16" t="s">
        <v>6003</v>
      </c>
      <c r="BB12" s="16" t="s">
        <v>4667</v>
      </c>
      <c r="BC12" s="16" t="s">
        <v>5901</v>
      </c>
      <c r="BD12" s="16" t="s">
        <v>807</v>
      </c>
      <c r="BE12" s="16" t="s">
        <v>1450</v>
      </c>
      <c r="BF12" s="16" t="s">
        <v>5371</v>
      </c>
      <c r="BH12" s="16" t="s">
        <v>4465</v>
      </c>
      <c r="BL12" s="16" t="s">
        <v>1706</v>
      </c>
      <c r="BM12" s="16" t="s">
        <v>5896</v>
      </c>
      <c r="BP12" s="16" t="s">
        <v>2260</v>
      </c>
      <c r="BS12" s="16" t="s">
        <v>4351</v>
      </c>
      <c r="BT12" s="16" t="s">
        <v>366</v>
      </c>
      <c r="BX12" s="16" t="s">
        <v>585</v>
      </c>
      <c r="BY12" s="16" t="s">
        <v>5891</v>
      </c>
      <c r="CD12" s="16" t="s">
        <v>3470</v>
      </c>
      <c r="CM12" s="16" t="s">
        <v>5710</v>
      </c>
      <c r="CN12" s="9" t="s">
        <v>6177</v>
      </c>
      <c r="CO12" s="9" t="s">
        <v>211</v>
      </c>
      <c r="CP12" s="16" t="s">
        <v>2639</v>
      </c>
      <c r="CQ12" s="16" t="s">
        <v>4922</v>
      </c>
      <c r="DB12" s="16" t="s">
        <v>1964</v>
      </c>
      <c r="DH12" s="16" t="s">
        <v>182</v>
      </c>
      <c r="DJ12" s="16" t="s">
        <v>5609</v>
      </c>
      <c r="DK12" s="16" t="s">
        <v>5575</v>
      </c>
      <c r="DN12" s="16" t="s">
        <v>1945</v>
      </c>
      <c r="DQ12" s="16" t="s">
        <v>4868</v>
      </c>
      <c r="EF12" s="16" t="s">
        <v>5472</v>
      </c>
      <c r="EH12" s="16" t="s">
        <v>3343</v>
      </c>
      <c r="EK12" s="16" t="s">
        <v>3360</v>
      </c>
      <c r="EL12" s="16" t="s">
        <v>5387</v>
      </c>
      <c r="EP12" s="9" t="s">
        <v>1921</v>
      </c>
      <c r="ES12" s="16" t="s">
        <v>43</v>
      </c>
      <c r="EW12" s="9" t="s">
        <v>5474</v>
      </c>
      <c r="EY12" s="16" t="s">
        <v>4145</v>
      </c>
      <c r="FC12" s="16" t="s">
        <v>4127</v>
      </c>
      <c r="FE12" s="16" t="s">
        <v>6083</v>
      </c>
      <c r="FK12" s="9" t="s">
        <v>5529</v>
      </c>
      <c r="FL12" s="9" t="s">
        <v>4133</v>
      </c>
      <c r="FM12" s="16" t="s">
        <v>2426</v>
      </c>
      <c r="FN12" s="16" t="s">
        <v>5823</v>
      </c>
      <c r="FO12" s="16" t="s">
        <v>3003</v>
      </c>
      <c r="FP12" s="16" t="s">
        <v>6186</v>
      </c>
      <c r="FR12" s="9" t="s">
        <v>2929</v>
      </c>
      <c r="GA12" s="16" t="s">
        <v>4092</v>
      </c>
      <c r="GB12" s="16" t="s">
        <v>5515</v>
      </c>
    </row>
    <row r="13" spans="1:193" ht="14.4" thickBot="1" x14ac:dyDescent="0.35">
      <c r="A13" s="10" t="s">
        <v>6259</v>
      </c>
      <c r="B13" s="4" t="s">
        <v>1410</v>
      </c>
      <c r="C13" s="4" t="s">
        <v>1409</v>
      </c>
      <c r="E13" s="15" t="s">
        <v>2889</v>
      </c>
      <c r="F13" s="16" t="s">
        <v>827</v>
      </c>
      <c r="G13" s="16" t="s">
        <v>1650</v>
      </c>
      <c r="H13" s="16" t="s">
        <v>475</v>
      </c>
      <c r="K13" s="16" t="s">
        <v>1656</v>
      </c>
      <c r="L13" s="16" t="s">
        <v>1524</v>
      </c>
      <c r="N13" s="16" t="s">
        <v>2999</v>
      </c>
      <c r="P13" s="16" t="s">
        <v>1337</v>
      </c>
      <c r="Q13" s="16" t="s">
        <v>5078</v>
      </c>
      <c r="S13" s="16" t="s">
        <v>2865</v>
      </c>
      <c r="T13" s="16" t="s">
        <v>2877</v>
      </c>
      <c r="U13" s="16" t="s">
        <v>2158</v>
      </c>
      <c r="AC13" s="16" t="s">
        <v>1296</v>
      </c>
      <c r="AD13" s="16" t="s">
        <v>5321</v>
      </c>
      <c r="AQ13" s="16" t="s">
        <v>3921</v>
      </c>
      <c r="AR13" s="16" t="s">
        <v>767</v>
      </c>
      <c r="AT13" s="16" t="s">
        <v>5333</v>
      </c>
      <c r="AU13" s="16" t="s">
        <v>5995</v>
      </c>
      <c r="BB13" s="16" t="s">
        <v>3958</v>
      </c>
      <c r="BC13" s="16" t="s">
        <v>5218</v>
      </c>
      <c r="BD13" s="16" t="s">
        <v>1698</v>
      </c>
      <c r="BE13" s="16" t="s">
        <v>4553</v>
      </c>
      <c r="BF13" s="16" t="s">
        <v>3157</v>
      </c>
      <c r="BH13" s="16" t="s">
        <v>3683</v>
      </c>
      <c r="BL13" s="16" t="s">
        <v>825</v>
      </c>
      <c r="BM13" s="16" t="s">
        <v>5167</v>
      </c>
      <c r="BP13" s="16" t="s">
        <v>2262</v>
      </c>
      <c r="BS13" s="16" t="s">
        <v>1285</v>
      </c>
      <c r="BT13" s="16" t="s">
        <v>3557</v>
      </c>
      <c r="BX13" s="16" t="s">
        <v>5889</v>
      </c>
      <c r="BY13" s="16" t="s">
        <v>3739</v>
      </c>
      <c r="CD13" s="16" t="s">
        <v>5657</v>
      </c>
      <c r="CM13" s="16" t="s">
        <v>1028</v>
      </c>
      <c r="CP13" s="16" t="s">
        <v>5638</v>
      </c>
      <c r="CQ13" s="16" t="s">
        <v>3455</v>
      </c>
      <c r="DB13" s="16" t="s">
        <v>1962</v>
      </c>
      <c r="DH13" s="16" t="s">
        <v>783</v>
      </c>
      <c r="DJ13" s="16" t="s">
        <v>5611</v>
      </c>
      <c r="DK13" s="16" t="s">
        <v>2586</v>
      </c>
      <c r="DN13" s="16" t="s">
        <v>2591</v>
      </c>
      <c r="DQ13" s="16" t="s">
        <v>4190</v>
      </c>
      <c r="EF13" s="16" t="s">
        <v>4778</v>
      </c>
      <c r="EH13" s="16" t="s">
        <v>4149</v>
      </c>
      <c r="EK13" s="16" t="s">
        <v>4158</v>
      </c>
      <c r="EL13" s="16" t="s">
        <v>2422</v>
      </c>
      <c r="ES13" s="16" t="s">
        <v>1044</v>
      </c>
      <c r="EY13" s="9" t="s">
        <v>59</v>
      </c>
      <c r="FC13" s="16" t="s">
        <v>6221</v>
      </c>
      <c r="FE13" s="16" t="s">
        <v>1738</v>
      </c>
      <c r="FM13" s="9" t="s">
        <v>1740</v>
      </c>
      <c r="FN13" s="16" t="s">
        <v>5149</v>
      </c>
      <c r="FO13" s="16" t="s">
        <v>3733</v>
      </c>
      <c r="FP13" s="16" t="s">
        <v>877</v>
      </c>
      <c r="GA13" s="16" t="s">
        <v>4094</v>
      </c>
      <c r="GB13" s="16" t="s">
        <v>1889</v>
      </c>
    </row>
    <row r="14" spans="1:193" ht="14.4" thickBot="1" x14ac:dyDescent="0.35">
      <c r="A14" s="10" t="s">
        <v>6260</v>
      </c>
      <c r="B14" s="4" t="s">
        <v>1414</v>
      </c>
      <c r="C14" s="4" t="s">
        <v>1413</v>
      </c>
      <c r="E14" s="15" t="s">
        <v>5112</v>
      </c>
      <c r="F14" s="16" t="s">
        <v>1395</v>
      </c>
      <c r="G14" s="16" t="s">
        <v>4621</v>
      </c>
      <c r="H14" s="16" t="s">
        <v>579</v>
      </c>
      <c r="K14" s="16" t="s">
        <v>934</v>
      </c>
      <c r="L14" s="16" t="s">
        <v>5883</v>
      </c>
      <c r="N14" s="16" t="s">
        <v>1530</v>
      </c>
      <c r="P14" s="16" t="s">
        <v>2133</v>
      </c>
      <c r="Q14" s="16" t="s">
        <v>4396</v>
      </c>
      <c r="S14" s="16" t="s">
        <v>1372</v>
      </c>
      <c r="T14" s="9" t="s">
        <v>5098</v>
      </c>
      <c r="U14" s="16" t="s">
        <v>5863</v>
      </c>
      <c r="AC14" s="16" t="s">
        <v>2801</v>
      </c>
      <c r="AD14" s="16" t="s">
        <v>1668</v>
      </c>
      <c r="AQ14" s="16" t="s">
        <v>780</v>
      </c>
      <c r="AR14" s="16" t="s">
        <v>3090</v>
      </c>
      <c r="AT14" s="16" t="s">
        <v>6048</v>
      </c>
      <c r="AU14" s="16" t="s">
        <v>732</v>
      </c>
      <c r="BB14" s="16" t="s">
        <v>1692</v>
      </c>
      <c r="BC14" s="16" t="s">
        <v>5220</v>
      </c>
      <c r="BD14" s="16" t="s">
        <v>3968</v>
      </c>
      <c r="BE14" s="16" t="s">
        <v>1580</v>
      </c>
      <c r="BF14" s="16" t="s">
        <v>2492</v>
      </c>
      <c r="BH14" s="16" t="s">
        <v>2201</v>
      </c>
      <c r="BL14" s="16" t="s">
        <v>821</v>
      </c>
      <c r="BM14" s="16" t="s">
        <v>5852</v>
      </c>
      <c r="BP14" s="16" t="s">
        <v>1546</v>
      </c>
      <c r="BS14" s="16" t="s">
        <v>3541</v>
      </c>
      <c r="BT14" s="16" t="s">
        <v>2095</v>
      </c>
      <c r="BX14" s="16" t="s">
        <v>5829</v>
      </c>
      <c r="BY14" s="16" t="s">
        <v>5833</v>
      </c>
      <c r="CD14" s="16" t="s">
        <v>1219</v>
      </c>
      <c r="CM14" s="16" t="s">
        <v>3527</v>
      </c>
      <c r="CP14" s="16" t="s">
        <v>2651</v>
      </c>
      <c r="CQ14" s="16" t="s">
        <v>2017</v>
      </c>
      <c r="DB14" s="9" t="s">
        <v>4199</v>
      </c>
      <c r="DH14" s="16" t="s">
        <v>3419</v>
      </c>
      <c r="DJ14" s="9" t="s">
        <v>3423</v>
      </c>
      <c r="DK14" s="16" t="s">
        <v>1939</v>
      </c>
      <c r="DN14" s="16" t="s">
        <v>1102</v>
      </c>
      <c r="DQ14" s="16" t="s">
        <v>1110</v>
      </c>
      <c r="EF14" s="16" t="s">
        <v>5470</v>
      </c>
      <c r="EH14" s="9" t="s">
        <v>1906</v>
      </c>
      <c r="EK14" s="16" t="s">
        <v>2570</v>
      </c>
      <c r="EL14" s="16" t="s">
        <v>3262</v>
      </c>
      <c r="ES14" s="16" t="s">
        <v>4135</v>
      </c>
      <c r="FC14" s="16" t="s">
        <v>4814</v>
      </c>
      <c r="FE14" s="9" t="s">
        <v>4690</v>
      </c>
      <c r="FN14" s="16" t="s">
        <v>482</v>
      </c>
      <c r="FO14" s="9" t="s">
        <v>5154</v>
      </c>
      <c r="FP14" s="16" t="s">
        <v>1852</v>
      </c>
      <c r="GA14" s="16" t="s">
        <v>4086</v>
      </c>
      <c r="GB14" s="16" t="s">
        <v>4125</v>
      </c>
    </row>
    <row r="15" spans="1:193" ht="14.4" thickBot="1" x14ac:dyDescent="0.35">
      <c r="A15" s="10" t="s">
        <v>6261</v>
      </c>
      <c r="B15" s="4" t="s">
        <v>410</v>
      </c>
      <c r="C15" s="4" t="s">
        <v>409</v>
      </c>
      <c r="E15" s="15" t="s">
        <v>5114</v>
      </c>
      <c r="F15" s="16" t="s">
        <v>5129</v>
      </c>
      <c r="G15" s="16" t="s">
        <v>3897</v>
      </c>
      <c r="H15" s="16" t="s">
        <v>1519</v>
      </c>
      <c r="K15" s="16" t="s">
        <v>4740</v>
      </c>
      <c r="L15" s="16" t="s">
        <v>5198</v>
      </c>
      <c r="N15" s="16" t="s">
        <v>4448</v>
      </c>
      <c r="P15" s="16" t="s">
        <v>2846</v>
      </c>
      <c r="Q15" s="16" t="s">
        <v>429</v>
      </c>
      <c r="S15" s="16" t="s">
        <v>5771</v>
      </c>
      <c r="U15" s="9" t="s">
        <v>5865</v>
      </c>
      <c r="AC15" s="16" t="s">
        <v>4354</v>
      </c>
      <c r="AD15" s="16" t="s">
        <v>5319</v>
      </c>
      <c r="AQ15" s="16" t="s">
        <v>3919</v>
      </c>
      <c r="AR15" s="16" t="s">
        <v>3088</v>
      </c>
      <c r="AT15" s="16" t="s">
        <v>4655</v>
      </c>
      <c r="AU15" s="16" t="s">
        <v>6001</v>
      </c>
      <c r="BB15" s="16" t="s">
        <v>1696</v>
      </c>
      <c r="BC15" s="16" t="s">
        <v>2272</v>
      </c>
      <c r="BD15" s="16" t="s">
        <v>1423</v>
      </c>
      <c r="BE15" s="16" t="s">
        <v>640</v>
      </c>
      <c r="BF15" s="16" t="s">
        <v>6173</v>
      </c>
      <c r="BH15" s="16" t="s">
        <v>5893</v>
      </c>
      <c r="BL15" s="16" t="s">
        <v>819</v>
      </c>
      <c r="BM15" s="16" t="s">
        <v>2215</v>
      </c>
      <c r="BP15" s="16" t="s">
        <v>606</v>
      </c>
      <c r="BS15" s="16" t="s">
        <v>3547</v>
      </c>
      <c r="BT15" s="16" t="s">
        <v>3549</v>
      </c>
      <c r="BX15" s="16" t="s">
        <v>4517</v>
      </c>
      <c r="BY15" s="16" t="s">
        <v>4519</v>
      </c>
      <c r="CD15" s="16" t="s">
        <v>2702</v>
      </c>
      <c r="CM15" s="16" t="s">
        <v>4329</v>
      </c>
      <c r="CP15" s="16" t="s">
        <v>231</v>
      </c>
      <c r="CQ15" s="16" t="s">
        <v>4256</v>
      </c>
      <c r="DH15" s="16" t="s">
        <v>4878</v>
      </c>
      <c r="DK15" s="16" t="s">
        <v>126</v>
      </c>
      <c r="DN15" s="16" t="s">
        <v>3392</v>
      </c>
      <c r="DQ15" s="16" t="s">
        <v>5585</v>
      </c>
      <c r="EF15" s="16" t="s">
        <v>2501</v>
      </c>
      <c r="EK15" s="16" t="s">
        <v>1074</v>
      </c>
      <c r="EL15" s="16" t="s">
        <v>3165</v>
      </c>
      <c r="ES15" s="16" t="s">
        <v>4141</v>
      </c>
      <c r="FC15" s="16" t="s">
        <v>4812</v>
      </c>
      <c r="FN15" s="16" t="s">
        <v>1421</v>
      </c>
      <c r="FP15" s="16" t="s">
        <v>2509</v>
      </c>
      <c r="GA15" s="16" t="s">
        <v>6195</v>
      </c>
      <c r="GB15" s="16" t="s">
        <v>6211</v>
      </c>
    </row>
    <row r="16" spans="1:193" ht="14.4" thickBot="1" x14ac:dyDescent="0.35">
      <c r="A16" s="10" t="s">
        <v>6262</v>
      </c>
      <c r="B16" s="4" t="s">
        <v>426</v>
      </c>
      <c r="C16" s="4" t="s">
        <v>425</v>
      </c>
      <c r="E16" s="15" t="s">
        <v>467</v>
      </c>
      <c r="F16" s="16" t="s">
        <v>3658</v>
      </c>
      <c r="G16" s="16" t="s">
        <v>6007</v>
      </c>
      <c r="H16" s="16" t="s">
        <v>5877</v>
      </c>
      <c r="K16" s="16" t="s">
        <v>747</v>
      </c>
      <c r="L16" s="16" t="s">
        <v>5196</v>
      </c>
      <c r="N16" s="16" t="s">
        <v>4515</v>
      </c>
      <c r="P16" s="16" t="s">
        <v>5055</v>
      </c>
      <c r="Q16" s="16" t="s">
        <v>2137</v>
      </c>
      <c r="S16" s="16" t="s">
        <v>443</v>
      </c>
      <c r="AC16" s="16" t="s">
        <v>1298</v>
      </c>
      <c r="AD16" s="16" t="s">
        <v>3120</v>
      </c>
      <c r="AQ16" s="16" t="s">
        <v>2356</v>
      </c>
      <c r="AR16" s="16" t="s">
        <v>614</v>
      </c>
      <c r="AT16" s="16" t="s">
        <v>2384</v>
      </c>
      <c r="AU16" s="16" t="s">
        <v>3891</v>
      </c>
      <c r="BB16" s="16" t="s">
        <v>1688</v>
      </c>
      <c r="BC16" s="16" t="s">
        <v>4529</v>
      </c>
      <c r="BD16" s="16" t="s">
        <v>3155</v>
      </c>
      <c r="BE16" s="16" t="s">
        <v>1582</v>
      </c>
      <c r="BF16" s="16" t="s">
        <v>5367</v>
      </c>
      <c r="BH16" s="16" t="s">
        <v>4467</v>
      </c>
      <c r="BL16" s="16" t="s">
        <v>823</v>
      </c>
      <c r="BM16" s="16" t="s">
        <v>2217</v>
      </c>
      <c r="BP16" s="16" t="s">
        <v>1482</v>
      </c>
      <c r="BS16" s="16" t="s">
        <v>2789</v>
      </c>
      <c r="BT16" s="16" t="s">
        <v>2795</v>
      </c>
      <c r="BX16" s="9" t="s">
        <v>583</v>
      </c>
      <c r="BY16" s="9" t="s">
        <v>3013</v>
      </c>
      <c r="CD16" s="16" t="s">
        <v>2708</v>
      </c>
      <c r="CM16" s="16" t="s">
        <v>5712</v>
      </c>
      <c r="CP16" s="16" t="s">
        <v>2009</v>
      </c>
      <c r="CQ16" s="16" t="s">
        <v>2663</v>
      </c>
      <c r="DH16" s="16" t="s">
        <v>4217</v>
      </c>
      <c r="DK16" s="16" t="s">
        <v>3378</v>
      </c>
      <c r="DN16" s="16" t="s">
        <v>2593</v>
      </c>
      <c r="DQ16" s="16" t="s">
        <v>1954</v>
      </c>
      <c r="EF16" s="9" t="s">
        <v>3260</v>
      </c>
      <c r="EK16" s="16" t="s">
        <v>97</v>
      </c>
      <c r="EL16" s="16" t="s">
        <v>1722</v>
      </c>
      <c r="ES16" s="16" t="s">
        <v>4139</v>
      </c>
      <c r="FC16" s="16" t="s">
        <v>1024</v>
      </c>
      <c r="FN16" s="16" t="s">
        <v>489</v>
      </c>
      <c r="FP16" s="16" t="s">
        <v>5482</v>
      </c>
      <c r="GA16" s="16" t="s">
        <v>4088</v>
      </c>
      <c r="GB16" s="16" t="s">
        <v>4111</v>
      </c>
    </row>
    <row r="17" spans="1:184" ht="14.4" thickBot="1" x14ac:dyDescent="0.35">
      <c r="A17" s="10" t="s">
        <v>6263</v>
      </c>
      <c r="B17" s="4" t="s">
        <v>2140</v>
      </c>
      <c r="C17" s="4" t="s">
        <v>2139</v>
      </c>
      <c r="E17" s="15" t="s">
        <v>5100</v>
      </c>
      <c r="F17" s="16" t="s">
        <v>2914</v>
      </c>
      <c r="G17" s="16" t="s">
        <v>3232</v>
      </c>
      <c r="H17" s="16" t="s">
        <v>5875</v>
      </c>
      <c r="K17" s="16" t="s">
        <v>1802</v>
      </c>
      <c r="L17" s="16" t="s">
        <v>3731</v>
      </c>
      <c r="N17" s="9" t="s">
        <v>5815</v>
      </c>
      <c r="P17" s="16" t="s">
        <v>411</v>
      </c>
      <c r="Q17" s="16" t="s">
        <v>1358</v>
      </c>
      <c r="S17" s="16" t="s">
        <v>4402</v>
      </c>
      <c r="AC17" s="16" t="s">
        <v>5027</v>
      </c>
      <c r="AD17" s="16" t="s">
        <v>2344</v>
      </c>
      <c r="AQ17" s="16" t="s">
        <v>3126</v>
      </c>
      <c r="AR17" s="16" t="s">
        <v>3821</v>
      </c>
      <c r="AT17" s="16" t="s">
        <v>3148</v>
      </c>
      <c r="AU17" s="16" t="s">
        <v>3893</v>
      </c>
      <c r="BB17" s="16" t="s">
        <v>1846</v>
      </c>
      <c r="BC17" s="16" t="s">
        <v>3763</v>
      </c>
      <c r="BD17" s="16" t="s">
        <v>2490</v>
      </c>
      <c r="BE17" s="16" t="s">
        <v>1578</v>
      </c>
      <c r="BF17" s="16" t="s">
        <v>2394</v>
      </c>
      <c r="BH17" s="16" t="s">
        <v>2208</v>
      </c>
      <c r="BL17" s="9" t="s">
        <v>3980</v>
      </c>
      <c r="BM17" s="16" t="s">
        <v>1473</v>
      </c>
      <c r="BP17" s="16" t="s">
        <v>4487</v>
      </c>
      <c r="BS17" s="16" t="s">
        <v>5716</v>
      </c>
      <c r="BT17" s="16" t="s">
        <v>2797</v>
      </c>
      <c r="CD17" s="16" t="s">
        <v>5000</v>
      </c>
      <c r="CM17" s="16" t="s">
        <v>2771</v>
      </c>
      <c r="CP17" s="16" t="s">
        <v>2015</v>
      </c>
      <c r="CQ17" s="16" t="s">
        <v>1187</v>
      </c>
      <c r="DH17" s="16" t="s">
        <v>339</v>
      </c>
      <c r="DK17" s="16" t="s">
        <v>4176</v>
      </c>
      <c r="DN17" s="16" t="s">
        <v>3390</v>
      </c>
      <c r="DQ17" s="9" t="s">
        <v>4866</v>
      </c>
      <c r="EK17" s="16" t="s">
        <v>5553</v>
      </c>
      <c r="EL17" s="16" t="s">
        <v>4683</v>
      </c>
      <c r="ES17" s="16" t="s">
        <v>4818</v>
      </c>
      <c r="FC17" s="16" t="s">
        <v>1894</v>
      </c>
      <c r="FN17" s="16" t="s">
        <v>1417</v>
      </c>
      <c r="FP17" s="16" t="s">
        <v>5484</v>
      </c>
      <c r="GA17" s="16" t="s">
        <v>2519</v>
      </c>
      <c r="GB17" s="16" t="s">
        <v>2528</v>
      </c>
    </row>
    <row r="18" spans="1:184" ht="14.4" thickBot="1" x14ac:dyDescent="0.35">
      <c r="A18" s="10" t="s">
        <v>6264</v>
      </c>
      <c r="B18" s="4" t="s">
        <v>434</v>
      </c>
      <c r="C18" s="4" t="s">
        <v>433</v>
      </c>
      <c r="E18" s="15" t="s">
        <v>3643</v>
      </c>
      <c r="F18" s="16" t="s">
        <v>2242</v>
      </c>
      <c r="G18" s="16" t="s">
        <v>4625</v>
      </c>
      <c r="H18" s="16" t="s">
        <v>4435</v>
      </c>
      <c r="K18" s="16" t="s">
        <v>2466</v>
      </c>
      <c r="L18" s="9" t="s">
        <v>2997</v>
      </c>
      <c r="P18" s="16" t="s">
        <v>335</v>
      </c>
      <c r="Q18" s="16" t="s">
        <v>1497</v>
      </c>
      <c r="S18" s="16" t="s">
        <v>2875</v>
      </c>
      <c r="AC18" s="16" t="s">
        <v>4375</v>
      </c>
      <c r="AD18" s="16" t="s">
        <v>588</v>
      </c>
      <c r="AQ18" s="16" t="s">
        <v>6040</v>
      </c>
      <c r="AR18" s="16" t="s">
        <v>1614</v>
      </c>
      <c r="AT18" s="16" t="s">
        <v>5353</v>
      </c>
      <c r="AU18" s="16" t="s">
        <v>730</v>
      </c>
      <c r="BB18" s="16" t="s">
        <v>4068</v>
      </c>
      <c r="BC18" s="16" t="s">
        <v>612</v>
      </c>
      <c r="BD18" s="16" t="s">
        <v>3969</v>
      </c>
      <c r="BE18" s="16" t="s">
        <v>5922</v>
      </c>
      <c r="BF18" s="9" t="s">
        <v>964</v>
      </c>
      <c r="BH18" s="16" t="s">
        <v>1458</v>
      </c>
      <c r="BM18" s="16" t="s">
        <v>3703</v>
      </c>
      <c r="BP18" s="16" t="s">
        <v>1542</v>
      </c>
      <c r="BS18" s="16" t="s">
        <v>356</v>
      </c>
      <c r="BT18" s="16" t="s">
        <v>368</v>
      </c>
      <c r="CD18" s="16" t="s">
        <v>3519</v>
      </c>
      <c r="CM18" s="16" t="s">
        <v>4331</v>
      </c>
      <c r="CP18" s="16" t="s">
        <v>1177</v>
      </c>
      <c r="CQ18" s="16" t="s">
        <v>241</v>
      </c>
      <c r="DH18" s="16" t="s">
        <v>4880</v>
      </c>
      <c r="DK18" s="16" t="s">
        <v>1092</v>
      </c>
      <c r="DN18" s="16" t="s">
        <v>147</v>
      </c>
      <c r="EK18" s="16" t="s">
        <v>3358</v>
      </c>
      <c r="EL18" s="16" t="s">
        <v>1728</v>
      </c>
      <c r="ES18" s="16" t="s">
        <v>4820</v>
      </c>
      <c r="FC18" s="16" t="s">
        <v>1026</v>
      </c>
      <c r="FN18" s="9" t="s">
        <v>2193</v>
      </c>
      <c r="FP18" s="16" t="s">
        <v>2511</v>
      </c>
      <c r="GA18" s="16" t="s">
        <v>6199</v>
      </c>
      <c r="GB18" s="16" t="s">
        <v>4117</v>
      </c>
    </row>
    <row r="19" spans="1:184" ht="14.4" thickBot="1" x14ac:dyDescent="0.35">
      <c r="A19" s="10" t="s">
        <v>6265</v>
      </c>
      <c r="B19" s="4" t="s">
        <v>446</v>
      </c>
      <c r="C19" s="4" t="s">
        <v>445</v>
      </c>
      <c r="E19" s="15" t="s">
        <v>463</v>
      </c>
      <c r="F19" s="16" t="s">
        <v>471</v>
      </c>
      <c r="G19" s="9" t="s">
        <v>4623</v>
      </c>
      <c r="H19" s="16" t="s">
        <v>5800</v>
      </c>
      <c r="K19" s="16" t="s">
        <v>5297</v>
      </c>
      <c r="P19" s="16" t="s">
        <v>4385</v>
      </c>
      <c r="Q19" s="16" t="s">
        <v>1350</v>
      </c>
      <c r="S19" s="16" t="s">
        <v>5186</v>
      </c>
      <c r="AC19" s="16" t="s">
        <v>4364</v>
      </c>
      <c r="AD19" s="16" t="s">
        <v>5317</v>
      </c>
      <c r="AQ19" s="16" t="s">
        <v>1672</v>
      </c>
      <c r="AR19" s="16" t="s">
        <v>3057</v>
      </c>
      <c r="AT19" s="16" t="s">
        <v>2358</v>
      </c>
      <c r="AU19" s="16" t="s">
        <v>3885</v>
      </c>
      <c r="BB19" s="16" t="s">
        <v>6171</v>
      </c>
      <c r="BC19" s="16" t="s">
        <v>1558</v>
      </c>
      <c r="BD19" s="16" t="s">
        <v>6063</v>
      </c>
      <c r="BE19" s="16" t="s">
        <v>5228</v>
      </c>
      <c r="BH19" s="16" t="s">
        <v>1460</v>
      </c>
      <c r="BM19" s="16" t="s">
        <v>534</v>
      </c>
      <c r="BP19" s="16" t="s">
        <v>2959</v>
      </c>
      <c r="BS19" s="16" t="s">
        <v>2093</v>
      </c>
      <c r="BT19" s="16" t="s">
        <v>2097</v>
      </c>
      <c r="CD19" s="16" t="s">
        <v>4282</v>
      </c>
      <c r="CM19" s="16" t="s">
        <v>2783</v>
      </c>
      <c r="CP19" s="16" t="s">
        <v>2013</v>
      </c>
      <c r="CQ19" s="16" t="s">
        <v>4920</v>
      </c>
      <c r="DH19" s="16" t="s">
        <v>1149</v>
      </c>
      <c r="DK19" s="16" t="s">
        <v>1941</v>
      </c>
      <c r="DN19" s="16" t="s">
        <v>3389</v>
      </c>
      <c r="EK19" s="16" t="s">
        <v>4156</v>
      </c>
      <c r="EL19" s="16" t="s">
        <v>4681</v>
      </c>
      <c r="ES19" s="9" t="s">
        <v>3329</v>
      </c>
      <c r="FC19" s="16" t="s">
        <v>5521</v>
      </c>
      <c r="FP19" s="16" t="s">
        <v>4701</v>
      </c>
      <c r="GA19" s="16" t="s">
        <v>5498</v>
      </c>
      <c r="GB19" s="16" t="s">
        <v>5507</v>
      </c>
    </row>
    <row r="20" spans="1:184" ht="14.4" thickBot="1" x14ac:dyDescent="0.35">
      <c r="A20" s="10" t="s">
        <v>6266</v>
      </c>
      <c r="B20" s="4" t="s">
        <v>451</v>
      </c>
      <c r="C20" s="4" t="s">
        <v>450</v>
      </c>
      <c r="E20" s="15" t="s">
        <v>5102</v>
      </c>
      <c r="F20" s="16" t="s">
        <v>3653</v>
      </c>
      <c r="H20" s="16" t="s">
        <v>2921</v>
      </c>
      <c r="K20" s="16" t="s">
        <v>4631</v>
      </c>
      <c r="P20" s="16" t="s">
        <v>1346</v>
      </c>
      <c r="Q20" s="16" t="s">
        <v>1352</v>
      </c>
      <c r="S20" s="16" t="s">
        <v>2236</v>
      </c>
      <c r="AC20" s="16" t="s">
        <v>5733</v>
      </c>
      <c r="AD20" s="16" t="s">
        <v>3119</v>
      </c>
      <c r="AQ20" s="16" t="s">
        <v>1826</v>
      </c>
      <c r="AR20" s="16" t="s">
        <v>3867</v>
      </c>
      <c r="AT20" s="16" t="s">
        <v>6161</v>
      </c>
      <c r="AU20" s="16" t="s">
        <v>2464</v>
      </c>
      <c r="BB20" s="16" t="s">
        <v>958</v>
      </c>
      <c r="BC20" s="16" t="s">
        <v>5899</v>
      </c>
      <c r="BD20" s="16" t="s">
        <v>960</v>
      </c>
      <c r="BE20" s="16" t="s">
        <v>3777</v>
      </c>
      <c r="BH20" s="16" t="s">
        <v>1456</v>
      </c>
      <c r="BM20" s="16" t="s">
        <v>4471</v>
      </c>
      <c r="BP20" s="16" t="s">
        <v>5897</v>
      </c>
      <c r="BS20" s="16" t="s">
        <v>5019</v>
      </c>
      <c r="BT20" s="9" t="s">
        <v>3559</v>
      </c>
      <c r="CD20" s="16" t="s">
        <v>1217</v>
      </c>
      <c r="CM20" s="16" t="s">
        <v>3525</v>
      </c>
      <c r="CP20" s="16" t="s">
        <v>3431</v>
      </c>
      <c r="CQ20" s="16" t="s">
        <v>2673</v>
      </c>
      <c r="DH20" s="16" t="s">
        <v>5595</v>
      </c>
      <c r="DK20" s="16" t="s">
        <v>2588</v>
      </c>
      <c r="DN20" s="16" t="s">
        <v>1949</v>
      </c>
      <c r="EK20" s="16" t="s">
        <v>118</v>
      </c>
      <c r="EL20" s="16" t="s">
        <v>6081</v>
      </c>
      <c r="FC20" s="9" t="s">
        <v>1022</v>
      </c>
      <c r="FP20" s="16" t="s">
        <v>328</v>
      </c>
      <c r="GA20" s="16" t="s">
        <v>994</v>
      </c>
      <c r="GB20" s="16" t="s">
        <v>5513</v>
      </c>
    </row>
    <row r="21" spans="1:184" ht="14.4" thickBot="1" x14ac:dyDescent="0.35">
      <c r="A21" s="10" t="s">
        <v>6267</v>
      </c>
      <c r="B21" s="4" t="s">
        <v>1381</v>
      </c>
      <c r="C21" s="4" t="s">
        <v>1380</v>
      </c>
      <c r="E21" s="15" t="s">
        <v>2885</v>
      </c>
      <c r="F21" s="16" t="s">
        <v>2912</v>
      </c>
      <c r="H21" s="16" t="s">
        <v>5812</v>
      </c>
      <c r="K21" s="16" t="s">
        <v>1800</v>
      </c>
      <c r="P21" s="16" t="s">
        <v>1344</v>
      </c>
      <c r="Q21" s="16" t="s">
        <v>5857</v>
      </c>
      <c r="S21" s="16" t="s">
        <v>4501</v>
      </c>
      <c r="AC21" s="16" t="s">
        <v>396</v>
      </c>
      <c r="AD21" s="16" t="s">
        <v>3913</v>
      </c>
      <c r="AQ21" s="16" t="s">
        <v>6156</v>
      </c>
      <c r="AR21" s="16" t="s">
        <v>6096</v>
      </c>
      <c r="AT21" s="16" t="s">
        <v>2386</v>
      </c>
      <c r="AU21" s="16" t="s">
        <v>4613</v>
      </c>
      <c r="BB21" s="16" t="s">
        <v>3258</v>
      </c>
      <c r="BC21" s="16" t="s">
        <v>2270</v>
      </c>
      <c r="BD21" s="9" t="s">
        <v>3966</v>
      </c>
      <c r="BE21" s="16" t="s">
        <v>5226</v>
      </c>
      <c r="BH21" s="16" t="s">
        <v>5163</v>
      </c>
      <c r="BM21" s="16" t="s">
        <v>600</v>
      </c>
      <c r="BP21" s="16" t="s">
        <v>1480</v>
      </c>
      <c r="BS21" s="16" t="s">
        <v>5017</v>
      </c>
      <c r="CD21" s="16" t="s">
        <v>255</v>
      </c>
      <c r="CM21" s="16" t="s">
        <v>2781</v>
      </c>
      <c r="CP21" s="16" t="s">
        <v>1995</v>
      </c>
      <c r="CQ21" s="16" t="s">
        <v>2665</v>
      </c>
      <c r="DH21" s="16" t="s">
        <v>4215</v>
      </c>
      <c r="DK21" s="16" t="s">
        <v>3380</v>
      </c>
      <c r="DN21" s="16" t="s">
        <v>1098</v>
      </c>
      <c r="EK21" s="16" t="s">
        <v>5555</v>
      </c>
      <c r="EL21" s="16" t="s">
        <v>4684</v>
      </c>
      <c r="FP21" s="16" t="s">
        <v>873</v>
      </c>
      <c r="GA21" s="16" t="s">
        <v>4096</v>
      </c>
      <c r="GB21" s="16" t="s">
        <v>2530</v>
      </c>
    </row>
    <row r="22" spans="1:184" ht="14.4" thickBot="1" x14ac:dyDescent="0.35">
      <c r="A22" s="10" t="s">
        <v>6268</v>
      </c>
      <c r="B22" s="4" t="s">
        <v>2161</v>
      </c>
      <c r="C22" s="4" t="s">
        <v>2160</v>
      </c>
      <c r="E22" s="15" t="s">
        <v>1511</v>
      </c>
      <c r="F22" s="16" t="s">
        <v>5128</v>
      </c>
      <c r="H22" s="16" t="s">
        <v>3664</v>
      </c>
      <c r="K22" s="16" t="s">
        <v>6011</v>
      </c>
      <c r="P22" s="16" t="s">
        <v>243</v>
      </c>
      <c r="Q22" s="16" t="s">
        <v>5765</v>
      </c>
      <c r="S22" s="16" t="s">
        <v>3633</v>
      </c>
      <c r="AC22" s="16" t="s">
        <v>1195</v>
      </c>
      <c r="AD22" s="16" t="s">
        <v>5450</v>
      </c>
      <c r="AQ22" s="16" t="s">
        <v>1824</v>
      </c>
      <c r="AR22" s="16" t="s">
        <v>677</v>
      </c>
      <c r="AT22" s="16" t="s">
        <v>2364</v>
      </c>
      <c r="AU22" s="16" t="s">
        <v>1796</v>
      </c>
      <c r="BB22" s="16" t="s">
        <v>6165</v>
      </c>
      <c r="BC22" s="16" t="s">
        <v>3759</v>
      </c>
      <c r="BE22" s="16" t="s">
        <v>3045</v>
      </c>
      <c r="BH22" s="16" t="s">
        <v>2204</v>
      </c>
      <c r="BM22" s="16" t="s">
        <v>602</v>
      </c>
      <c r="BP22" s="16" t="s">
        <v>4525</v>
      </c>
      <c r="BS22" s="16" t="s">
        <v>358</v>
      </c>
      <c r="CD22" s="16" t="s">
        <v>1213</v>
      </c>
      <c r="CM22" s="16" t="s">
        <v>1277</v>
      </c>
      <c r="CP22" s="16" t="s">
        <v>3437</v>
      </c>
      <c r="CQ22" s="16" t="s">
        <v>5647</v>
      </c>
      <c r="DH22" s="16" t="s">
        <v>4897</v>
      </c>
      <c r="DK22" s="16" t="s">
        <v>4174</v>
      </c>
      <c r="DN22" s="16" t="s">
        <v>3387</v>
      </c>
      <c r="EK22" s="16" t="s">
        <v>4152</v>
      </c>
      <c r="EL22" s="16" t="s">
        <v>5385</v>
      </c>
      <c r="FP22" s="16" t="s">
        <v>5478</v>
      </c>
      <c r="GA22" s="16" t="s">
        <v>1871</v>
      </c>
      <c r="GB22" s="16" t="s">
        <v>124</v>
      </c>
    </row>
    <row r="23" spans="1:184" ht="14.4" thickBot="1" x14ac:dyDescent="0.35">
      <c r="A23" s="10" t="s">
        <v>6269</v>
      </c>
      <c r="B23" s="4" t="s">
        <v>5303</v>
      </c>
      <c r="C23" s="4" t="s">
        <v>3809</v>
      </c>
      <c r="E23" s="15" t="s">
        <v>1509</v>
      </c>
      <c r="F23" s="16" t="s">
        <v>2578</v>
      </c>
      <c r="H23" s="16" t="s">
        <v>5132</v>
      </c>
      <c r="K23" s="16" t="s">
        <v>3105</v>
      </c>
      <c r="P23" s="16" t="s">
        <v>417</v>
      </c>
      <c r="Q23" s="16" t="s">
        <v>3611</v>
      </c>
      <c r="S23" s="16" t="s">
        <v>2873</v>
      </c>
      <c r="AC23" s="16" t="s">
        <v>1312</v>
      </c>
      <c r="AD23" s="16" t="s">
        <v>6138</v>
      </c>
      <c r="AQ23" s="16" t="s">
        <v>5460</v>
      </c>
      <c r="AR23" s="16" t="s">
        <v>3863</v>
      </c>
      <c r="AT23" s="16" t="s">
        <v>3134</v>
      </c>
      <c r="AU23" s="16" t="s">
        <v>2333</v>
      </c>
      <c r="BB23" s="16" t="s">
        <v>5464</v>
      </c>
      <c r="BC23" s="16" t="s">
        <v>3025</v>
      </c>
      <c r="BE23" s="16" t="s">
        <v>3029</v>
      </c>
      <c r="BH23" s="16" t="s">
        <v>2206</v>
      </c>
      <c r="BM23" s="16" t="s">
        <v>3750</v>
      </c>
      <c r="BP23" s="16" t="s">
        <v>608</v>
      </c>
      <c r="BS23" s="16" t="s">
        <v>3539</v>
      </c>
      <c r="CD23" s="16" t="s">
        <v>4268</v>
      </c>
      <c r="CM23" s="16" t="s">
        <v>345</v>
      </c>
      <c r="CP23" s="16" t="s">
        <v>229</v>
      </c>
      <c r="CQ23" s="16" t="s">
        <v>2669</v>
      </c>
      <c r="DH23" s="16" t="s">
        <v>5607</v>
      </c>
      <c r="DK23" s="16" t="s">
        <v>4180</v>
      </c>
      <c r="DN23" s="9" t="s">
        <v>1947</v>
      </c>
      <c r="EK23" s="16" t="s">
        <v>1061</v>
      </c>
      <c r="EL23" s="16" t="s">
        <v>3991</v>
      </c>
      <c r="FP23" s="16" t="s">
        <v>3174</v>
      </c>
      <c r="GA23" s="16" t="s">
        <v>3288</v>
      </c>
      <c r="GB23" s="16" t="s">
        <v>2532</v>
      </c>
    </row>
    <row r="24" spans="1:184" ht="14.4" thickBot="1" x14ac:dyDescent="0.35">
      <c r="A24" s="10" t="s">
        <v>6270</v>
      </c>
      <c r="B24" s="4" t="s">
        <v>457</v>
      </c>
      <c r="C24" s="4" t="s">
        <v>456</v>
      </c>
      <c r="E24" s="15" t="s">
        <v>3645</v>
      </c>
      <c r="F24" s="16" t="s">
        <v>2904</v>
      </c>
      <c r="H24" s="16" t="s">
        <v>2917</v>
      </c>
      <c r="K24" s="16" t="s">
        <v>1660</v>
      </c>
      <c r="P24" s="16" t="s">
        <v>5755</v>
      </c>
      <c r="Q24" s="16" t="s">
        <v>431</v>
      </c>
      <c r="S24" s="16" t="s">
        <v>1360</v>
      </c>
      <c r="AC24" s="16" t="s">
        <v>5729</v>
      </c>
      <c r="AD24" s="16" t="s">
        <v>940</v>
      </c>
      <c r="AQ24" s="16" t="s">
        <v>1674</v>
      </c>
      <c r="AR24" s="16" t="s">
        <v>1619</v>
      </c>
      <c r="AT24" s="16" t="s">
        <v>3928</v>
      </c>
      <c r="AU24" s="16" t="s">
        <v>3226</v>
      </c>
      <c r="BB24" s="16" t="s">
        <v>4066</v>
      </c>
      <c r="BC24" s="16" t="s">
        <v>4533</v>
      </c>
      <c r="BE24" s="16" t="s">
        <v>658</v>
      </c>
      <c r="BH24" s="16" t="s">
        <v>514</v>
      </c>
      <c r="BM24" s="16" t="s">
        <v>4523</v>
      </c>
      <c r="BP24" s="9" t="s">
        <v>5854</v>
      </c>
      <c r="BS24" s="16" t="s">
        <v>4347</v>
      </c>
      <c r="CD24" s="16" t="s">
        <v>1203</v>
      </c>
      <c r="CM24" s="16" t="s">
        <v>351</v>
      </c>
      <c r="CP24" s="16" t="s">
        <v>112</v>
      </c>
      <c r="CQ24" s="16" t="s">
        <v>235</v>
      </c>
      <c r="DH24" s="16" t="s">
        <v>1982</v>
      </c>
      <c r="DK24" s="16" t="s">
        <v>4178</v>
      </c>
      <c r="EK24" s="16" t="s">
        <v>1908</v>
      </c>
      <c r="EL24" s="16" t="s">
        <v>840</v>
      </c>
      <c r="FP24" s="16" t="s">
        <v>4790</v>
      </c>
      <c r="GA24" s="16" t="s">
        <v>992</v>
      </c>
      <c r="GB24" s="16" t="s">
        <v>3303</v>
      </c>
    </row>
    <row r="25" spans="1:184" ht="14.4" thickBot="1" x14ac:dyDescent="0.35">
      <c r="A25" s="10" t="s">
        <v>6271</v>
      </c>
      <c r="B25" s="4" t="s">
        <v>3640</v>
      </c>
      <c r="C25" s="4" t="s">
        <v>3639</v>
      </c>
      <c r="E25" s="15" t="s">
        <v>5188</v>
      </c>
      <c r="F25" s="16" t="s">
        <v>4431</v>
      </c>
      <c r="H25" s="16" t="s">
        <v>1517</v>
      </c>
      <c r="K25" s="16" t="s">
        <v>1658</v>
      </c>
      <c r="P25" s="16" t="s">
        <v>3596</v>
      </c>
      <c r="Q25" s="16" t="s">
        <v>3609</v>
      </c>
      <c r="S25" s="16" t="s">
        <v>3713</v>
      </c>
      <c r="AC25" s="16" t="s">
        <v>5040</v>
      </c>
      <c r="AD25" s="16" t="s">
        <v>4744</v>
      </c>
      <c r="AQ25" s="16" t="s">
        <v>6036</v>
      </c>
      <c r="AR25" s="16" t="s">
        <v>4714</v>
      </c>
      <c r="AT25" s="16" t="s">
        <v>5351</v>
      </c>
      <c r="AU25" s="16" t="s">
        <v>5999</v>
      </c>
      <c r="BB25" s="16" t="s">
        <v>1844</v>
      </c>
      <c r="BC25" s="16" t="s">
        <v>3761</v>
      </c>
      <c r="BE25" s="16" t="s">
        <v>3796</v>
      </c>
      <c r="BH25" s="16" t="s">
        <v>5845</v>
      </c>
      <c r="BM25" s="16" t="s">
        <v>2258</v>
      </c>
      <c r="BS25" s="16" t="s">
        <v>360</v>
      </c>
      <c r="CD25" s="16" t="s">
        <v>4998</v>
      </c>
      <c r="CM25" s="16" t="s">
        <v>349</v>
      </c>
      <c r="CP25" s="16" t="s">
        <v>4904</v>
      </c>
      <c r="CQ25" s="16" t="s">
        <v>1181</v>
      </c>
      <c r="DH25" s="16" t="s">
        <v>1155</v>
      </c>
      <c r="DK25" s="9" t="s">
        <v>3376</v>
      </c>
      <c r="EK25" s="16" t="s">
        <v>3362</v>
      </c>
      <c r="EL25" s="16" t="s">
        <v>6077</v>
      </c>
      <c r="FP25" s="16" t="s">
        <v>867</v>
      </c>
      <c r="GA25" s="16" t="s">
        <v>1875</v>
      </c>
      <c r="GB25" s="16" t="s">
        <v>4810</v>
      </c>
    </row>
    <row r="26" spans="1:184" ht="14.4" thickBot="1" x14ac:dyDescent="0.35">
      <c r="A26" s="10" t="s">
        <v>6272</v>
      </c>
      <c r="B26" s="4" t="s">
        <v>736</v>
      </c>
      <c r="C26" s="4" t="s">
        <v>735</v>
      </c>
      <c r="E26" s="15" t="s">
        <v>5104</v>
      </c>
      <c r="F26" s="16" t="s">
        <v>2987</v>
      </c>
      <c r="H26" s="16" t="s">
        <v>5806</v>
      </c>
      <c r="K26" s="16" t="s">
        <v>3901</v>
      </c>
      <c r="P26" s="16" t="s">
        <v>2967</v>
      </c>
      <c r="Q26" s="16" t="s">
        <v>5076</v>
      </c>
      <c r="S26" s="16" t="s">
        <v>4409</v>
      </c>
      <c r="AC26" s="16" t="s">
        <v>386</v>
      </c>
      <c r="AD26" s="16" t="s">
        <v>1812</v>
      </c>
      <c r="AQ26" s="16" t="s">
        <v>6038</v>
      </c>
      <c r="AR26" s="16" t="s">
        <v>5950</v>
      </c>
      <c r="AT26" s="16" t="s">
        <v>3942</v>
      </c>
      <c r="AU26" s="16" t="s">
        <v>1798</v>
      </c>
      <c r="BB26" s="16" t="s">
        <v>4064</v>
      </c>
      <c r="BC26" s="9" t="s">
        <v>4531</v>
      </c>
      <c r="BE26" s="16" t="s">
        <v>626</v>
      </c>
      <c r="BH26" s="16" t="s">
        <v>3693</v>
      </c>
      <c r="BM26" s="16" t="s">
        <v>3748</v>
      </c>
      <c r="BS26" s="16" t="s">
        <v>2785</v>
      </c>
      <c r="CD26" s="16" t="s">
        <v>5005</v>
      </c>
      <c r="CM26" s="16" t="s">
        <v>2083</v>
      </c>
      <c r="CP26" s="16" t="s">
        <v>4231</v>
      </c>
      <c r="CQ26" s="16" t="s">
        <v>2681</v>
      </c>
      <c r="DH26" s="16" t="s">
        <v>5597</v>
      </c>
      <c r="EK26" s="16" t="s">
        <v>4154</v>
      </c>
      <c r="EL26" s="16" t="s">
        <v>844</v>
      </c>
      <c r="FP26" s="16" t="s">
        <v>5397</v>
      </c>
      <c r="GA26" s="16" t="s">
        <v>3284</v>
      </c>
      <c r="GB26" s="16" t="s">
        <v>4119</v>
      </c>
    </row>
    <row r="27" spans="1:184" ht="14.4" thickBot="1" x14ac:dyDescent="0.35">
      <c r="A27" s="10" t="s">
        <v>6273</v>
      </c>
      <c r="B27" s="4" t="s">
        <v>1641</v>
      </c>
      <c r="C27" s="4" t="s">
        <v>1640</v>
      </c>
      <c r="E27" s="17" t="s">
        <v>4419</v>
      </c>
      <c r="F27" s="16" t="s">
        <v>2902</v>
      </c>
      <c r="H27" s="16" t="s">
        <v>4513</v>
      </c>
      <c r="K27" s="16" t="s">
        <v>5299</v>
      </c>
      <c r="P27" s="16" t="s">
        <v>5759</v>
      </c>
      <c r="Q27" s="16" t="s">
        <v>4394</v>
      </c>
      <c r="S27" s="16" t="s">
        <v>3715</v>
      </c>
      <c r="AC27" s="16" t="s">
        <v>3574</v>
      </c>
      <c r="AD27" s="16" t="s">
        <v>4047</v>
      </c>
      <c r="AQ27" s="16" t="s">
        <v>1670</v>
      </c>
      <c r="AR27" s="16" t="s">
        <v>5409</v>
      </c>
      <c r="AT27" s="16" t="s">
        <v>2382</v>
      </c>
      <c r="AU27" s="16" t="s">
        <v>3228</v>
      </c>
      <c r="BB27" s="16" t="s">
        <v>4774</v>
      </c>
      <c r="BE27" s="16" t="s">
        <v>3035</v>
      </c>
      <c r="BH27" s="16" t="s">
        <v>1048</v>
      </c>
      <c r="BM27" s="16" t="s">
        <v>596</v>
      </c>
      <c r="BS27" s="16" t="s">
        <v>4345</v>
      </c>
      <c r="CD27" s="16" t="s">
        <v>312</v>
      </c>
      <c r="CM27" s="16" t="s">
        <v>5714</v>
      </c>
      <c r="CP27" s="16" t="s">
        <v>2643</v>
      </c>
      <c r="CQ27" s="16" t="s">
        <v>2667</v>
      </c>
      <c r="DH27" s="16" t="s">
        <v>193</v>
      </c>
      <c r="EK27" s="16" t="s">
        <v>99</v>
      </c>
      <c r="EL27" s="16" t="s">
        <v>6079</v>
      </c>
      <c r="FP27" s="16" t="s">
        <v>879</v>
      </c>
      <c r="GA27" s="16" t="s">
        <v>990</v>
      </c>
      <c r="GB27" s="16" t="s">
        <v>1015</v>
      </c>
    </row>
    <row r="28" spans="1:184" ht="14.4" thickBot="1" x14ac:dyDescent="0.35">
      <c r="A28" s="10" t="s">
        <v>6274</v>
      </c>
      <c r="B28" s="4" t="s">
        <v>372</v>
      </c>
      <c r="C28" s="4" t="s">
        <v>371</v>
      </c>
      <c r="F28" s="16" t="s">
        <v>2910</v>
      </c>
      <c r="H28" s="16" t="s">
        <v>2915</v>
      </c>
      <c r="K28" s="16" t="s">
        <v>4039</v>
      </c>
      <c r="P28" s="16" t="s">
        <v>3594</v>
      </c>
      <c r="Q28" s="16" t="s">
        <v>427</v>
      </c>
      <c r="S28" s="16" t="s">
        <v>5092</v>
      </c>
      <c r="AC28" s="16" t="s">
        <v>1040</v>
      </c>
      <c r="AD28" s="16" t="s">
        <v>1814</v>
      </c>
      <c r="AQ28" s="16" t="s">
        <v>1820</v>
      </c>
      <c r="AR28" s="16" t="s">
        <v>2405</v>
      </c>
      <c r="AT28" s="16" t="s">
        <v>2374</v>
      </c>
      <c r="AU28" s="16" t="s">
        <v>932</v>
      </c>
      <c r="BB28" s="16" t="s">
        <v>4772</v>
      </c>
      <c r="BE28" s="16" t="s">
        <v>2280</v>
      </c>
      <c r="BH28" s="16" t="s">
        <v>1464</v>
      </c>
      <c r="BM28" s="16" t="s">
        <v>4475</v>
      </c>
      <c r="BS28" s="16" t="s">
        <v>4349</v>
      </c>
      <c r="CD28" s="16" t="s">
        <v>2761</v>
      </c>
      <c r="CM28" s="16" t="s">
        <v>3533</v>
      </c>
      <c r="CP28" s="16" t="s">
        <v>4916</v>
      </c>
      <c r="CQ28" s="16" t="s">
        <v>4248</v>
      </c>
      <c r="DH28" s="16" t="s">
        <v>4211</v>
      </c>
      <c r="EK28" s="16" t="s">
        <v>3351</v>
      </c>
      <c r="EL28" s="16" t="s">
        <v>2420</v>
      </c>
      <c r="FP28" s="16" t="s">
        <v>3176</v>
      </c>
      <c r="GA28" s="16" t="s">
        <v>5496</v>
      </c>
      <c r="GB28" s="16" t="s">
        <v>5509</v>
      </c>
    </row>
    <row r="29" spans="1:184" ht="14.4" thickBot="1" x14ac:dyDescent="0.35">
      <c r="A29" s="10" t="s">
        <v>6275</v>
      </c>
      <c r="B29" s="4" t="s">
        <v>750</v>
      </c>
      <c r="C29" s="4" t="s">
        <v>749</v>
      </c>
      <c r="F29" s="16" t="s">
        <v>2993</v>
      </c>
      <c r="H29" s="16" t="s">
        <v>3660</v>
      </c>
      <c r="K29" s="16" t="s">
        <v>3903</v>
      </c>
      <c r="P29" s="16" t="s">
        <v>3602</v>
      </c>
      <c r="Q29" s="16" t="s">
        <v>2135</v>
      </c>
      <c r="S29" s="16" t="s">
        <v>3631</v>
      </c>
      <c r="AC29" s="16" t="s">
        <v>1310</v>
      </c>
      <c r="AD29" s="16" t="s">
        <v>4041</v>
      </c>
      <c r="AQ29" s="9" t="s">
        <v>954</v>
      </c>
      <c r="AR29" s="16" t="s">
        <v>3839</v>
      </c>
      <c r="AT29" s="16" t="s">
        <v>1686</v>
      </c>
      <c r="AU29" s="16" t="s">
        <v>2329</v>
      </c>
      <c r="BB29" s="16" t="s">
        <v>4062</v>
      </c>
      <c r="BE29" s="16" t="s">
        <v>2288</v>
      </c>
      <c r="BH29" s="16" t="s">
        <v>1468</v>
      </c>
      <c r="BM29" s="16" t="s">
        <v>528</v>
      </c>
      <c r="BS29" s="16" t="s">
        <v>2091</v>
      </c>
      <c r="CD29" s="16" t="s">
        <v>2692</v>
      </c>
      <c r="CM29" s="16" t="s">
        <v>347</v>
      </c>
      <c r="CP29" s="16" t="s">
        <v>5636</v>
      </c>
      <c r="CQ29" s="16" t="s">
        <v>5643</v>
      </c>
      <c r="DH29" s="16" t="s">
        <v>191</v>
      </c>
      <c r="EK29" s="16" t="s">
        <v>1072</v>
      </c>
      <c r="EL29" s="16" t="s">
        <v>5383</v>
      </c>
      <c r="FP29" s="16" t="s">
        <v>3168</v>
      </c>
      <c r="GA29" s="16" t="s">
        <v>986</v>
      </c>
      <c r="GB29" s="16" t="s">
        <v>4115</v>
      </c>
    </row>
    <row r="30" spans="1:184" ht="14.4" thickBot="1" x14ac:dyDescent="0.35">
      <c r="A30" s="10" t="s">
        <v>6276</v>
      </c>
      <c r="B30" s="4" t="s">
        <v>1315</v>
      </c>
      <c r="C30" s="4" t="s">
        <v>1314</v>
      </c>
      <c r="F30" s="16" t="s">
        <v>2991</v>
      </c>
      <c r="H30" s="16" t="s">
        <v>5802</v>
      </c>
      <c r="K30" s="16" t="s">
        <v>3899</v>
      </c>
      <c r="P30" s="16" t="s">
        <v>2131</v>
      </c>
      <c r="Q30" s="16" t="s">
        <v>1495</v>
      </c>
      <c r="S30" s="16" t="s">
        <v>2981</v>
      </c>
      <c r="AC30" s="16" t="s">
        <v>2099</v>
      </c>
      <c r="AD30" s="16" t="s">
        <v>942</v>
      </c>
      <c r="AR30" s="16" t="s">
        <v>715</v>
      </c>
      <c r="AT30" s="16" t="s">
        <v>4640</v>
      </c>
      <c r="AU30" s="9" t="s">
        <v>5997</v>
      </c>
      <c r="BB30" s="16" t="s">
        <v>2488</v>
      </c>
      <c r="BE30" s="16" t="s">
        <v>4552</v>
      </c>
      <c r="BH30" s="16" t="s">
        <v>5843</v>
      </c>
      <c r="BM30" s="16" t="s">
        <v>5212</v>
      </c>
      <c r="BS30" s="16" t="s">
        <v>2089</v>
      </c>
      <c r="CD30" s="16" t="s">
        <v>4284</v>
      </c>
      <c r="CM30" s="16" t="s">
        <v>3531</v>
      </c>
      <c r="CP30" s="16" t="s">
        <v>1997</v>
      </c>
      <c r="CQ30" s="16" t="s">
        <v>4250</v>
      </c>
      <c r="DH30" s="16" t="s">
        <v>1151</v>
      </c>
      <c r="EK30" s="16" t="s">
        <v>4842</v>
      </c>
      <c r="EL30" s="16" t="s">
        <v>1720</v>
      </c>
      <c r="FP30" s="16" t="s">
        <v>4699</v>
      </c>
      <c r="GA30" s="16" t="s">
        <v>4090</v>
      </c>
      <c r="GB30" s="16" t="s">
        <v>4121</v>
      </c>
    </row>
    <row r="31" spans="1:184" ht="14.4" thickBot="1" x14ac:dyDescent="0.35">
      <c r="A31" s="10" t="s">
        <v>6277</v>
      </c>
      <c r="B31" s="4" t="s">
        <v>400</v>
      </c>
      <c r="C31" s="4" t="s">
        <v>399</v>
      </c>
      <c r="F31" s="16" t="s">
        <v>5871</v>
      </c>
      <c r="H31" s="16" t="s">
        <v>5808</v>
      </c>
      <c r="K31" s="16" t="s">
        <v>6014</v>
      </c>
      <c r="P31" s="16" t="s">
        <v>2129</v>
      </c>
      <c r="Q31" s="16" t="s">
        <v>4499</v>
      </c>
      <c r="S31" s="16" t="s">
        <v>2157</v>
      </c>
      <c r="AC31" s="16" t="s">
        <v>5735</v>
      </c>
      <c r="AD31" s="16" t="s">
        <v>4746</v>
      </c>
      <c r="AR31" s="16" t="s">
        <v>3053</v>
      </c>
      <c r="AT31" s="16" t="s">
        <v>4653</v>
      </c>
      <c r="BB31" s="16" t="s">
        <v>1690</v>
      </c>
      <c r="BE31" s="16" t="s">
        <v>622</v>
      </c>
      <c r="BH31" s="16" t="s">
        <v>594</v>
      </c>
      <c r="BM31" s="16" t="s">
        <v>2957</v>
      </c>
      <c r="BS31" s="16" t="s">
        <v>1287</v>
      </c>
      <c r="CD31" s="16" t="s">
        <v>3460</v>
      </c>
      <c r="CM31" s="16" t="s">
        <v>2076</v>
      </c>
      <c r="CP31" s="16" t="s">
        <v>3433</v>
      </c>
      <c r="CQ31" s="16" t="s">
        <v>239</v>
      </c>
      <c r="DH31" s="16" t="s">
        <v>188</v>
      </c>
      <c r="EK31" s="16" t="s">
        <v>90</v>
      </c>
      <c r="EL31" s="16" t="s">
        <v>1726</v>
      </c>
      <c r="FP31" s="16" t="s">
        <v>1746</v>
      </c>
      <c r="GA31" s="16" t="s">
        <v>3276</v>
      </c>
      <c r="GB31" s="16" t="s">
        <v>4800</v>
      </c>
    </row>
    <row r="32" spans="1:184" ht="14.4" thickBot="1" x14ac:dyDescent="0.35">
      <c r="A32" s="10" t="s">
        <v>6278</v>
      </c>
      <c r="B32" s="4" t="s">
        <v>405</v>
      </c>
      <c r="C32" s="4" t="s">
        <v>404</v>
      </c>
      <c r="F32" s="16" t="s">
        <v>2989</v>
      </c>
      <c r="H32" s="16" t="s">
        <v>1399</v>
      </c>
      <c r="K32" s="9" t="s">
        <v>2340</v>
      </c>
      <c r="P32" s="16" t="s">
        <v>3600</v>
      </c>
      <c r="Q32" s="16" t="s">
        <v>5763</v>
      </c>
      <c r="S32" s="16" t="s">
        <v>3629</v>
      </c>
      <c r="AC32" s="16" t="s">
        <v>384</v>
      </c>
      <c r="AD32" s="16" t="s">
        <v>765</v>
      </c>
      <c r="AR32" s="16" t="s">
        <v>2437</v>
      </c>
      <c r="AT32" s="16" t="s">
        <v>6056</v>
      </c>
      <c r="BB32" s="16" t="s">
        <v>4657</v>
      </c>
      <c r="BE32" s="16" t="s">
        <v>2278</v>
      </c>
      <c r="BH32" s="16" t="s">
        <v>1538</v>
      </c>
      <c r="BM32" s="16" t="s">
        <v>3752</v>
      </c>
      <c r="BS32" s="16" t="s">
        <v>2787</v>
      </c>
      <c r="CD32" s="16" t="s">
        <v>2690</v>
      </c>
      <c r="CM32" s="16" t="s">
        <v>343</v>
      </c>
      <c r="CP32" s="16" t="s">
        <v>5640</v>
      </c>
      <c r="CQ32" s="16" t="s">
        <v>1183</v>
      </c>
      <c r="DH32" s="16" t="s">
        <v>4223</v>
      </c>
      <c r="EK32" s="16" t="s">
        <v>5557</v>
      </c>
      <c r="EL32" s="9" t="s">
        <v>2418</v>
      </c>
      <c r="FP32" s="16" t="s">
        <v>2433</v>
      </c>
      <c r="GA32" s="16" t="s">
        <v>3286</v>
      </c>
      <c r="GB32" s="16" t="s">
        <v>1013</v>
      </c>
    </row>
    <row r="33" spans="1:184" ht="14.4" thickBot="1" x14ac:dyDescent="0.35">
      <c r="A33" s="10" t="s">
        <v>6279</v>
      </c>
      <c r="B33" s="4" t="s">
        <v>768</v>
      </c>
      <c r="C33" s="4" t="s">
        <v>767</v>
      </c>
      <c r="F33" s="16" t="s">
        <v>1390</v>
      </c>
      <c r="H33" s="16" t="s">
        <v>5810</v>
      </c>
      <c r="P33" s="16" t="s">
        <v>2127</v>
      </c>
      <c r="Q33" s="16" t="s">
        <v>2854</v>
      </c>
      <c r="S33" s="16" t="s">
        <v>5769</v>
      </c>
      <c r="AC33" s="16" t="s">
        <v>2108</v>
      </c>
      <c r="AD33" s="16" t="s">
        <v>2350</v>
      </c>
      <c r="AR33" s="16" t="s">
        <v>2301</v>
      </c>
      <c r="AT33" s="16" t="s">
        <v>2380</v>
      </c>
      <c r="BB33" s="16" t="s">
        <v>3960</v>
      </c>
      <c r="BE33" s="16" t="s">
        <v>5222</v>
      </c>
      <c r="BH33" s="16" t="s">
        <v>2256</v>
      </c>
      <c r="BM33" s="16" t="s">
        <v>3021</v>
      </c>
      <c r="BS33" s="9" t="s">
        <v>5718</v>
      </c>
      <c r="CD33" s="16" t="s">
        <v>1267</v>
      </c>
      <c r="CM33" s="16" t="s">
        <v>4339</v>
      </c>
      <c r="CP33" s="16" t="s">
        <v>4244</v>
      </c>
      <c r="CQ33" s="16" t="s">
        <v>2019</v>
      </c>
      <c r="DH33" s="16" t="s">
        <v>201</v>
      </c>
      <c r="EK33" s="16" t="s">
        <v>3352</v>
      </c>
      <c r="FP33" s="16" t="s">
        <v>4084</v>
      </c>
      <c r="GA33" s="16" t="s">
        <v>1877</v>
      </c>
      <c r="GB33" s="16" t="s">
        <v>6213</v>
      </c>
    </row>
    <row r="34" spans="1:184" ht="14.4" thickBot="1" x14ac:dyDescent="0.35">
      <c r="A34" s="10" t="s">
        <v>6280</v>
      </c>
      <c r="B34" s="4" t="s">
        <v>1324</v>
      </c>
      <c r="C34" s="4" t="s">
        <v>1323</v>
      </c>
      <c r="F34" s="16" t="s">
        <v>2908</v>
      </c>
      <c r="H34" s="16" t="s">
        <v>2177</v>
      </c>
      <c r="P34" s="16" t="s">
        <v>2230</v>
      </c>
      <c r="Q34" s="16" t="s">
        <v>5072</v>
      </c>
      <c r="S34" s="16" t="s">
        <v>4400</v>
      </c>
      <c r="AC34" s="16" t="s">
        <v>2106</v>
      </c>
      <c r="AD34" s="16" t="s">
        <v>5311</v>
      </c>
      <c r="AR34" s="16" t="s">
        <v>1606</v>
      </c>
      <c r="AT34" s="16" t="s">
        <v>3146</v>
      </c>
      <c r="BB34" s="16" t="s">
        <v>4659</v>
      </c>
      <c r="BE34" s="16" t="s">
        <v>3767</v>
      </c>
      <c r="BH34" s="16" t="s">
        <v>3744</v>
      </c>
      <c r="BM34" s="16" t="s">
        <v>2949</v>
      </c>
      <c r="CD34" s="16" t="s">
        <v>4276</v>
      </c>
      <c r="CM34" s="16" t="s">
        <v>5011</v>
      </c>
      <c r="CP34" s="16" t="s">
        <v>2645</v>
      </c>
      <c r="CQ34" s="16" t="s">
        <v>1185</v>
      </c>
      <c r="DH34" s="16" t="s">
        <v>4876</v>
      </c>
      <c r="EK34" s="16" t="s">
        <v>3356</v>
      </c>
      <c r="FP34" s="16" t="s">
        <v>5476</v>
      </c>
      <c r="GA34" s="16" t="s">
        <v>2521</v>
      </c>
      <c r="GB34" s="16" t="s">
        <v>4123</v>
      </c>
    </row>
    <row r="35" spans="1:184" ht="14.4" thickBot="1" x14ac:dyDescent="0.35">
      <c r="A35" s="10" t="s">
        <v>6281</v>
      </c>
      <c r="B35" s="4" t="s">
        <v>556</v>
      </c>
      <c r="C35" s="4" t="s">
        <v>555</v>
      </c>
      <c r="F35" s="16" t="s">
        <v>2900</v>
      </c>
      <c r="H35" s="16" t="s">
        <v>3666</v>
      </c>
      <c r="P35" s="16" t="s">
        <v>5052</v>
      </c>
      <c r="Q35" s="16" t="s">
        <v>2979</v>
      </c>
      <c r="S35" s="16" t="s">
        <v>5094</v>
      </c>
      <c r="AC35" s="16" t="s">
        <v>3567</v>
      </c>
      <c r="AD35" s="16" t="s">
        <v>6020</v>
      </c>
      <c r="AR35" s="16" t="s">
        <v>4597</v>
      </c>
      <c r="AT35" s="16" t="s">
        <v>6052</v>
      </c>
      <c r="BB35" s="16" t="s">
        <v>803</v>
      </c>
      <c r="BE35" s="16" t="s">
        <v>5905</v>
      </c>
      <c r="BH35" s="16" t="s">
        <v>3689</v>
      </c>
      <c r="BM35" s="16" t="s">
        <v>2955</v>
      </c>
      <c r="CD35" s="16" t="s">
        <v>2759</v>
      </c>
      <c r="CM35" s="16" t="s">
        <v>2080</v>
      </c>
      <c r="CP35" s="16" t="s">
        <v>223</v>
      </c>
      <c r="CQ35" s="16" t="s">
        <v>4254</v>
      </c>
      <c r="DH35" s="16" t="s">
        <v>1161</v>
      </c>
      <c r="EK35" s="16" t="s">
        <v>4840</v>
      </c>
      <c r="FP35" s="16" t="s">
        <v>6190</v>
      </c>
      <c r="GA35" s="16" t="s">
        <v>984</v>
      </c>
      <c r="GB35" s="16" t="s">
        <v>1887</v>
      </c>
    </row>
    <row r="36" spans="1:184" ht="14.4" thickBot="1" x14ac:dyDescent="0.35">
      <c r="A36" s="10" t="s">
        <v>6282</v>
      </c>
      <c r="B36" s="4" t="s">
        <v>772</v>
      </c>
      <c r="C36" s="4" t="s">
        <v>771</v>
      </c>
      <c r="F36" s="16" t="s">
        <v>3727</v>
      </c>
      <c r="H36" s="16" t="s">
        <v>2175</v>
      </c>
      <c r="P36" s="16" t="s">
        <v>5059</v>
      </c>
      <c r="Q36" s="9" t="s">
        <v>3607</v>
      </c>
      <c r="S36" s="16" t="s">
        <v>5779</v>
      </c>
      <c r="AC36" s="16" t="s">
        <v>1300</v>
      </c>
      <c r="AD36" s="16" t="s">
        <v>6018</v>
      </c>
      <c r="AR36" s="16" t="s">
        <v>695</v>
      </c>
      <c r="AT36" s="16" t="s">
        <v>5357</v>
      </c>
      <c r="BB36" s="16" t="s">
        <v>2392</v>
      </c>
      <c r="BE36" s="16" t="s">
        <v>5920</v>
      </c>
      <c r="BH36" s="16" t="s">
        <v>1462</v>
      </c>
      <c r="BM36" s="16" t="s">
        <v>530</v>
      </c>
      <c r="CD36" s="16" t="s">
        <v>1205</v>
      </c>
      <c r="CM36" s="16" t="s">
        <v>4337</v>
      </c>
      <c r="CP36" s="16" t="s">
        <v>2005</v>
      </c>
      <c r="CQ36" s="16" t="s">
        <v>237</v>
      </c>
      <c r="DH36" s="16" t="s">
        <v>2631</v>
      </c>
      <c r="EK36" s="16" t="s">
        <v>3345</v>
      </c>
      <c r="FP36" s="16" t="s">
        <v>2431</v>
      </c>
      <c r="GA36" s="16" t="s">
        <v>981</v>
      </c>
      <c r="GB36" s="16" t="s">
        <v>6215</v>
      </c>
    </row>
    <row r="37" spans="1:184" ht="14.4" thickBot="1" x14ac:dyDescent="0.35">
      <c r="A37" s="10" t="s">
        <v>6283</v>
      </c>
      <c r="B37" s="4" t="s">
        <v>3806</v>
      </c>
      <c r="C37" s="4" t="s">
        <v>3805</v>
      </c>
      <c r="F37" s="16" t="s">
        <v>3651</v>
      </c>
      <c r="H37" s="16" t="s">
        <v>2919</v>
      </c>
      <c r="P37" s="16" t="s">
        <v>2538</v>
      </c>
      <c r="S37" s="16" t="s">
        <v>5096</v>
      </c>
      <c r="AC37" s="16" t="s">
        <v>3576</v>
      </c>
      <c r="AD37" s="16" t="s">
        <v>5315</v>
      </c>
      <c r="AR37" s="16" t="s">
        <v>3861</v>
      </c>
      <c r="AT37" s="16" t="s">
        <v>1682</v>
      </c>
      <c r="BB37" s="16" t="s">
        <v>5466</v>
      </c>
      <c r="BE37" s="16" t="s">
        <v>5230</v>
      </c>
      <c r="BH37" s="16" t="s">
        <v>2946</v>
      </c>
      <c r="BM37" s="16" t="s">
        <v>532</v>
      </c>
      <c r="CD37" s="16" t="s">
        <v>259</v>
      </c>
      <c r="CM37" s="16" t="s">
        <v>2078</v>
      </c>
      <c r="CP37" s="16" t="s">
        <v>227</v>
      </c>
      <c r="CQ37" s="16" t="s">
        <v>3451</v>
      </c>
      <c r="DH37" s="16" t="s">
        <v>1984</v>
      </c>
      <c r="EK37" s="16" t="s">
        <v>2566</v>
      </c>
      <c r="FP37" s="16" t="s">
        <v>6087</v>
      </c>
      <c r="GA37" s="16" t="s">
        <v>1873</v>
      </c>
      <c r="GB37" s="16" t="s">
        <v>3305</v>
      </c>
    </row>
    <row r="38" spans="1:184" ht="14.4" thickBot="1" x14ac:dyDescent="0.35">
      <c r="A38" s="10" t="s">
        <v>6284</v>
      </c>
      <c r="B38" s="4" t="s">
        <v>1860</v>
      </c>
      <c r="C38" s="4" t="s">
        <v>1859</v>
      </c>
      <c r="F38" s="16" t="s">
        <v>1515</v>
      </c>
      <c r="H38" s="16" t="s">
        <v>5136</v>
      </c>
      <c r="P38" s="16" t="s">
        <v>5761</v>
      </c>
      <c r="S38" s="16" t="s">
        <v>435</v>
      </c>
      <c r="AC38" s="16" t="s">
        <v>3570</v>
      </c>
      <c r="AD38" s="16" t="s">
        <v>6026</v>
      </c>
      <c r="AR38" s="16" t="s">
        <v>4596</v>
      </c>
      <c r="AT38" s="16" t="s">
        <v>5339</v>
      </c>
      <c r="BB38" s="16" t="s">
        <v>1840</v>
      </c>
      <c r="BE38" s="16" t="s">
        <v>5924</v>
      </c>
      <c r="BH38" s="16" t="s">
        <v>2942</v>
      </c>
      <c r="BM38" s="16" t="s">
        <v>598</v>
      </c>
      <c r="CD38" s="16" t="s">
        <v>1201</v>
      </c>
      <c r="CM38" s="16" t="s">
        <v>1279</v>
      </c>
      <c r="CP38" s="16" t="s">
        <v>4225</v>
      </c>
      <c r="CQ38" s="16" t="s">
        <v>3453</v>
      </c>
      <c r="DH38" s="16" t="s">
        <v>1143</v>
      </c>
      <c r="EK38" s="16" t="s">
        <v>1068</v>
      </c>
      <c r="FP38" s="16" t="s">
        <v>1744</v>
      </c>
      <c r="GA38" s="16" t="s">
        <v>3280</v>
      </c>
      <c r="GB38" s="16" t="s">
        <v>5519</v>
      </c>
    </row>
    <row r="39" spans="1:184" ht="14.4" thickBot="1" x14ac:dyDescent="0.35">
      <c r="A39" s="10" t="s">
        <v>6285</v>
      </c>
      <c r="B39" s="4" t="s">
        <v>3812</v>
      </c>
      <c r="C39" s="4" t="s">
        <v>3811</v>
      </c>
      <c r="F39" s="16" t="s">
        <v>2246</v>
      </c>
      <c r="H39" s="9" t="s">
        <v>5879</v>
      </c>
      <c r="P39" s="16" t="s">
        <v>4392</v>
      </c>
      <c r="S39" s="16" t="s">
        <v>2151</v>
      </c>
      <c r="AC39" s="16" t="s">
        <v>5038</v>
      </c>
      <c r="AD39" s="16" t="s">
        <v>6032</v>
      </c>
      <c r="AR39" s="16" t="s">
        <v>5284</v>
      </c>
      <c r="AT39" s="16" t="s">
        <v>2372</v>
      </c>
      <c r="BB39" s="16" t="s">
        <v>3256</v>
      </c>
      <c r="BE39" s="16" t="s">
        <v>3043</v>
      </c>
      <c r="BH39" s="16" t="s">
        <v>508</v>
      </c>
      <c r="BM39" s="16" t="s">
        <v>1475</v>
      </c>
      <c r="CD39" s="16" t="s">
        <v>2752</v>
      </c>
      <c r="CM39" s="16" t="s">
        <v>5015</v>
      </c>
      <c r="CP39" s="16" t="s">
        <v>3443</v>
      </c>
      <c r="CQ39" s="16" t="s">
        <v>4918</v>
      </c>
      <c r="DH39" s="16" t="s">
        <v>184</v>
      </c>
      <c r="EK39" s="16" t="s">
        <v>5551</v>
      </c>
      <c r="FP39" s="16" t="s">
        <v>4082</v>
      </c>
      <c r="GA39" s="16" t="s">
        <v>1863</v>
      </c>
      <c r="GB39" s="16" t="s">
        <v>1009</v>
      </c>
    </row>
    <row r="40" spans="1:184" ht="14.4" thickBot="1" x14ac:dyDescent="0.35">
      <c r="A40" s="10" t="s">
        <v>6286</v>
      </c>
      <c r="B40" s="4" t="s">
        <v>663</v>
      </c>
      <c r="C40" s="4" t="s">
        <v>479</v>
      </c>
      <c r="F40" s="16" t="s">
        <v>5869</v>
      </c>
      <c r="P40" s="16" t="s">
        <v>5069</v>
      </c>
      <c r="S40" s="16" t="s">
        <v>567</v>
      </c>
      <c r="AC40" s="16" t="s">
        <v>2805</v>
      </c>
      <c r="AD40" s="16" t="s">
        <v>4634</v>
      </c>
      <c r="AR40" s="16" t="s">
        <v>1756</v>
      </c>
      <c r="AT40" s="16" t="s">
        <v>4651</v>
      </c>
      <c r="BB40" s="16" t="s">
        <v>1842</v>
      </c>
      <c r="BE40" s="16" t="s">
        <v>3791</v>
      </c>
      <c r="BH40" s="16" t="s">
        <v>4521</v>
      </c>
      <c r="BM40" s="16" t="s">
        <v>5851</v>
      </c>
      <c r="CD40" s="16" t="s">
        <v>2714</v>
      </c>
      <c r="CM40" s="16" t="s">
        <v>2074</v>
      </c>
      <c r="CP40" s="16" t="s">
        <v>1993</v>
      </c>
      <c r="CQ40" s="16" t="s">
        <v>2676</v>
      </c>
      <c r="DH40" s="16" t="s">
        <v>1145</v>
      </c>
      <c r="EK40" s="16" t="s">
        <v>3354</v>
      </c>
      <c r="FP40" s="16" t="s">
        <v>6188</v>
      </c>
      <c r="GA40" s="16" t="s">
        <v>4794</v>
      </c>
      <c r="GB40" s="16" t="s">
        <v>3307</v>
      </c>
    </row>
    <row r="41" spans="1:184" ht="14.4" thickBot="1" x14ac:dyDescent="0.35">
      <c r="A41" s="10" t="s">
        <v>6287</v>
      </c>
      <c r="B41" s="4" t="s">
        <v>3818</v>
      </c>
      <c r="C41" s="4" t="s">
        <v>1914</v>
      </c>
      <c r="F41" s="16" t="s">
        <v>2244</v>
      </c>
      <c r="P41" s="16" t="s">
        <v>3710</v>
      </c>
      <c r="S41" s="16" t="s">
        <v>565</v>
      </c>
      <c r="AC41" s="16" t="s">
        <v>5725</v>
      </c>
      <c r="AD41" s="16" t="s">
        <v>4636</v>
      </c>
      <c r="AR41" s="16" t="s">
        <v>5288</v>
      </c>
      <c r="AT41" s="16" t="s">
        <v>6050</v>
      </c>
      <c r="BB41" s="16" t="s">
        <v>2486</v>
      </c>
      <c r="BE41" s="16" t="s">
        <v>636</v>
      </c>
      <c r="BH41" s="16" t="s">
        <v>518</v>
      </c>
      <c r="BM41" s="16" t="s">
        <v>3019</v>
      </c>
      <c r="CD41" s="16" t="s">
        <v>5699</v>
      </c>
      <c r="CM41" s="16" t="s">
        <v>2085</v>
      </c>
      <c r="CP41" s="16" t="s">
        <v>2649</v>
      </c>
      <c r="CQ41" s="16" t="s">
        <v>2679</v>
      </c>
      <c r="DH41" s="16" t="s">
        <v>4207</v>
      </c>
      <c r="EK41" s="16" t="s">
        <v>4838</v>
      </c>
      <c r="FP41" s="16" t="s">
        <v>4786</v>
      </c>
      <c r="GA41" s="16" t="s">
        <v>5494</v>
      </c>
      <c r="GB41" s="16" t="s">
        <v>6217</v>
      </c>
    </row>
    <row r="42" spans="1:184" ht="14.4" thickBot="1" x14ac:dyDescent="0.35">
      <c r="A42" s="10" t="s">
        <v>6288</v>
      </c>
      <c r="B42" s="4" t="s">
        <v>777</v>
      </c>
      <c r="C42" s="4" t="s">
        <v>776</v>
      </c>
      <c r="F42" s="16" t="s">
        <v>5122</v>
      </c>
      <c r="P42" s="16" t="s">
        <v>2852</v>
      </c>
      <c r="S42" s="16" t="s">
        <v>2985</v>
      </c>
      <c r="AC42" s="16" t="s">
        <v>1291</v>
      </c>
      <c r="AD42" s="16" t="s">
        <v>2352</v>
      </c>
      <c r="AR42" s="16" t="s">
        <v>2316</v>
      </c>
      <c r="AT42" s="16" t="s">
        <v>3934</v>
      </c>
      <c r="BB42" s="16" t="s">
        <v>4665</v>
      </c>
      <c r="BE42" s="16" t="s">
        <v>3789</v>
      </c>
      <c r="BH42" s="16" t="s">
        <v>2944</v>
      </c>
      <c r="BM42" s="16" t="s">
        <v>4479</v>
      </c>
      <c r="CD42" s="16" t="s">
        <v>3484</v>
      </c>
      <c r="CM42" s="16" t="s">
        <v>2777</v>
      </c>
      <c r="CP42" s="16" t="s">
        <v>2003</v>
      </c>
      <c r="CQ42" s="16" t="s">
        <v>2674</v>
      </c>
      <c r="DH42" s="16" t="s">
        <v>2620</v>
      </c>
      <c r="EK42" s="16" t="s">
        <v>95</v>
      </c>
      <c r="FP42" s="16" t="s">
        <v>977</v>
      </c>
      <c r="GA42" s="16" t="s">
        <v>1869</v>
      </c>
      <c r="GB42" s="16" t="s">
        <v>5517</v>
      </c>
    </row>
    <row r="43" spans="1:184" ht="14.4" thickBot="1" x14ac:dyDescent="0.35">
      <c r="A43" s="10" t="s">
        <v>6289</v>
      </c>
      <c r="B43" s="4" t="s">
        <v>668</v>
      </c>
      <c r="C43" s="4" t="s">
        <v>667</v>
      </c>
      <c r="F43" s="16" t="s">
        <v>4429</v>
      </c>
      <c r="P43" s="16" t="s">
        <v>4493</v>
      </c>
      <c r="S43" s="16" t="s">
        <v>5777</v>
      </c>
      <c r="AC43" s="16" t="s">
        <v>2110</v>
      </c>
      <c r="AD43" s="16" t="s">
        <v>2470</v>
      </c>
      <c r="AR43" s="16" t="s">
        <v>675</v>
      </c>
      <c r="AT43" s="16" t="s">
        <v>3954</v>
      </c>
      <c r="BB43" s="16" t="s">
        <v>6060</v>
      </c>
      <c r="BE43" s="16" t="s">
        <v>2286</v>
      </c>
      <c r="BH43" s="16" t="s">
        <v>2254</v>
      </c>
      <c r="BM43" s="16" t="s">
        <v>4481</v>
      </c>
      <c r="CD43" s="16" t="s">
        <v>320</v>
      </c>
      <c r="CM43" s="16" t="s">
        <v>4333</v>
      </c>
      <c r="CP43" s="16" t="s">
        <v>225</v>
      </c>
      <c r="CQ43" s="16" t="s">
        <v>2671</v>
      </c>
      <c r="DH43" s="16" t="s">
        <v>3415</v>
      </c>
      <c r="EK43" s="16" t="s">
        <v>4836</v>
      </c>
      <c r="FP43" s="16" t="s">
        <v>3998</v>
      </c>
      <c r="GA43" s="16" t="s">
        <v>1867</v>
      </c>
      <c r="GB43" s="16" t="s">
        <v>1891</v>
      </c>
    </row>
    <row r="44" spans="1:184" ht="14.4" thickBot="1" x14ac:dyDescent="0.35">
      <c r="A44" s="10" t="s">
        <v>6290</v>
      </c>
      <c r="B44" s="4" t="s">
        <v>1629</v>
      </c>
      <c r="C44" s="4" t="s">
        <v>1628</v>
      </c>
      <c r="F44" s="16" t="s">
        <v>5793</v>
      </c>
      <c r="P44" s="16" t="s">
        <v>1348</v>
      </c>
      <c r="S44" s="16" t="s">
        <v>5861</v>
      </c>
      <c r="AC44" s="16" t="s">
        <v>2803</v>
      </c>
      <c r="AD44" s="16" t="s">
        <v>5446</v>
      </c>
      <c r="AR44" s="16" t="s">
        <v>701</v>
      </c>
      <c r="AT44" s="16" t="s">
        <v>2390</v>
      </c>
      <c r="BB44" s="16" t="s">
        <v>801</v>
      </c>
      <c r="BE44" s="16" t="s">
        <v>5238</v>
      </c>
      <c r="BH44" s="16" t="s">
        <v>516</v>
      </c>
      <c r="BM44" s="16" t="s">
        <v>536</v>
      </c>
      <c r="CD44" s="16" t="s">
        <v>4315</v>
      </c>
      <c r="CM44" s="16" t="s">
        <v>3535</v>
      </c>
      <c r="CP44" s="16" t="s">
        <v>4910</v>
      </c>
      <c r="CQ44" s="16" t="s">
        <v>4246</v>
      </c>
      <c r="DH44" s="16" t="s">
        <v>2624</v>
      </c>
      <c r="EK44" s="16" t="s">
        <v>1070</v>
      </c>
      <c r="FP44" s="16" t="s">
        <v>5395</v>
      </c>
      <c r="GA44" s="16" t="s">
        <v>988</v>
      </c>
      <c r="GB44" s="16" t="s">
        <v>4802</v>
      </c>
    </row>
    <row r="45" spans="1:184" ht="14.4" thickBot="1" x14ac:dyDescent="0.35">
      <c r="A45" s="10" t="s">
        <v>6291</v>
      </c>
      <c r="B45" s="4" t="s">
        <v>784</v>
      </c>
      <c r="C45" s="4" t="s">
        <v>783</v>
      </c>
      <c r="F45" s="16" t="s">
        <v>2173</v>
      </c>
      <c r="P45" s="16" t="s">
        <v>1339</v>
      </c>
      <c r="S45" s="16" t="s">
        <v>5859</v>
      </c>
      <c r="AC45" s="16" t="s">
        <v>5741</v>
      </c>
      <c r="AD45" s="16" t="s">
        <v>4742</v>
      </c>
      <c r="AR45" s="16" t="s">
        <v>5416</v>
      </c>
      <c r="AT45" s="16" t="s">
        <v>4646</v>
      </c>
      <c r="BB45" s="16" t="s">
        <v>6058</v>
      </c>
      <c r="BE45" s="16" t="s">
        <v>5907</v>
      </c>
      <c r="BH45" s="16" t="s">
        <v>5839</v>
      </c>
      <c r="BM45" s="16" t="s">
        <v>4477</v>
      </c>
      <c r="CD45" s="16" t="s">
        <v>269</v>
      </c>
      <c r="CM45" s="16" t="s">
        <v>2779</v>
      </c>
      <c r="CP45" s="16" t="s">
        <v>2661</v>
      </c>
      <c r="CQ45" s="9" t="s">
        <v>4252</v>
      </c>
      <c r="DH45" s="16" t="s">
        <v>4893</v>
      </c>
      <c r="EK45" s="16" t="s">
        <v>3347</v>
      </c>
      <c r="FP45" s="16" t="s">
        <v>3172</v>
      </c>
      <c r="GA45" s="16" t="s">
        <v>4798</v>
      </c>
      <c r="GB45" s="16" t="s">
        <v>5511</v>
      </c>
    </row>
    <row r="46" spans="1:184" ht="14.4" thickBot="1" x14ac:dyDescent="0.35">
      <c r="A46" s="10" t="s">
        <v>6292</v>
      </c>
      <c r="B46" s="4" t="s">
        <v>729</v>
      </c>
      <c r="C46" s="4" t="s">
        <v>728</v>
      </c>
      <c r="F46" s="16" t="s">
        <v>2896</v>
      </c>
      <c r="P46" s="16" t="s">
        <v>421</v>
      </c>
      <c r="S46" s="16" t="s">
        <v>2240</v>
      </c>
      <c r="AC46" s="16" t="s">
        <v>2811</v>
      </c>
      <c r="AD46" s="16" t="s">
        <v>1810</v>
      </c>
      <c r="AR46" s="16" t="s">
        <v>3063</v>
      </c>
      <c r="AT46" s="16" t="s">
        <v>2360</v>
      </c>
      <c r="BB46" s="16" t="s">
        <v>3962</v>
      </c>
      <c r="BE46" s="16" t="s">
        <v>5248</v>
      </c>
      <c r="BH46" s="16" t="s">
        <v>512</v>
      </c>
      <c r="BM46" s="16" t="s">
        <v>3017</v>
      </c>
      <c r="CD46" s="16" t="s">
        <v>2698</v>
      </c>
      <c r="CM46" s="16" t="s">
        <v>4341</v>
      </c>
      <c r="CP46" s="16" t="s">
        <v>4242</v>
      </c>
      <c r="DH46" s="16" t="s">
        <v>1139</v>
      </c>
      <c r="EK46" s="16" t="s">
        <v>1910</v>
      </c>
      <c r="FP46" s="16" t="s">
        <v>875</v>
      </c>
      <c r="GA46" s="16" t="s">
        <v>6197</v>
      </c>
      <c r="GB46" s="16" t="s">
        <v>4804</v>
      </c>
    </row>
    <row r="47" spans="1:184" ht="14.4" thickBot="1" x14ac:dyDescent="0.35">
      <c r="A47" s="10" t="s">
        <v>6293</v>
      </c>
      <c r="B47" s="4" t="s">
        <v>1635</v>
      </c>
      <c r="C47" s="4" t="s">
        <v>1634</v>
      </c>
      <c r="F47" s="16" t="s">
        <v>3655</v>
      </c>
      <c r="P47" s="16" t="s">
        <v>1329</v>
      </c>
      <c r="S47" s="16" t="s">
        <v>5180</v>
      </c>
      <c r="AC47" s="16" t="s">
        <v>1304</v>
      </c>
      <c r="AD47" s="16" t="s">
        <v>5442</v>
      </c>
      <c r="AR47" s="16" t="s">
        <v>673</v>
      </c>
      <c r="AT47" s="16" t="s">
        <v>3132</v>
      </c>
      <c r="BB47" s="16" t="s">
        <v>4663</v>
      </c>
      <c r="BE47" s="16" t="s">
        <v>648</v>
      </c>
      <c r="BH47" s="16" t="s">
        <v>5841</v>
      </c>
      <c r="BM47" s="16" t="s">
        <v>538</v>
      </c>
      <c r="CD47" s="16" t="s">
        <v>2710</v>
      </c>
      <c r="CM47" s="16" t="s">
        <v>5013</v>
      </c>
      <c r="CP47" s="16" t="s">
        <v>5619</v>
      </c>
      <c r="DH47" s="16" t="s">
        <v>199</v>
      </c>
      <c r="EK47" s="16" t="s">
        <v>1066</v>
      </c>
      <c r="FP47" s="16" t="s">
        <v>871</v>
      </c>
      <c r="GA47" s="16" t="s">
        <v>3282</v>
      </c>
      <c r="GB47" s="9" t="s">
        <v>4806</v>
      </c>
    </row>
    <row r="48" spans="1:184" ht="14.4" thickBot="1" x14ac:dyDescent="0.35">
      <c r="A48" s="10" t="s">
        <v>6294</v>
      </c>
      <c r="B48" s="4" t="s">
        <v>547</v>
      </c>
      <c r="C48" s="4" t="s">
        <v>546</v>
      </c>
      <c r="F48" s="16" t="s">
        <v>5190</v>
      </c>
      <c r="P48" s="16" t="s">
        <v>3592</v>
      </c>
      <c r="S48" s="16" t="s">
        <v>569</v>
      </c>
      <c r="AC48" s="16" t="s">
        <v>4372</v>
      </c>
      <c r="AD48" s="16" t="s">
        <v>936</v>
      </c>
      <c r="AR48" s="16" t="s">
        <v>691</v>
      </c>
      <c r="AT48" s="16" t="s">
        <v>4650</v>
      </c>
      <c r="BB48" s="16" t="s">
        <v>1694</v>
      </c>
      <c r="BE48" s="16" t="s">
        <v>642</v>
      </c>
      <c r="BH48" s="16" t="s">
        <v>3743</v>
      </c>
      <c r="BM48" s="16" t="s">
        <v>1540</v>
      </c>
      <c r="CD48" s="16" t="s">
        <v>2063</v>
      </c>
      <c r="CM48" s="16" t="s">
        <v>4343</v>
      </c>
      <c r="CP48" s="16" t="s">
        <v>2011</v>
      </c>
      <c r="DH48" s="16" t="s">
        <v>5599</v>
      </c>
      <c r="EK48" s="16" t="s">
        <v>2568</v>
      </c>
      <c r="FP48" s="16" t="s">
        <v>3270</v>
      </c>
      <c r="GA48" s="16" t="s">
        <v>1879</v>
      </c>
    </row>
    <row r="49" spans="1:183" ht="14.4" thickBot="1" x14ac:dyDescent="0.35">
      <c r="A49" s="10" t="s">
        <v>6295</v>
      </c>
      <c r="B49" s="4" t="s">
        <v>2225</v>
      </c>
      <c r="C49" s="4" t="s">
        <v>2224</v>
      </c>
      <c r="F49" s="16" t="s">
        <v>2898</v>
      </c>
      <c r="P49" s="16" t="s">
        <v>1342</v>
      </c>
      <c r="S49" s="16" t="s">
        <v>4507</v>
      </c>
      <c r="AC49" s="16" t="s">
        <v>2807</v>
      </c>
      <c r="AD49" s="16" t="s">
        <v>2472</v>
      </c>
      <c r="AR49" s="16" t="s">
        <v>3849</v>
      </c>
      <c r="AT49" s="16" t="s">
        <v>3144</v>
      </c>
      <c r="BB49" s="16" t="s">
        <v>6169</v>
      </c>
      <c r="BE49" s="16" t="s">
        <v>3027</v>
      </c>
      <c r="BH49" s="16" t="s">
        <v>592</v>
      </c>
      <c r="BM49" s="16" t="s">
        <v>5895</v>
      </c>
      <c r="CD49" s="16" t="s">
        <v>2750</v>
      </c>
      <c r="CM49" s="16" t="s">
        <v>341</v>
      </c>
      <c r="CP49" s="16" t="s">
        <v>1175</v>
      </c>
      <c r="DH49" s="16" t="s">
        <v>5605</v>
      </c>
      <c r="EK49" s="16" t="s">
        <v>88</v>
      </c>
      <c r="FP49" s="16" t="s">
        <v>1854</v>
      </c>
      <c r="GA49" s="9" t="s">
        <v>3278</v>
      </c>
    </row>
    <row r="50" spans="1:183" ht="14.4" thickBot="1" x14ac:dyDescent="0.35">
      <c r="A50" s="10" t="s">
        <v>6296</v>
      </c>
      <c r="B50" s="4" t="s">
        <v>3754</v>
      </c>
      <c r="C50" s="4" t="s">
        <v>2752</v>
      </c>
      <c r="F50" s="16" t="s">
        <v>2168</v>
      </c>
      <c r="P50" s="16" t="s">
        <v>561</v>
      </c>
      <c r="S50" s="16" t="s">
        <v>2863</v>
      </c>
      <c r="AC50" s="16" t="s">
        <v>4368</v>
      </c>
      <c r="AD50" s="16" t="s">
        <v>4043</v>
      </c>
      <c r="AR50" s="16" t="s">
        <v>5270</v>
      </c>
      <c r="AT50" s="16" t="s">
        <v>4644</v>
      </c>
      <c r="BB50" s="16" t="s">
        <v>6167</v>
      </c>
      <c r="BE50" s="16" t="s">
        <v>3795</v>
      </c>
      <c r="BH50" s="16" t="s">
        <v>510</v>
      </c>
      <c r="BM50" s="16" t="s">
        <v>5165</v>
      </c>
      <c r="CD50" s="16" t="s">
        <v>1117</v>
      </c>
      <c r="CM50" s="9" t="s">
        <v>1281</v>
      </c>
      <c r="CP50" s="16" t="s">
        <v>1179</v>
      </c>
      <c r="DH50" s="16" t="s">
        <v>1141</v>
      </c>
      <c r="EK50" s="16" t="s">
        <v>3349</v>
      </c>
      <c r="FP50" s="16" t="s">
        <v>5486</v>
      </c>
    </row>
    <row r="51" spans="1:183" ht="14.4" thickBot="1" x14ac:dyDescent="0.35">
      <c r="A51" s="10" t="s">
        <v>6297</v>
      </c>
      <c r="B51" s="4" t="s">
        <v>551</v>
      </c>
      <c r="C51" s="4" t="s">
        <v>550</v>
      </c>
      <c r="F51" s="16" t="s">
        <v>5797</v>
      </c>
      <c r="P51" s="16" t="s">
        <v>4383</v>
      </c>
      <c r="S51" s="16" t="s">
        <v>5775</v>
      </c>
      <c r="AC51" s="16" t="s">
        <v>5739</v>
      </c>
      <c r="AD51" s="16" t="s">
        <v>3234</v>
      </c>
      <c r="AR51" s="16" t="s">
        <v>5948</v>
      </c>
      <c r="AT51" s="16" t="s">
        <v>956</v>
      </c>
      <c r="BB51" s="16" t="s">
        <v>1838</v>
      </c>
      <c r="BE51" s="16" t="s">
        <v>3787</v>
      </c>
      <c r="BH51" s="16" t="s">
        <v>3691</v>
      </c>
      <c r="BM51" s="9" t="s">
        <v>4485</v>
      </c>
      <c r="CD51" s="16" t="s">
        <v>2032</v>
      </c>
      <c r="CP51" s="16" t="s">
        <v>2659</v>
      </c>
      <c r="DH51" s="16" t="s">
        <v>2618</v>
      </c>
      <c r="EK51" s="16" t="s">
        <v>92</v>
      </c>
      <c r="FP51" s="16" t="s">
        <v>2513</v>
      </c>
    </row>
    <row r="52" spans="1:183" ht="14.4" thickBot="1" x14ac:dyDescent="0.35">
      <c r="A52" s="10" t="s">
        <v>6298</v>
      </c>
      <c r="B52" s="4" t="s">
        <v>1553</v>
      </c>
      <c r="C52" s="4" t="s">
        <v>1552</v>
      </c>
      <c r="F52" s="16" t="s">
        <v>5120</v>
      </c>
      <c r="P52" s="16" t="s">
        <v>3586</v>
      </c>
      <c r="S52" s="16" t="s">
        <v>571</v>
      </c>
      <c r="AC52" s="16" t="s">
        <v>2102</v>
      </c>
      <c r="AD52" s="16" t="s">
        <v>4758</v>
      </c>
      <c r="AR52" s="16" t="s">
        <v>4567</v>
      </c>
      <c r="AT52" s="16" t="s">
        <v>3254</v>
      </c>
      <c r="BB52" s="16" t="s">
        <v>3956</v>
      </c>
      <c r="BE52" s="16" t="s">
        <v>3785</v>
      </c>
      <c r="BH52" s="16" t="s">
        <v>2947</v>
      </c>
      <c r="CD52" s="16" t="s">
        <v>3517</v>
      </c>
      <c r="CP52" s="16" t="s">
        <v>4233</v>
      </c>
      <c r="DH52" s="16" t="s">
        <v>4221</v>
      </c>
      <c r="EK52" s="9" t="s">
        <v>4844</v>
      </c>
      <c r="FP52" s="16" t="s">
        <v>4080</v>
      </c>
    </row>
    <row r="53" spans="1:183" ht="14.4" thickBot="1" x14ac:dyDescent="0.35">
      <c r="A53" s="10" t="s">
        <v>6299</v>
      </c>
      <c r="B53" s="4" t="s">
        <v>798</v>
      </c>
      <c r="C53" s="4" t="s">
        <v>797</v>
      </c>
      <c r="F53" s="16" t="s">
        <v>2171</v>
      </c>
      <c r="P53" s="16" t="s">
        <v>2975</v>
      </c>
      <c r="S53" s="16" t="s">
        <v>3721</v>
      </c>
      <c r="AC53" s="16" t="s">
        <v>378</v>
      </c>
      <c r="AD53" s="16" t="s">
        <v>5452</v>
      </c>
      <c r="AR53" s="16" t="s">
        <v>1617</v>
      </c>
      <c r="AT53" s="16" t="s">
        <v>2366</v>
      </c>
      <c r="BB53" s="9" t="s">
        <v>5361</v>
      </c>
      <c r="BE53" s="16" t="s">
        <v>1574</v>
      </c>
      <c r="BH53" s="9" t="s">
        <v>3687</v>
      </c>
      <c r="CD53" s="16" t="s">
        <v>5002</v>
      </c>
      <c r="CP53" s="16" t="s">
        <v>2647</v>
      </c>
      <c r="DH53" s="16" t="s">
        <v>5603</v>
      </c>
      <c r="FP53" s="16" t="s">
        <v>6185</v>
      </c>
    </row>
    <row r="54" spans="1:183" ht="14.4" thickBot="1" x14ac:dyDescent="0.35">
      <c r="A54" s="10" t="s">
        <v>6300</v>
      </c>
      <c r="B54" s="4" t="s">
        <v>611</v>
      </c>
      <c r="C54" s="4" t="s">
        <v>610</v>
      </c>
      <c r="F54" s="16" t="s">
        <v>5118</v>
      </c>
      <c r="P54" s="16" t="s">
        <v>2973</v>
      </c>
      <c r="S54" s="16" t="s">
        <v>3719</v>
      </c>
      <c r="AC54" s="16" t="s">
        <v>382</v>
      </c>
      <c r="AD54" s="16" t="s">
        <v>948</v>
      </c>
      <c r="AR54" s="16" t="s">
        <v>1592</v>
      </c>
      <c r="AT54" s="16" t="s">
        <v>2376</v>
      </c>
      <c r="BE54" s="16" t="s">
        <v>5917</v>
      </c>
      <c r="CD54" s="16" t="s">
        <v>2757</v>
      </c>
      <c r="CP54" s="16" t="s">
        <v>5624</v>
      </c>
      <c r="DH54" s="16" t="s">
        <v>1159</v>
      </c>
      <c r="FP54" s="16" t="s">
        <v>2429</v>
      </c>
    </row>
    <row r="55" spans="1:183" ht="14.4" thickBot="1" x14ac:dyDescent="0.35">
      <c r="A55" s="10" t="s">
        <v>6301</v>
      </c>
      <c r="B55" s="4" t="s">
        <v>806</v>
      </c>
      <c r="C55" s="4" t="s">
        <v>805</v>
      </c>
      <c r="F55" s="16" t="s">
        <v>1393</v>
      </c>
      <c r="P55" s="16" t="s">
        <v>2232</v>
      </c>
      <c r="S55" s="16" t="s">
        <v>1505</v>
      </c>
      <c r="AC55" s="16" t="s">
        <v>394</v>
      </c>
      <c r="AD55" s="16" t="s">
        <v>2482</v>
      </c>
      <c r="AR55" s="16" t="s">
        <v>1588</v>
      </c>
      <c r="AT55" s="16" t="s">
        <v>5462</v>
      </c>
      <c r="BE55" s="16" t="s">
        <v>616</v>
      </c>
      <c r="CD55" s="16" t="s">
        <v>318</v>
      </c>
      <c r="CP55" s="16" t="s">
        <v>3441</v>
      </c>
      <c r="DH55" s="16" t="s">
        <v>2629</v>
      </c>
      <c r="FP55" s="16" t="s">
        <v>1856</v>
      </c>
    </row>
    <row r="56" spans="1:183" ht="14.4" thickBot="1" x14ac:dyDescent="0.35">
      <c r="A56" s="10" t="s">
        <v>6302</v>
      </c>
      <c r="B56" s="4" t="s">
        <v>615</v>
      </c>
      <c r="C56" s="4" t="s">
        <v>614</v>
      </c>
      <c r="F56" s="16" t="s">
        <v>5867</v>
      </c>
      <c r="P56" s="16" t="s">
        <v>5855</v>
      </c>
      <c r="S56" s="16" t="s">
        <v>3712</v>
      </c>
      <c r="AC56" s="16" t="s">
        <v>2828</v>
      </c>
      <c r="AD56" s="16" t="s">
        <v>4053</v>
      </c>
      <c r="AR56" s="16" t="s">
        <v>3841</v>
      </c>
      <c r="AT56" s="16" t="s">
        <v>3252</v>
      </c>
      <c r="BE56" s="16" t="s">
        <v>3783</v>
      </c>
      <c r="CD56" s="16" t="s">
        <v>1231</v>
      </c>
      <c r="CP56" s="16" t="s">
        <v>1171</v>
      </c>
      <c r="DH56" s="16" t="s">
        <v>5601</v>
      </c>
      <c r="FP56" s="16" t="s">
        <v>5399</v>
      </c>
    </row>
    <row r="57" spans="1:183" ht="14.4" thickBot="1" x14ac:dyDescent="0.35">
      <c r="A57" s="10" t="s">
        <v>6303</v>
      </c>
      <c r="B57" s="4" t="s">
        <v>963</v>
      </c>
      <c r="C57" s="4" t="s">
        <v>962</v>
      </c>
      <c r="F57" s="16" t="s">
        <v>2891</v>
      </c>
      <c r="P57" s="16" t="s">
        <v>5176</v>
      </c>
      <c r="S57" s="16" t="s">
        <v>1370</v>
      </c>
      <c r="AC57" s="16" t="s">
        <v>2815</v>
      </c>
      <c r="AD57" s="16" t="s">
        <v>3246</v>
      </c>
      <c r="AR57" s="16" t="s">
        <v>5971</v>
      </c>
      <c r="AT57" s="16" t="s">
        <v>1834</v>
      </c>
      <c r="BE57" s="16" t="s">
        <v>634</v>
      </c>
      <c r="CD57" s="16" t="s">
        <v>5697</v>
      </c>
      <c r="CP57" s="16" t="s">
        <v>3449</v>
      </c>
      <c r="DH57" s="16" t="s">
        <v>1157</v>
      </c>
      <c r="FP57" s="16" t="s">
        <v>2428</v>
      </c>
    </row>
    <row r="58" spans="1:183" ht="14.4" thickBot="1" x14ac:dyDescent="0.35">
      <c r="A58" s="10" t="s">
        <v>6304</v>
      </c>
      <c r="B58" s="4" t="s">
        <v>3802</v>
      </c>
      <c r="C58" s="4" t="s">
        <v>3801</v>
      </c>
      <c r="F58" s="16" t="s">
        <v>5789</v>
      </c>
      <c r="P58" s="16" t="s">
        <v>4491</v>
      </c>
      <c r="S58" s="16" t="s">
        <v>1503</v>
      </c>
      <c r="AC58" s="16" t="s">
        <v>2826</v>
      </c>
      <c r="AD58" s="16" t="s">
        <v>5454</v>
      </c>
      <c r="AR58" s="16" t="s">
        <v>4593</v>
      </c>
      <c r="AT58" s="16" t="s">
        <v>1832</v>
      </c>
      <c r="BE58" s="16" t="s">
        <v>4539</v>
      </c>
      <c r="CD58" s="16" t="s">
        <v>2755</v>
      </c>
      <c r="CP58" s="16" t="s">
        <v>4906</v>
      </c>
      <c r="DH58" s="16" t="s">
        <v>4885</v>
      </c>
      <c r="FP58" s="16" t="s">
        <v>3999</v>
      </c>
    </row>
    <row r="59" spans="1:183" ht="14.4" thickBot="1" x14ac:dyDescent="0.35">
      <c r="A59" s="10" t="s">
        <v>6305</v>
      </c>
      <c r="B59" s="4" t="s">
        <v>507</v>
      </c>
      <c r="C59" s="4" t="s">
        <v>506</v>
      </c>
      <c r="F59" s="16" t="s">
        <v>1392</v>
      </c>
      <c r="P59" s="16" t="s">
        <v>2971</v>
      </c>
      <c r="S59" s="16" t="s">
        <v>1501</v>
      </c>
      <c r="AC59" s="16" t="s">
        <v>5727</v>
      </c>
      <c r="AD59" s="16" t="s">
        <v>6150</v>
      </c>
      <c r="AR59" s="16" t="s">
        <v>3082</v>
      </c>
      <c r="AT59" s="16" t="s">
        <v>4059</v>
      </c>
      <c r="BE59" s="16" t="s">
        <v>3037</v>
      </c>
      <c r="CD59" s="16" t="s">
        <v>2061</v>
      </c>
      <c r="CP59" s="16" t="s">
        <v>221</v>
      </c>
      <c r="DH59" s="16" t="s">
        <v>4883</v>
      </c>
      <c r="FP59" s="16" t="s">
        <v>1742</v>
      </c>
    </row>
    <row r="60" spans="1:183" ht="14.4" thickBot="1" x14ac:dyDescent="0.35">
      <c r="A60" s="10" t="s">
        <v>6306</v>
      </c>
      <c r="B60" s="4" t="s">
        <v>523</v>
      </c>
      <c r="C60" s="4" t="s">
        <v>522</v>
      </c>
      <c r="F60" s="16" t="s">
        <v>575</v>
      </c>
      <c r="P60" s="16" t="s">
        <v>1491</v>
      </c>
      <c r="S60" s="16" t="s">
        <v>4505</v>
      </c>
      <c r="AC60" s="16" t="s">
        <v>2809</v>
      </c>
      <c r="AD60" s="16" t="s">
        <v>3248</v>
      </c>
      <c r="AR60" s="16" t="s">
        <v>4573</v>
      </c>
      <c r="AT60" s="16" t="s">
        <v>2484</v>
      </c>
      <c r="BE60" s="16" t="s">
        <v>3782</v>
      </c>
      <c r="CD60" s="16" t="s">
        <v>5695</v>
      </c>
      <c r="CP60" s="16" t="s">
        <v>3435</v>
      </c>
      <c r="DH60" s="16" t="s">
        <v>4209</v>
      </c>
      <c r="FP60" s="16" t="s">
        <v>5488</v>
      </c>
    </row>
    <row r="61" spans="1:183" ht="14.4" thickBot="1" x14ac:dyDescent="0.35">
      <c r="A61" s="10" t="s">
        <v>6307</v>
      </c>
      <c r="B61" s="4" t="s">
        <v>812</v>
      </c>
      <c r="C61" s="4" t="s">
        <v>811</v>
      </c>
      <c r="F61" s="16" t="s">
        <v>1388</v>
      </c>
      <c r="P61" s="16" t="s">
        <v>2228</v>
      </c>
      <c r="S61" s="16" t="s">
        <v>2983</v>
      </c>
      <c r="AC61" s="16" t="s">
        <v>392</v>
      </c>
      <c r="AD61" s="16" t="s">
        <v>5323</v>
      </c>
      <c r="AR61" s="16" t="s">
        <v>3835</v>
      </c>
      <c r="AT61" s="16" t="s">
        <v>5348</v>
      </c>
      <c r="BE61" s="16" t="s">
        <v>2284</v>
      </c>
      <c r="CD61" s="16" t="s">
        <v>316</v>
      </c>
      <c r="CP61" s="16" t="s">
        <v>5626</v>
      </c>
      <c r="DH61" s="16" t="s">
        <v>2612</v>
      </c>
      <c r="FP61" s="16" t="s">
        <v>865</v>
      </c>
    </row>
    <row r="62" spans="1:183" ht="14.4" thickBot="1" x14ac:dyDescent="0.35">
      <c r="A62" s="10" t="s">
        <v>6308</v>
      </c>
      <c r="B62" s="4" t="s">
        <v>2210</v>
      </c>
      <c r="C62" s="4" t="s">
        <v>1668</v>
      </c>
      <c r="F62" s="16" t="s">
        <v>2166</v>
      </c>
      <c r="P62" s="16" t="s">
        <v>5751</v>
      </c>
      <c r="S62" s="16" t="s">
        <v>4404</v>
      </c>
      <c r="AC62" s="16" t="s">
        <v>2104</v>
      </c>
      <c r="AD62" s="16" t="s">
        <v>3911</v>
      </c>
      <c r="AR62" s="16" t="s">
        <v>149</v>
      </c>
      <c r="AT62" s="16" t="s">
        <v>789</v>
      </c>
      <c r="BE62" s="16" t="s">
        <v>2282</v>
      </c>
      <c r="CD62" s="16" t="s">
        <v>5653</v>
      </c>
      <c r="CP62" s="16" t="s">
        <v>219</v>
      </c>
      <c r="DH62" s="16" t="s">
        <v>186</v>
      </c>
      <c r="FP62" s="16" t="s">
        <v>4788</v>
      </c>
    </row>
    <row r="63" spans="1:183" ht="14.4" thickBot="1" x14ac:dyDescent="0.35">
      <c r="A63" s="10" t="s">
        <v>6309</v>
      </c>
      <c r="B63" s="4" t="s">
        <v>816</v>
      </c>
      <c r="C63" s="4" t="s">
        <v>815</v>
      </c>
      <c r="F63" s="16" t="s">
        <v>2894</v>
      </c>
      <c r="P63" s="16" t="s">
        <v>1333</v>
      </c>
      <c r="S63" s="16" t="s">
        <v>5090</v>
      </c>
      <c r="AC63" s="16" t="s">
        <v>4370</v>
      </c>
      <c r="AD63" s="16" t="s">
        <v>6154</v>
      </c>
      <c r="AR63" s="16" t="s">
        <v>5262</v>
      </c>
      <c r="AT63" s="16" t="s">
        <v>2362</v>
      </c>
      <c r="BE63" s="16" t="s">
        <v>5912</v>
      </c>
      <c r="CD63" s="16" t="s">
        <v>4313</v>
      </c>
      <c r="CP63" s="16" t="s">
        <v>217</v>
      </c>
      <c r="DH63" s="16" t="s">
        <v>1972</v>
      </c>
      <c r="FP63" s="16" t="s">
        <v>869</v>
      </c>
    </row>
    <row r="64" spans="1:183" ht="14.4" thickBot="1" x14ac:dyDescent="0.35">
      <c r="A64" s="10" t="s">
        <v>6310</v>
      </c>
      <c r="B64" s="4" t="s">
        <v>527</v>
      </c>
      <c r="C64" s="4" t="s">
        <v>526</v>
      </c>
      <c r="F64" s="16" t="s">
        <v>4421</v>
      </c>
      <c r="P64" s="16" t="s">
        <v>559</v>
      </c>
      <c r="S64" s="16" t="s">
        <v>2153</v>
      </c>
      <c r="AC64" s="16" t="s">
        <v>2824</v>
      </c>
      <c r="AD64" s="16" t="s">
        <v>4766</v>
      </c>
      <c r="AR64" s="16" t="s">
        <v>5956</v>
      </c>
      <c r="AT64" s="16" t="s">
        <v>4642</v>
      </c>
      <c r="BE64" s="16" t="s">
        <v>2274</v>
      </c>
      <c r="CD64" s="16" t="s">
        <v>4317</v>
      </c>
      <c r="CP64" s="16" t="s">
        <v>4229</v>
      </c>
      <c r="DH64" s="16" t="s">
        <v>4205</v>
      </c>
      <c r="FP64" s="9" t="s">
        <v>5490</v>
      </c>
    </row>
    <row r="65" spans="1:112" ht="14.4" thickBot="1" x14ac:dyDescent="0.35">
      <c r="A65" s="10" t="s">
        <v>6311</v>
      </c>
      <c r="B65" s="4" t="s">
        <v>1478</v>
      </c>
      <c r="C65" s="4" t="s">
        <v>1477</v>
      </c>
      <c r="F65" s="16" t="s">
        <v>1386</v>
      </c>
      <c r="P65" s="16" t="s">
        <v>5057</v>
      </c>
      <c r="S65" s="16" t="s">
        <v>3625</v>
      </c>
      <c r="AC65" s="16" t="s">
        <v>373</v>
      </c>
      <c r="AD65" s="16" t="s">
        <v>2480</v>
      </c>
      <c r="AR65" s="16" t="s">
        <v>3837</v>
      </c>
      <c r="AT65" s="16" t="s">
        <v>1678</v>
      </c>
      <c r="BE65" s="16" t="s">
        <v>1570</v>
      </c>
      <c r="CD65" s="16" t="s">
        <v>3515</v>
      </c>
      <c r="CP65" s="16" t="s">
        <v>1173</v>
      </c>
      <c r="DH65" s="16" t="s">
        <v>1970</v>
      </c>
    </row>
    <row r="66" spans="1:112" ht="14.4" thickBot="1" x14ac:dyDescent="0.35">
      <c r="A66" s="10" t="s">
        <v>6312</v>
      </c>
      <c r="B66" s="4" t="s">
        <v>2400</v>
      </c>
      <c r="C66" s="4" t="s">
        <v>1318</v>
      </c>
      <c r="F66" s="16" t="s">
        <v>5795</v>
      </c>
      <c r="P66" s="16" t="s">
        <v>419</v>
      </c>
      <c r="S66" s="16" t="s">
        <v>437</v>
      </c>
      <c r="AC66" s="16" t="s">
        <v>5731</v>
      </c>
      <c r="AD66" s="16" t="s">
        <v>757</v>
      </c>
      <c r="AR66" s="16" t="s">
        <v>4569</v>
      </c>
      <c r="AT66" s="16" t="s">
        <v>5337</v>
      </c>
      <c r="BE66" s="16" t="s">
        <v>3779</v>
      </c>
      <c r="CD66" s="16" t="s">
        <v>314</v>
      </c>
      <c r="CP66" s="16" t="s">
        <v>4914</v>
      </c>
      <c r="DH66" s="16" t="s">
        <v>2614</v>
      </c>
    </row>
    <row r="67" spans="1:112" ht="14.4" thickBot="1" x14ac:dyDescent="0.35">
      <c r="A67" s="10" t="s">
        <v>6313</v>
      </c>
      <c r="B67" s="4" t="s">
        <v>542</v>
      </c>
      <c r="C67" s="4" t="s">
        <v>541</v>
      </c>
      <c r="F67" s="16" t="s">
        <v>5192</v>
      </c>
      <c r="P67" s="16" t="s">
        <v>5749</v>
      </c>
      <c r="S67" s="16" t="s">
        <v>4398</v>
      </c>
      <c r="AC67" s="16" t="s">
        <v>1308</v>
      </c>
      <c r="AD67" s="16" t="s">
        <v>4764</v>
      </c>
      <c r="AR67" s="16" t="s">
        <v>5964</v>
      </c>
      <c r="AT67" s="16" t="s">
        <v>5344</v>
      </c>
      <c r="BE67" s="16" t="s">
        <v>630</v>
      </c>
      <c r="CD67" s="16" t="s">
        <v>4274</v>
      </c>
      <c r="CP67" s="16" t="s">
        <v>4235</v>
      </c>
      <c r="DH67" s="16" t="s">
        <v>4203</v>
      </c>
    </row>
    <row r="68" spans="1:112" ht="14.4" thickBot="1" x14ac:dyDescent="0.35">
      <c r="A68" s="10" t="s">
        <v>6314</v>
      </c>
      <c r="B68" s="4" t="s">
        <v>1485</v>
      </c>
      <c r="C68" s="4" t="s">
        <v>1484</v>
      </c>
      <c r="F68" s="16" t="s">
        <v>577</v>
      </c>
      <c r="P68" s="16" t="s">
        <v>2842</v>
      </c>
      <c r="S68" s="16" t="s">
        <v>4407</v>
      </c>
      <c r="AC68" s="16" t="s">
        <v>5743</v>
      </c>
      <c r="AD68" s="16" t="s">
        <v>3907</v>
      </c>
      <c r="AR68" s="16" t="s">
        <v>3055</v>
      </c>
      <c r="AT68" s="16" t="s">
        <v>6042</v>
      </c>
      <c r="BE68" s="16" t="s">
        <v>4537</v>
      </c>
      <c r="CD68" s="16" t="s">
        <v>2055</v>
      </c>
      <c r="CP68" s="16" t="s">
        <v>1999</v>
      </c>
      <c r="DH68" s="16" t="s">
        <v>3413</v>
      </c>
    </row>
    <row r="69" spans="1:112" ht="14.4" thickBot="1" x14ac:dyDescent="0.35">
      <c r="A69" s="10" t="s">
        <v>6315</v>
      </c>
      <c r="B69" s="4" t="s">
        <v>1549</v>
      </c>
      <c r="C69" s="4" t="s">
        <v>1548</v>
      </c>
      <c r="F69" s="16" t="s">
        <v>5194</v>
      </c>
      <c r="P69" s="16" t="s">
        <v>5747</v>
      </c>
      <c r="S69" s="16" t="s">
        <v>441</v>
      </c>
      <c r="AC69" s="16" t="s">
        <v>1306</v>
      </c>
      <c r="AD69" s="16" t="s">
        <v>4762</v>
      </c>
      <c r="AR69" s="16" t="s">
        <v>3843</v>
      </c>
      <c r="AT69" s="16" t="s">
        <v>3952</v>
      </c>
      <c r="BE69" s="16" t="s">
        <v>618</v>
      </c>
      <c r="CD69" s="16" t="s">
        <v>310</v>
      </c>
      <c r="CP69" s="16" t="s">
        <v>4902</v>
      </c>
      <c r="DH69" s="16" t="s">
        <v>2616</v>
      </c>
    </row>
    <row r="70" spans="1:112" ht="14.4" thickBot="1" x14ac:dyDescent="0.35">
      <c r="A70" s="10" t="s">
        <v>6316</v>
      </c>
      <c r="B70" s="4" t="s">
        <v>355</v>
      </c>
      <c r="C70" s="4" t="s">
        <v>354</v>
      </c>
      <c r="F70" s="16" t="s">
        <v>4511</v>
      </c>
      <c r="P70" s="16" t="s">
        <v>1489</v>
      </c>
      <c r="S70" s="16" t="s">
        <v>3623</v>
      </c>
      <c r="AC70" s="16" t="s">
        <v>5033</v>
      </c>
      <c r="AD70" s="16" t="s">
        <v>952</v>
      </c>
      <c r="AR70" s="16" t="s">
        <v>5952</v>
      </c>
      <c r="AT70" s="16" t="s">
        <v>3926</v>
      </c>
      <c r="BE70" s="16" t="s">
        <v>1566</v>
      </c>
      <c r="CD70" s="16" t="s">
        <v>5659</v>
      </c>
      <c r="CP70" s="16" t="s">
        <v>1991</v>
      </c>
      <c r="DH70" s="16" t="s">
        <v>1153</v>
      </c>
    </row>
    <row r="71" spans="1:112" ht="14.4" thickBot="1" x14ac:dyDescent="0.35">
      <c r="A71" s="10" t="s">
        <v>6317</v>
      </c>
      <c r="B71" s="4" t="s">
        <v>363</v>
      </c>
      <c r="C71" s="4" t="s">
        <v>362</v>
      </c>
      <c r="F71" s="16" t="s">
        <v>5873</v>
      </c>
      <c r="P71" s="16" t="s">
        <v>4387</v>
      </c>
      <c r="S71" s="16" t="s">
        <v>563</v>
      </c>
      <c r="AC71" s="16" t="s">
        <v>390</v>
      </c>
      <c r="AD71" s="16" t="s">
        <v>4760</v>
      </c>
      <c r="AR71" s="16" t="s">
        <v>2306</v>
      </c>
      <c r="AT71" s="16" t="s">
        <v>3941</v>
      </c>
      <c r="BE71" s="16" t="s">
        <v>4543</v>
      </c>
      <c r="CD71" s="16" t="s">
        <v>1257</v>
      </c>
      <c r="CP71" s="16" t="s">
        <v>5622</v>
      </c>
      <c r="DH71" s="16" t="s">
        <v>1980</v>
      </c>
    </row>
    <row r="72" spans="1:112" ht="14.4" thickBot="1" x14ac:dyDescent="0.35">
      <c r="A72" s="10" t="s">
        <v>6318</v>
      </c>
      <c r="B72" s="4" t="s">
        <v>2933</v>
      </c>
      <c r="C72" s="4" t="s">
        <v>1123</v>
      </c>
      <c r="F72" s="16" t="s">
        <v>3649</v>
      </c>
      <c r="P72" s="16" t="s">
        <v>2850</v>
      </c>
      <c r="S72" s="16" t="s">
        <v>4406</v>
      </c>
      <c r="AC72" s="16" t="s">
        <v>376</v>
      </c>
      <c r="AD72" s="16" t="s">
        <v>6152</v>
      </c>
      <c r="AR72" s="16" t="s">
        <v>3829</v>
      </c>
      <c r="AT72" s="16" t="s">
        <v>3923</v>
      </c>
      <c r="BE72" s="16" t="s">
        <v>1564</v>
      </c>
      <c r="CD72" s="16" t="s">
        <v>52</v>
      </c>
      <c r="CP72" s="16" t="s">
        <v>3445</v>
      </c>
      <c r="DH72" s="16" t="s">
        <v>195</v>
      </c>
    </row>
    <row r="73" spans="1:112" ht="14.4" thickBot="1" x14ac:dyDescent="0.35">
      <c r="A73" s="10" t="s">
        <v>6319</v>
      </c>
      <c r="B73" s="4" t="s">
        <v>1447</v>
      </c>
      <c r="C73" s="4" t="s">
        <v>1446</v>
      </c>
      <c r="F73" s="16" t="s">
        <v>4425</v>
      </c>
      <c r="P73" s="16" t="s">
        <v>413</v>
      </c>
      <c r="S73" s="16" t="s">
        <v>2871</v>
      </c>
      <c r="AC73" s="16" t="s">
        <v>2112</v>
      </c>
      <c r="AD73" s="16" t="s">
        <v>3250</v>
      </c>
      <c r="AR73" s="16" t="s">
        <v>2319</v>
      </c>
      <c r="AT73" s="16" t="s">
        <v>4648</v>
      </c>
      <c r="BE73" s="16" t="s">
        <v>5224</v>
      </c>
      <c r="CD73" s="16" t="s">
        <v>2742</v>
      </c>
      <c r="CP73" s="16" t="s">
        <v>3447</v>
      </c>
      <c r="DH73" s="16" t="s">
        <v>4896</v>
      </c>
    </row>
    <row r="74" spans="1:112" ht="14.4" thickBot="1" x14ac:dyDescent="0.35">
      <c r="A74" s="10" t="s">
        <v>6320</v>
      </c>
      <c r="B74" s="4" t="s">
        <v>1451</v>
      </c>
      <c r="C74" s="4" t="s">
        <v>1450</v>
      </c>
      <c r="F74" s="16" t="s">
        <v>3725</v>
      </c>
      <c r="P74" s="16" t="s">
        <v>3590</v>
      </c>
      <c r="S74" s="16" t="s">
        <v>3619</v>
      </c>
      <c r="AC74" s="16" t="s">
        <v>5723</v>
      </c>
      <c r="AD74" s="16" t="s">
        <v>2468</v>
      </c>
      <c r="AR74" s="16" t="s">
        <v>5414</v>
      </c>
      <c r="AT74" s="16" t="s">
        <v>787</v>
      </c>
      <c r="BE74" s="16" t="s">
        <v>3033</v>
      </c>
      <c r="CD74" s="16" t="s">
        <v>2059</v>
      </c>
      <c r="CP74" s="16" t="s">
        <v>4908</v>
      </c>
      <c r="DH74" s="16" t="s">
        <v>4887</v>
      </c>
    </row>
    <row r="75" spans="1:112" ht="14.4" thickBot="1" x14ac:dyDescent="0.35">
      <c r="A75" s="10" t="s">
        <v>6321</v>
      </c>
      <c r="B75" s="4" t="s">
        <v>497</v>
      </c>
      <c r="C75" s="4" t="s">
        <v>496</v>
      </c>
      <c r="F75" s="16" t="s">
        <v>5791</v>
      </c>
      <c r="P75" s="16" t="s">
        <v>5067</v>
      </c>
      <c r="S75" s="16" t="s">
        <v>1368</v>
      </c>
      <c r="AC75" s="16" t="s">
        <v>3569</v>
      </c>
      <c r="AD75" s="16" t="s">
        <v>950</v>
      </c>
      <c r="AR75" s="16" t="s">
        <v>908</v>
      </c>
      <c r="AT75" s="16" t="s">
        <v>3950</v>
      </c>
      <c r="BE75" s="16" t="s">
        <v>1562</v>
      </c>
      <c r="CD75" s="16" t="s">
        <v>301</v>
      </c>
      <c r="CP75" s="16" t="s">
        <v>2657</v>
      </c>
      <c r="DH75" s="16" t="s">
        <v>4220</v>
      </c>
    </row>
    <row r="76" spans="1:112" ht="14.4" thickBot="1" x14ac:dyDescent="0.35">
      <c r="A76" s="10" t="s">
        <v>6322</v>
      </c>
      <c r="B76" s="4" t="s">
        <v>502</v>
      </c>
      <c r="C76" s="4" t="s">
        <v>501</v>
      </c>
      <c r="F76" s="16" t="s">
        <v>5126</v>
      </c>
      <c r="P76" s="16" t="s">
        <v>1331</v>
      </c>
      <c r="S76" s="16" t="s">
        <v>5184</v>
      </c>
      <c r="AC76" s="16" t="s">
        <v>380</v>
      </c>
      <c r="AD76" s="16" t="s">
        <v>5458</v>
      </c>
      <c r="AR76" s="16" t="s">
        <v>679</v>
      </c>
      <c r="AT76" s="16" t="s">
        <v>5343</v>
      </c>
      <c r="BE76" s="16" t="s">
        <v>624</v>
      </c>
      <c r="CD76" s="16" t="s">
        <v>4996</v>
      </c>
      <c r="CP76" s="16" t="s">
        <v>2655</v>
      </c>
      <c r="DH76" s="16" t="s">
        <v>3417</v>
      </c>
    </row>
    <row r="77" spans="1:112" ht="14.4" thickBot="1" x14ac:dyDescent="0.35">
      <c r="A77" s="10" t="s">
        <v>6323</v>
      </c>
      <c r="B77" s="4" t="s">
        <v>3680</v>
      </c>
      <c r="C77" s="4" t="s">
        <v>2344</v>
      </c>
      <c r="F77" s="16" t="s">
        <v>5124</v>
      </c>
      <c r="P77" s="16" t="s">
        <v>2125</v>
      </c>
      <c r="S77" s="16" t="s">
        <v>5182</v>
      </c>
      <c r="AC77" s="16" t="s">
        <v>3565</v>
      </c>
      <c r="AD77" s="16" t="s">
        <v>4055</v>
      </c>
      <c r="AR77" s="16" t="s">
        <v>3086</v>
      </c>
      <c r="AT77" s="16" t="s">
        <v>1676</v>
      </c>
      <c r="BE77" s="16" t="s">
        <v>3793</v>
      </c>
      <c r="CD77" s="16" t="s">
        <v>4938</v>
      </c>
      <c r="CP77" s="16" t="s">
        <v>5632</v>
      </c>
      <c r="DH77" s="16" t="s">
        <v>197</v>
      </c>
    </row>
    <row r="78" spans="1:112" ht="14.4" thickBot="1" x14ac:dyDescent="0.35">
      <c r="A78" s="10" t="s">
        <v>6324</v>
      </c>
      <c r="B78" s="4" t="s">
        <v>589</v>
      </c>
      <c r="C78" s="4" t="s">
        <v>588</v>
      </c>
      <c r="F78" s="9" t="s">
        <v>2906</v>
      </c>
      <c r="P78" s="16" t="s">
        <v>5065</v>
      </c>
      <c r="S78" s="16" t="s">
        <v>1366</v>
      </c>
      <c r="AC78" s="16" t="s">
        <v>5031</v>
      </c>
      <c r="AD78" s="16" t="s">
        <v>1808</v>
      </c>
      <c r="AR78" s="16" t="s">
        <v>5287</v>
      </c>
      <c r="AT78" s="16" t="s">
        <v>3939</v>
      </c>
      <c r="BE78" s="16" t="s">
        <v>5236</v>
      </c>
      <c r="CD78" s="16" t="s">
        <v>2730</v>
      </c>
      <c r="CP78" s="16" t="s">
        <v>4237</v>
      </c>
      <c r="DH78" s="16" t="s">
        <v>1978</v>
      </c>
    </row>
    <row r="79" spans="1:112" ht="14.4" thickBot="1" x14ac:dyDescent="0.35">
      <c r="A79" s="10" t="s">
        <v>6325</v>
      </c>
      <c r="B79" s="4" t="s">
        <v>2406</v>
      </c>
      <c r="C79" s="4" t="s">
        <v>2405</v>
      </c>
      <c r="P79" s="16" t="s">
        <v>2122</v>
      </c>
      <c r="S79" s="16" t="s">
        <v>2856</v>
      </c>
      <c r="AC79" s="16" t="s">
        <v>2813</v>
      </c>
      <c r="AD79" s="16" t="s">
        <v>5456</v>
      </c>
      <c r="AR79" s="16" t="s">
        <v>2318</v>
      </c>
      <c r="AT79" s="16" t="s">
        <v>6046</v>
      </c>
      <c r="BE79" s="16" t="s">
        <v>4541</v>
      </c>
      <c r="CD79" s="16" t="s">
        <v>3508</v>
      </c>
      <c r="CP79" s="16" t="s">
        <v>3427</v>
      </c>
      <c r="DH79" s="16" t="s">
        <v>1976</v>
      </c>
    </row>
    <row r="80" spans="1:112" ht="14.4" thickBot="1" x14ac:dyDescent="0.35">
      <c r="A80" s="10" t="s">
        <v>6326</v>
      </c>
      <c r="B80" s="4" t="s">
        <v>4462</v>
      </c>
      <c r="C80" s="4" t="s">
        <v>4461</v>
      </c>
      <c r="P80" s="16" t="s">
        <v>3588</v>
      </c>
      <c r="S80" s="16" t="s">
        <v>5088</v>
      </c>
      <c r="AC80" s="16" t="s">
        <v>3563</v>
      </c>
      <c r="AD80" s="16" t="s">
        <v>946</v>
      </c>
      <c r="AR80" s="16" t="s">
        <v>5268</v>
      </c>
      <c r="AT80" s="16" t="s">
        <v>3948</v>
      </c>
      <c r="BE80" s="16" t="s">
        <v>3773</v>
      </c>
      <c r="CD80" s="16" t="s">
        <v>257</v>
      </c>
      <c r="CP80" s="16" t="s">
        <v>5630</v>
      </c>
      <c r="DH80" s="16" t="s">
        <v>4213</v>
      </c>
    </row>
    <row r="81" spans="1:112" ht="14.4" thickBot="1" x14ac:dyDescent="0.35">
      <c r="A81" s="10" t="s">
        <v>6327</v>
      </c>
      <c r="B81" s="4" t="s">
        <v>253</v>
      </c>
      <c r="C81" s="4" t="s">
        <v>252</v>
      </c>
      <c r="P81" s="16" t="s">
        <v>5063</v>
      </c>
      <c r="S81" s="16" t="s">
        <v>439</v>
      </c>
      <c r="AC81" s="16" t="s">
        <v>2822</v>
      </c>
      <c r="AD81" s="16" t="s">
        <v>3244</v>
      </c>
      <c r="AR81" s="16" t="s">
        <v>723</v>
      </c>
      <c r="AT81" s="16" t="s">
        <v>5341</v>
      </c>
      <c r="BE81" s="16" t="s">
        <v>4547</v>
      </c>
      <c r="CD81" s="16" t="s">
        <v>1227</v>
      </c>
      <c r="CP81" s="16" t="s">
        <v>5634</v>
      </c>
      <c r="DH81" s="16" t="s">
        <v>2622</v>
      </c>
    </row>
    <row r="82" spans="1:112" ht="14.4" thickBot="1" x14ac:dyDescent="0.35">
      <c r="A82" s="10" t="s">
        <v>6328</v>
      </c>
      <c r="B82" s="4" t="s">
        <v>324</v>
      </c>
      <c r="C82" s="4" t="s">
        <v>323</v>
      </c>
      <c r="P82" s="16" t="s">
        <v>4391</v>
      </c>
      <c r="S82" s="16" t="s">
        <v>2869</v>
      </c>
      <c r="AC82" s="16" t="s">
        <v>1294</v>
      </c>
      <c r="AD82" s="16" t="s">
        <v>5313</v>
      </c>
      <c r="AR82" s="16" t="s">
        <v>3094</v>
      </c>
      <c r="AT82" s="16" t="s">
        <v>3938</v>
      </c>
      <c r="BE82" s="16" t="s">
        <v>3041</v>
      </c>
      <c r="CD82" s="16" t="s">
        <v>1271</v>
      </c>
      <c r="CP82" s="16" t="s">
        <v>3425</v>
      </c>
      <c r="DH82" s="16" t="s">
        <v>4889</v>
      </c>
    </row>
    <row r="83" spans="1:112" ht="14.4" thickBot="1" x14ac:dyDescent="0.35">
      <c r="A83" s="10" t="s">
        <v>6329</v>
      </c>
      <c r="B83" s="4" t="s">
        <v>3522</v>
      </c>
      <c r="C83" s="4" t="s">
        <v>3521</v>
      </c>
      <c r="P83" s="16" t="s">
        <v>2124</v>
      </c>
      <c r="S83" s="16" t="s">
        <v>2867</v>
      </c>
      <c r="AC83" s="16" t="s">
        <v>2799</v>
      </c>
      <c r="AD83" s="16" t="s">
        <v>3909</v>
      </c>
      <c r="AR83" s="16" t="s">
        <v>681</v>
      </c>
      <c r="AT83" s="16" t="s">
        <v>1828</v>
      </c>
      <c r="BE83" s="16" t="s">
        <v>5914</v>
      </c>
      <c r="CD83" s="16" t="s">
        <v>5693</v>
      </c>
      <c r="CP83" s="16" t="s">
        <v>3429</v>
      </c>
      <c r="DH83" s="16" t="s">
        <v>4218</v>
      </c>
    </row>
    <row r="84" spans="1:112" ht="14.4" thickBot="1" x14ac:dyDescent="0.35">
      <c r="A84" s="10" t="s">
        <v>6330</v>
      </c>
      <c r="B84" s="4" t="s">
        <v>5703</v>
      </c>
      <c r="C84" s="4" t="s">
        <v>4217</v>
      </c>
      <c r="P84" s="16" t="s">
        <v>2969</v>
      </c>
      <c r="S84" s="16" t="s">
        <v>2147</v>
      </c>
      <c r="AC84" s="16" t="s">
        <v>3561</v>
      </c>
      <c r="AD84" s="16" t="s">
        <v>2348</v>
      </c>
      <c r="AR84" s="16" t="s">
        <v>40</v>
      </c>
      <c r="AT84" s="16" t="s">
        <v>3946</v>
      </c>
      <c r="BE84" s="16" t="s">
        <v>4550</v>
      </c>
      <c r="CD84" s="16" t="s">
        <v>4321</v>
      </c>
      <c r="CP84" s="16" t="s">
        <v>2641</v>
      </c>
      <c r="DH84" s="16" t="s">
        <v>1147</v>
      </c>
    </row>
    <row r="85" spans="1:112" ht="14.4" thickBot="1" x14ac:dyDescent="0.35">
      <c r="A85" s="10" t="s">
        <v>6331</v>
      </c>
      <c r="B85" s="4" t="s">
        <v>2766</v>
      </c>
      <c r="C85" s="4" t="s">
        <v>2765</v>
      </c>
      <c r="P85" s="16" t="s">
        <v>5178</v>
      </c>
      <c r="S85" s="16" t="s">
        <v>3621</v>
      </c>
      <c r="AC85" s="16" t="s">
        <v>5023</v>
      </c>
      <c r="AD85" s="16" t="s">
        <v>3111</v>
      </c>
      <c r="AR85" s="16" t="s">
        <v>902</v>
      </c>
      <c r="AT85" s="16" t="s">
        <v>5355</v>
      </c>
      <c r="BE85" s="16" t="s">
        <v>1572</v>
      </c>
      <c r="CD85" s="16" t="s">
        <v>4272</v>
      </c>
      <c r="CP85" s="16" t="s">
        <v>4239</v>
      </c>
      <c r="DH85" s="16" t="s">
        <v>2628</v>
      </c>
    </row>
    <row r="86" spans="1:112" ht="14.4" thickBot="1" x14ac:dyDescent="0.35">
      <c r="A86" s="10" t="s">
        <v>6332</v>
      </c>
      <c r="B86" s="4" t="s">
        <v>828</v>
      </c>
      <c r="C86" s="4" t="s">
        <v>827</v>
      </c>
      <c r="P86" s="16" t="s">
        <v>2977</v>
      </c>
      <c r="S86" s="16" t="s">
        <v>1499</v>
      </c>
      <c r="AC86" s="16" t="s">
        <v>5737</v>
      </c>
      <c r="AD86" s="16" t="s">
        <v>3117</v>
      </c>
      <c r="AR86" s="16" t="s">
        <v>713</v>
      </c>
      <c r="AT86" s="16" t="s">
        <v>3136</v>
      </c>
      <c r="BE86" s="16" t="s">
        <v>656</v>
      </c>
      <c r="CD86" s="16" t="s">
        <v>4319</v>
      </c>
      <c r="CP86" s="16" t="s">
        <v>5641</v>
      </c>
      <c r="DH86" s="16" t="s">
        <v>4891</v>
      </c>
    </row>
    <row r="87" spans="1:112" ht="14.4" thickBot="1" x14ac:dyDescent="0.35">
      <c r="A87" s="10" t="s">
        <v>6333</v>
      </c>
      <c r="B87" s="4" t="s">
        <v>2070</v>
      </c>
      <c r="C87" s="4" t="s">
        <v>2069</v>
      </c>
      <c r="P87" s="16" t="s">
        <v>4389</v>
      </c>
      <c r="S87" s="16" t="s">
        <v>3717</v>
      </c>
      <c r="AC87" s="16" t="s">
        <v>4366</v>
      </c>
      <c r="AD87" s="16" t="s">
        <v>6024</v>
      </c>
      <c r="AR87" s="16" t="s">
        <v>3190</v>
      </c>
      <c r="AT87" s="16" t="s">
        <v>2370</v>
      </c>
      <c r="BE87" s="16" t="s">
        <v>3031</v>
      </c>
      <c r="CD87" s="16" t="s">
        <v>2748</v>
      </c>
      <c r="CP87" s="16" t="s">
        <v>2007</v>
      </c>
      <c r="DH87" s="16" t="s">
        <v>2626</v>
      </c>
    </row>
    <row r="88" spans="1:112" ht="14.4" thickBot="1" x14ac:dyDescent="0.35">
      <c r="A88" s="10" t="s">
        <v>6334</v>
      </c>
      <c r="B88" s="4" t="s">
        <v>329</v>
      </c>
      <c r="C88" s="4" t="s">
        <v>328</v>
      </c>
      <c r="P88" s="16" t="s">
        <v>5757</v>
      </c>
      <c r="S88" s="16" t="s">
        <v>2155</v>
      </c>
      <c r="AC88" s="16" t="s">
        <v>5029</v>
      </c>
      <c r="AD88" s="16" t="s">
        <v>751</v>
      </c>
      <c r="AR88" s="16" t="s">
        <v>4710</v>
      </c>
      <c r="AT88" s="16" t="s">
        <v>6160</v>
      </c>
      <c r="BE88" s="16" t="s">
        <v>638</v>
      </c>
      <c r="CD88" s="16" t="s">
        <v>2065</v>
      </c>
      <c r="CP88" s="16" t="s">
        <v>2653</v>
      </c>
      <c r="DH88" s="9" t="s">
        <v>179</v>
      </c>
    </row>
    <row r="89" spans="1:112" ht="14.4" thickBot="1" x14ac:dyDescent="0.35">
      <c r="A89" s="10" t="s">
        <v>6335</v>
      </c>
      <c r="B89" s="4" t="s">
        <v>336</v>
      </c>
      <c r="C89" s="4" t="s">
        <v>335</v>
      </c>
      <c r="P89" s="16" t="s">
        <v>3598</v>
      </c>
      <c r="S89" s="16" t="s">
        <v>1362</v>
      </c>
      <c r="AC89" s="16" t="s">
        <v>388</v>
      </c>
      <c r="AD89" s="16" t="s">
        <v>761</v>
      </c>
      <c r="AR89" s="16" t="s">
        <v>669</v>
      </c>
      <c r="AT89" s="16" t="s">
        <v>6158</v>
      </c>
      <c r="BE89" s="16" t="s">
        <v>5232</v>
      </c>
      <c r="CD89" s="16" t="s">
        <v>1265</v>
      </c>
      <c r="CP89" s="16" t="s">
        <v>4912</v>
      </c>
    </row>
    <row r="90" spans="1:112" ht="14.4" thickBot="1" x14ac:dyDescent="0.35">
      <c r="A90" s="10" t="s">
        <v>6336</v>
      </c>
      <c r="B90" s="4" t="s">
        <v>340</v>
      </c>
      <c r="C90" s="4" t="s">
        <v>339</v>
      </c>
      <c r="P90" s="16" t="s">
        <v>2848</v>
      </c>
      <c r="S90" s="16" t="s">
        <v>2149</v>
      </c>
      <c r="AC90" s="16" t="s">
        <v>1302</v>
      </c>
      <c r="AD90" s="16" t="s">
        <v>3122</v>
      </c>
      <c r="AR90" s="16" t="s">
        <v>3192</v>
      </c>
      <c r="AT90" s="16" t="s">
        <v>3130</v>
      </c>
      <c r="BE90" s="16" t="s">
        <v>654</v>
      </c>
      <c r="CD90" s="16" t="s">
        <v>1209</v>
      </c>
      <c r="CP90" s="9" t="s">
        <v>1167</v>
      </c>
    </row>
    <row r="91" spans="1:112" ht="14.4" thickBot="1" x14ac:dyDescent="0.35">
      <c r="A91" s="10" t="s">
        <v>6337</v>
      </c>
      <c r="B91" s="4" t="s">
        <v>969</v>
      </c>
      <c r="C91" s="4" t="s">
        <v>968</v>
      </c>
      <c r="P91" s="16" t="s">
        <v>5061</v>
      </c>
      <c r="S91" s="16" t="s">
        <v>5086</v>
      </c>
      <c r="AC91" s="16" t="s">
        <v>4358</v>
      </c>
      <c r="AD91" s="16" t="s">
        <v>6022</v>
      </c>
      <c r="AR91" s="16" t="s">
        <v>3051</v>
      </c>
      <c r="AT91" s="16" t="s">
        <v>6054</v>
      </c>
      <c r="BE91" s="16" t="s">
        <v>3798</v>
      </c>
      <c r="CD91" s="16" t="s">
        <v>2694</v>
      </c>
    </row>
    <row r="92" spans="1:112" ht="14.4" thickBot="1" x14ac:dyDescent="0.35">
      <c r="A92" s="10" t="s">
        <v>6338</v>
      </c>
      <c r="B92" s="4" t="s">
        <v>210</v>
      </c>
      <c r="C92" s="4" t="s">
        <v>209</v>
      </c>
      <c r="P92" s="16" t="s">
        <v>1335</v>
      </c>
      <c r="S92" s="16" t="s">
        <v>5773</v>
      </c>
      <c r="AC92" s="16" t="s">
        <v>5035</v>
      </c>
      <c r="AD92" s="16" t="s">
        <v>6030</v>
      </c>
      <c r="AR92" s="16" t="s">
        <v>1020</v>
      </c>
      <c r="AT92" s="16" t="s">
        <v>3140</v>
      </c>
      <c r="BE92" s="16" t="s">
        <v>2294</v>
      </c>
      <c r="CD92" s="16" t="s">
        <v>2726</v>
      </c>
    </row>
    <row r="93" spans="1:112" ht="14.4" thickBot="1" x14ac:dyDescent="0.35">
      <c r="A93" s="10" t="s">
        <v>6339</v>
      </c>
      <c r="B93" s="4" t="s">
        <v>215</v>
      </c>
      <c r="C93" s="4" t="s">
        <v>214</v>
      </c>
      <c r="P93" s="9" t="s">
        <v>4495</v>
      </c>
      <c r="S93" s="16" t="s">
        <v>3617</v>
      </c>
      <c r="AC93" s="16" t="s">
        <v>2819</v>
      </c>
      <c r="AD93" s="16" t="s">
        <v>753</v>
      </c>
      <c r="AR93" s="16" t="s">
        <v>2323</v>
      </c>
      <c r="AT93" s="16" t="s">
        <v>3936</v>
      </c>
      <c r="BE93" s="16" t="s">
        <v>3780</v>
      </c>
      <c r="CD93" s="16" t="s">
        <v>2712</v>
      </c>
    </row>
    <row r="94" spans="1:112" ht="14.4" thickBot="1" x14ac:dyDescent="0.35">
      <c r="A94" s="10" t="s">
        <v>6340</v>
      </c>
      <c r="B94" s="4" t="s">
        <v>234</v>
      </c>
      <c r="C94" s="4" t="s">
        <v>233</v>
      </c>
      <c r="S94" s="16" t="s">
        <v>2145</v>
      </c>
      <c r="AC94" s="16" t="s">
        <v>5036</v>
      </c>
      <c r="AD94" s="16" t="s">
        <v>3115</v>
      </c>
      <c r="AR94" s="16" t="s">
        <v>4708</v>
      </c>
      <c r="AT94" s="16" t="s">
        <v>3142</v>
      </c>
      <c r="BE94" s="16" t="s">
        <v>652</v>
      </c>
      <c r="CD94" s="16" t="s">
        <v>1215</v>
      </c>
    </row>
    <row r="95" spans="1:112" ht="14.4" thickBot="1" x14ac:dyDescent="0.35">
      <c r="A95" s="10" t="s">
        <v>6341</v>
      </c>
      <c r="B95" s="4" t="s">
        <v>244</v>
      </c>
      <c r="C95" s="4" t="s">
        <v>243</v>
      </c>
      <c r="S95" s="16" t="s">
        <v>5084</v>
      </c>
      <c r="AC95" s="9" t="s">
        <v>3572</v>
      </c>
      <c r="AD95" s="16" t="s">
        <v>2342</v>
      </c>
      <c r="AR95" s="16" t="s">
        <v>721</v>
      </c>
      <c r="AT95" s="16" t="s">
        <v>2378</v>
      </c>
      <c r="BE95" s="16" t="s">
        <v>632</v>
      </c>
      <c r="CD95" s="16" t="s">
        <v>3500</v>
      </c>
    </row>
    <row r="96" spans="1:112" ht="14.4" thickBot="1" x14ac:dyDescent="0.35">
      <c r="A96" s="10" t="s">
        <v>6342</v>
      </c>
      <c r="B96" s="4" t="s">
        <v>3162</v>
      </c>
      <c r="C96" s="4" t="s">
        <v>3161</v>
      </c>
      <c r="S96" s="16" t="s">
        <v>3615</v>
      </c>
      <c r="AD96" s="16" t="s">
        <v>759</v>
      </c>
      <c r="AR96" s="16" t="s">
        <v>3069</v>
      </c>
      <c r="AT96" s="16" t="s">
        <v>1684</v>
      </c>
      <c r="BE96" s="16" t="s">
        <v>2276</v>
      </c>
      <c r="CD96" s="16" t="s">
        <v>5691</v>
      </c>
    </row>
    <row r="97" spans="1:82" ht="14.4" thickBot="1" x14ac:dyDescent="0.35">
      <c r="A97" s="10" t="s">
        <v>6343</v>
      </c>
      <c r="B97" s="4" t="s">
        <v>248</v>
      </c>
      <c r="C97" s="4" t="s">
        <v>247</v>
      </c>
      <c r="S97" s="16" t="s">
        <v>3627</v>
      </c>
      <c r="AD97" s="16" t="s">
        <v>3905</v>
      </c>
      <c r="AR97" s="16" t="s">
        <v>1625</v>
      </c>
      <c r="AT97" s="16" t="s">
        <v>2368</v>
      </c>
      <c r="BE97" s="16" t="s">
        <v>628</v>
      </c>
      <c r="CD97" s="16" t="s">
        <v>267</v>
      </c>
    </row>
    <row r="98" spans="1:82" ht="14.4" thickBot="1" x14ac:dyDescent="0.35">
      <c r="A98" s="10" t="s">
        <v>6344</v>
      </c>
      <c r="B98" s="4" t="s">
        <v>4932</v>
      </c>
      <c r="C98" s="4" t="s">
        <v>4931</v>
      </c>
      <c r="S98" s="16" t="s">
        <v>5082</v>
      </c>
      <c r="AD98" s="16" t="s">
        <v>1806</v>
      </c>
      <c r="AR98" s="16" t="s">
        <v>5291</v>
      </c>
      <c r="AT98" s="16" t="s">
        <v>1680</v>
      </c>
      <c r="BE98" s="16" t="s">
        <v>650</v>
      </c>
      <c r="CD98" s="16" t="s">
        <v>2049</v>
      </c>
    </row>
    <row r="99" spans="1:82" ht="14.4" thickBot="1" x14ac:dyDescent="0.35">
      <c r="A99" s="10" t="s">
        <v>6345</v>
      </c>
      <c r="B99" s="4" t="s">
        <v>1196</v>
      </c>
      <c r="C99" s="4" t="s">
        <v>1195</v>
      </c>
      <c r="S99" s="9" t="s">
        <v>5080</v>
      </c>
      <c r="AD99" s="16" t="s">
        <v>3107</v>
      </c>
      <c r="AR99" s="16" t="s">
        <v>725</v>
      </c>
      <c r="AT99" s="16" t="s">
        <v>793</v>
      </c>
      <c r="BE99" s="16" t="s">
        <v>1576</v>
      </c>
      <c r="CD99" s="16" t="s">
        <v>3498</v>
      </c>
    </row>
    <row r="100" spans="1:82" ht="14.4" thickBot="1" x14ac:dyDescent="0.35">
      <c r="A100" s="10" t="s">
        <v>6346</v>
      </c>
      <c r="B100" s="4" t="s">
        <v>2685</v>
      </c>
      <c r="C100" s="4" t="s">
        <v>2684</v>
      </c>
      <c r="AD100" s="16" t="s">
        <v>6136</v>
      </c>
      <c r="AR100" s="16" t="s">
        <v>3845</v>
      </c>
      <c r="AT100" s="16" t="s">
        <v>791</v>
      </c>
      <c r="BE100" s="16" t="s">
        <v>620</v>
      </c>
      <c r="CD100" s="16" t="s">
        <v>2688</v>
      </c>
    </row>
    <row r="101" spans="1:82" ht="14.4" thickBot="1" x14ac:dyDescent="0.35">
      <c r="A101" s="10" t="s">
        <v>6347</v>
      </c>
      <c r="B101" s="4" t="s">
        <v>1711</v>
      </c>
      <c r="C101" s="4" t="s">
        <v>1710</v>
      </c>
      <c r="AD101" s="16" t="s">
        <v>5444</v>
      </c>
      <c r="AR101" s="16" t="s">
        <v>1621</v>
      </c>
      <c r="AT101" s="16" t="s">
        <v>3944</v>
      </c>
      <c r="BE101" s="16" t="s">
        <v>2292</v>
      </c>
      <c r="CD101" s="16" t="s">
        <v>4994</v>
      </c>
    </row>
    <row r="102" spans="1:82" ht="14.4" thickBot="1" x14ac:dyDescent="0.35">
      <c r="A102" s="10" t="s">
        <v>6348</v>
      </c>
      <c r="B102" s="4" t="s">
        <v>4263</v>
      </c>
      <c r="C102" s="4" t="s">
        <v>4262</v>
      </c>
      <c r="AD102" s="16" t="s">
        <v>1666</v>
      </c>
      <c r="AR102" s="16" t="s">
        <v>3075</v>
      </c>
      <c r="AT102" s="16" t="s">
        <v>1830</v>
      </c>
      <c r="BE102" s="16" t="s">
        <v>4545</v>
      </c>
      <c r="CD102" s="16" t="s">
        <v>2027</v>
      </c>
    </row>
    <row r="103" spans="1:82" ht="14.4" thickBot="1" x14ac:dyDescent="0.35">
      <c r="A103" s="10" t="s">
        <v>6349</v>
      </c>
      <c r="B103" s="4" t="s">
        <v>1118</v>
      </c>
      <c r="C103" s="4" t="s">
        <v>1117</v>
      </c>
      <c r="AD103" s="16" t="s">
        <v>1662</v>
      </c>
      <c r="AR103" s="16" t="s">
        <v>906</v>
      </c>
      <c r="AT103" s="16" t="s">
        <v>1836</v>
      </c>
      <c r="BE103" s="16" t="s">
        <v>1568</v>
      </c>
      <c r="CD103" s="16" t="s">
        <v>3457</v>
      </c>
    </row>
    <row r="104" spans="1:82" ht="14.4" thickBot="1" x14ac:dyDescent="0.35">
      <c r="A104" s="10" t="s">
        <v>6350</v>
      </c>
      <c r="B104" s="4" t="s">
        <v>167</v>
      </c>
      <c r="C104" s="4" t="s">
        <v>166</v>
      </c>
      <c r="AD104" s="16" t="s">
        <v>1664</v>
      </c>
      <c r="AR104" s="16" t="s">
        <v>5412</v>
      </c>
      <c r="AT104" s="16" t="s">
        <v>6163</v>
      </c>
      <c r="BE104" s="16" t="s">
        <v>4548</v>
      </c>
      <c r="CD104" s="16" t="s">
        <v>4266</v>
      </c>
    </row>
    <row r="105" spans="1:82" ht="14.4" thickBot="1" x14ac:dyDescent="0.35">
      <c r="A105" s="10" t="s">
        <v>6351</v>
      </c>
      <c r="B105" s="4" t="s">
        <v>171</v>
      </c>
      <c r="C105" s="4" t="s">
        <v>97</v>
      </c>
      <c r="AD105" s="16" t="s">
        <v>5309</v>
      </c>
      <c r="AR105" s="16" t="s">
        <v>1758</v>
      </c>
      <c r="AT105" s="16" t="s">
        <v>4061</v>
      </c>
      <c r="BE105" s="16" t="s">
        <v>5246</v>
      </c>
      <c r="CD105" s="16" t="s">
        <v>2025</v>
      </c>
    </row>
    <row r="106" spans="1:82" ht="14.4" thickBot="1" x14ac:dyDescent="0.35">
      <c r="A106" s="10" t="s">
        <v>6352</v>
      </c>
      <c r="B106" s="4" t="s">
        <v>1128</v>
      </c>
      <c r="C106" s="4" t="s">
        <v>1127</v>
      </c>
      <c r="AD106" s="16" t="s">
        <v>6028</v>
      </c>
      <c r="AR106" s="16" t="s">
        <v>1760</v>
      </c>
      <c r="AT106" s="16" t="s">
        <v>795</v>
      </c>
      <c r="BE106" s="16" t="s">
        <v>3771</v>
      </c>
      <c r="CD106" s="16" t="s">
        <v>4944</v>
      </c>
    </row>
    <row r="107" spans="1:82" ht="14.4" thickBot="1" x14ac:dyDescent="0.35">
      <c r="A107" s="10" t="s">
        <v>6353</v>
      </c>
      <c r="B107" s="4" t="s">
        <v>1967</v>
      </c>
      <c r="C107" s="4" t="s">
        <v>1966</v>
      </c>
      <c r="AD107" s="16" t="s">
        <v>4756</v>
      </c>
      <c r="AR107" s="16" t="s">
        <v>2304</v>
      </c>
      <c r="AT107" s="16" t="s">
        <v>5331</v>
      </c>
      <c r="BE107" s="16" t="s">
        <v>646</v>
      </c>
      <c r="CD107" s="16" t="s">
        <v>4992</v>
      </c>
    </row>
    <row r="108" spans="1:82" ht="14.4" thickBot="1" x14ac:dyDescent="0.35">
      <c r="A108" s="10" t="s">
        <v>6354</v>
      </c>
      <c r="B108" s="4" t="s">
        <v>2605</v>
      </c>
      <c r="C108" s="4" t="s">
        <v>1578</v>
      </c>
      <c r="AD108" s="16" t="s">
        <v>4754</v>
      </c>
      <c r="AR108" s="16" t="s">
        <v>4585</v>
      </c>
      <c r="AT108" s="16" t="s">
        <v>5350</v>
      </c>
      <c r="BE108" s="16" t="s">
        <v>5244</v>
      </c>
      <c r="CD108" s="16" t="s">
        <v>3496</v>
      </c>
    </row>
    <row r="109" spans="1:82" ht="14.4" thickBot="1" x14ac:dyDescent="0.35">
      <c r="A109" s="10" t="s">
        <v>6355</v>
      </c>
      <c r="B109" s="4" t="s">
        <v>2409</v>
      </c>
      <c r="C109" s="4" t="s">
        <v>1822</v>
      </c>
      <c r="AD109" s="16" t="s">
        <v>4752</v>
      </c>
      <c r="AR109" s="16" t="s">
        <v>5254</v>
      </c>
      <c r="AT109" s="16" t="s">
        <v>4770</v>
      </c>
      <c r="BE109" s="16" t="s">
        <v>5915</v>
      </c>
      <c r="CD109" s="16" t="s">
        <v>5689</v>
      </c>
    </row>
    <row r="110" spans="1:82" ht="14.4" thickBot="1" x14ac:dyDescent="0.35">
      <c r="A110" s="10" t="s">
        <v>6356</v>
      </c>
      <c r="B110" s="4" t="s">
        <v>1132</v>
      </c>
      <c r="C110" s="4" t="s">
        <v>1131</v>
      </c>
      <c r="AD110" s="16" t="s">
        <v>1816</v>
      </c>
      <c r="AR110" s="16" t="s">
        <v>3825</v>
      </c>
      <c r="AT110" s="16" t="s">
        <v>785</v>
      </c>
      <c r="BE110" s="16" t="s">
        <v>644</v>
      </c>
      <c r="CD110" s="16" t="s">
        <v>1237</v>
      </c>
    </row>
    <row r="111" spans="1:82" ht="14.4" thickBot="1" x14ac:dyDescent="0.35">
      <c r="A111" s="10" t="s">
        <v>6357</v>
      </c>
      <c r="B111" s="4" t="s">
        <v>178</v>
      </c>
      <c r="C111" s="4" t="s">
        <v>177</v>
      </c>
      <c r="AD111" s="16" t="s">
        <v>3236</v>
      </c>
      <c r="AR111" s="16" t="s">
        <v>2308</v>
      </c>
      <c r="AT111" s="9" t="s">
        <v>6044</v>
      </c>
      <c r="BE111" s="16" t="s">
        <v>5242</v>
      </c>
      <c r="CD111" s="16" t="s">
        <v>263</v>
      </c>
    </row>
    <row r="112" spans="1:82" ht="14.4" thickBot="1" x14ac:dyDescent="0.35">
      <c r="A112" s="10" t="s">
        <v>6358</v>
      </c>
      <c r="B112" s="4" t="s">
        <v>2498</v>
      </c>
      <c r="C112" s="4" t="s">
        <v>2497</v>
      </c>
      <c r="AD112" s="16" t="s">
        <v>6148</v>
      </c>
      <c r="AR112" s="16" t="s">
        <v>5935</v>
      </c>
      <c r="BE112" s="16" t="s">
        <v>3769</v>
      </c>
      <c r="CD112" s="16" t="s">
        <v>3462</v>
      </c>
    </row>
    <row r="113" spans="1:82" ht="14.4" thickBot="1" x14ac:dyDescent="0.35">
      <c r="A113" s="10" t="s">
        <v>6359</v>
      </c>
      <c r="B113" s="4" t="s">
        <v>205</v>
      </c>
      <c r="C113" s="4" t="s">
        <v>204</v>
      </c>
      <c r="AD113" s="16" t="s">
        <v>4051</v>
      </c>
      <c r="AR113" s="16" t="s">
        <v>3873</v>
      </c>
      <c r="BE113" s="16" t="s">
        <v>2290</v>
      </c>
      <c r="CD113" s="16" t="s">
        <v>285</v>
      </c>
    </row>
    <row r="114" spans="1:82" ht="14.4" thickBot="1" x14ac:dyDescent="0.35">
      <c r="A114" s="10" t="s">
        <v>6360</v>
      </c>
      <c r="B114" s="4" t="s">
        <v>125</v>
      </c>
      <c r="C114" s="4" t="s">
        <v>124</v>
      </c>
      <c r="AD114" s="16" t="s">
        <v>4750</v>
      </c>
      <c r="AR114" s="16" t="s">
        <v>3871</v>
      </c>
      <c r="BE114" s="16" t="s">
        <v>2296</v>
      </c>
      <c r="CD114" s="16" t="s">
        <v>4296</v>
      </c>
    </row>
    <row r="115" spans="1:82" ht="14.4" thickBot="1" x14ac:dyDescent="0.35">
      <c r="A115" s="10" t="s">
        <v>6361</v>
      </c>
      <c r="B115" s="4" t="s">
        <v>137</v>
      </c>
      <c r="C115" s="4" t="s">
        <v>136</v>
      </c>
      <c r="AD115" s="16" t="s">
        <v>6146</v>
      </c>
      <c r="AR115" s="16" t="s">
        <v>4599</v>
      </c>
      <c r="BE115" s="16" t="s">
        <v>5919</v>
      </c>
      <c r="CD115" s="16" t="s">
        <v>2039</v>
      </c>
    </row>
    <row r="116" spans="1:82" ht="14.4" thickBot="1" x14ac:dyDescent="0.35">
      <c r="A116" s="10" t="s">
        <v>6362</v>
      </c>
      <c r="B116" s="4" t="s">
        <v>141</v>
      </c>
      <c r="C116" s="4" t="s">
        <v>140</v>
      </c>
      <c r="AD116" s="16" t="s">
        <v>3242</v>
      </c>
      <c r="AR116" s="16" t="s">
        <v>4589</v>
      </c>
      <c r="BE116" s="16" t="s">
        <v>1560</v>
      </c>
      <c r="CD116" s="16" t="s">
        <v>5651</v>
      </c>
    </row>
    <row r="117" spans="1:82" ht="14.4" thickBot="1" x14ac:dyDescent="0.35">
      <c r="A117" s="10" t="s">
        <v>6363</v>
      </c>
      <c r="B117" s="4" t="s">
        <v>146</v>
      </c>
      <c r="C117" s="4" t="s">
        <v>145</v>
      </c>
      <c r="AD117" s="16" t="s">
        <v>6144</v>
      </c>
      <c r="AR117" s="16" t="s">
        <v>4604</v>
      </c>
      <c r="BE117" s="16" t="s">
        <v>3039</v>
      </c>
      <c r="CD117" s="16" t="s">
        <v>4948</v>
      </c>
    </row>
    <row r="118" spans="1:82" ht="14.4" thickBot="1" x14ac:dyDescent="0.35">
      <c r="A118" s="10" t="s">
        <v>6364</v>
      </c>
      <c r="B118" s="4" t="s">
        <v>150</v>
      </c>
      <c r="C118" s="4" t="s">
        <v>149</v>
      </c>
      <c r="AD118" s="16" t="s">
        <v>2478</v>
      </c>
      <c r="AR118" s="16" t="s">
        <v>689</v>
      </c>
      <c r="BE118" s="9" t="s">
        <v>5240</v>
      </c>
      <c r="CD118" s="16" t="s">
        <v>297</v>
      </c>
    </row>
    <row r="119" spans="1:82" ht="14.4" thickBot="1" x14ac:dyDescent="0.35">
      <c r="A119" s="10" t="s">
        <v>6365</v>
      </c>
      <c r="B119" s="4" t="s">
        <v>1107</v>
      </c>
      <c r="C119" s="4" t="s">
        <v>1106</v>
      </c>
      <c r="AD119" s="16" t="s">
        <v>5448</v>
      </c>
      <c r="AR119" s="16" t="s">
        <v>3061</v>
      </c>
      <c r="CD119" s="16" t="s">
        <v>1221</v>
      </c>
    </row>
    <row r="120" spans="1:82" ht="14.4" thickBot="1" x14ac:dyDescent="0.35">
      <c r="A120" s="10" t="s">
        <v>6366</v>
      </c>
      <c r="B120" s="4" t="s">
        <v>155</v>
      </c>
      <c r="C120" s="4" t="s">
        <v>154</v>
      </c>
      <c r="AD120" s="16" t="s">
        <v>4748</v>
      </c>
      <c r="AR120" s="16" t="s">
        <v>5983</v>
      </c>
      <c r="CD120" s="16" t="s">
        <v>261</v>
      </c>
    </row>
    <row r="121" spans="1:82" ht="14.4" thickBot="1" x14ac:dyDescent="0.35">
      <c r="A121" s="10" t="s">
        <v>6367</v>
      </c>
      <c r="B121" s="4" t="s">
        <v>4194</v>
      </c>
      <c r="C121" s="4" t="s">
        <v>4193</v>
      </c>
      <c r="AD121" s="16" t="s">
        <v>6142</v>
      </c>
      <c r="AR121" s="16" t="s">
        <v>5975</v>
      </c>
      <c r="CD121" s="16" t="s">
        <v>2746</v>
      </c>
    </row>
    <row r="122" spans="1:82" ht="14.4" thickBot="1" x14ac:dyDescent="0.35">
      <c r="A122" s="10" t="s">
        <v>6368</v>
      </c>
      <c r="B122" s="4" t="s">
        <v>1715</v>
      </c>
      <c r="C122" s="4" t="s">
        <v>1714</v>
      </c>
      <c r="AD122" s="16" t="s">
        <v>4049</v>
      </c>
      <c r="AR122" s="16" t="s">
        <v>1600</v>
      </c>
      <c r="CD122" s="16" t="s">
        <v>5679</v>
      </c>
    </row>
    <row r="123" spans="1:82" ht="14.4" thickBot="1" x14ac:dyDescent="0.35">
      <c r="A123" s="10" t="s">
        <v>6369</v>
      </c>
      <c r="B123" s="4" t="s">
        <v>160</v>
      </c>
      <c r="C123" s="4" t="s">
        <v>159</v>
      </c>
      <c r="AD123" s="16" t="s">
        <v>938</v>
      </c>
      <c r="AR123" s="16" t="s">
        <v>3206</v>
      </c>
      <c r="CD123" s="16" t="s">
        <v>5663</v>
      </c>
    </row>
    <row r="124" spans="1:82" ht="14.4" thickBot="1" x14ac:dyDescent="0.35">
      <c r="A124" s="10" t="s">
        <v>6370</v>
      </c>
      <c r="B124" s="4" t="s">
        <v>1114</v>
      </c>
      <c r="C124" s="4" t="s">
        <v>730</v>
      </c>
      <c r="AD124" s="16" t="s">
        <v>944</v>
      </c>
      <c r="AR124" s="16" t="s">
        <v>6114</v>
      </c>
      <c r="CD124" s="16" t="s">
        <v>2706</v>
      </c>
    </row>
    <row r="125" spans="1:82" ht="14.4" thickBot="1" x14ac:dyDescent="0.35">
      <c r="A125" s="10" t="s">
        <v>6371</v>
      </c>
      <c r="B125" s="4" t="s">
        <v>1924</v>
      </c>
      <c r="C125" s="4" t="s">
        <v>1923</v>
      </c>
      <c r="AD125" s="16" t="s">
        <v>3240</v>
      </c>
      <c r="AR125" s="16" t="s">
        <v>5405</v>
      </c>
      <c r="CD125" s="16" t="s">
        <v>3513</v>
      </c>
    </row>
    <row r="126" spans="1:82" ht="14.4" thickBot="1" x14ac:dyDescent="0.35">
      <c r="A126" s="10" t="s">
        <v>6372</v>
      </c>
      <c r="B126" s="4" t="s">
        <v>108</v>
      </c>
      <c r="C126" s="4" t="s">
        <v>107</v>
      </c>
      <c r="AD126" s="16" t="s">
        <v>6140</v>
      </c>
      <c r="AR126" s="16" t="s">
        <v>4033</v>
      </c>
      <c r="CD126" s="16" t="s">
        <v>4300</v>
      </c>
    </row>
    <row r="127" spans="1:82" ht="14.4" thickBot="1" x14ac:dyDescent="0.35">
      <c r="A127" s="10" t="s">
        <v>6373</v>
      </c>
      <c r="B127" s="4" t="s">
        <v>1089</v>
      </c>
      <c r="C127" s="4" t="s">
        <v>1088</v>
      </c>
      <c r="AD127" s="16" t="s">
        <v>3238</v>
      </c>
      <c r="AR127" s="16" t="s">
        <v>926</v>
      </c>
      <c r="CD127" s="16" t="s">
        <v>4990</v>
      </c>
    </row>
    <row r="128" spans="1:82" ht="14.4" thickBot="1" x14ac:dyDescent="0.35">
      <c r="A128" s="10" t="s">
        <v>6374</v>
      </c>
      <c r="B128" s="4" t="s">
        <v>5378</v>
      </c>
      <c r="C128" s="4" t="s">
        <v>5174</v>
      </c>
      <c r="AD128" s="16" t="s">
        <v>4768</v>
      </c>
      <c r="AR128" s="16" t="s">
        <v>1782</v>
      </c>
      <c r="CD128" s="16" t="s">
        <v>4977</v>
      </c>
    </row>
    <row r="129" spans="1:82" ht="14.4" thickBot="1" x14ac:dyDescent="0.35">
      <c r="A129" s="10" t="s">
        <v>6375</v>
      </c>
      <c r="B129" s="4" t="s">
        <v>2579</v>
      </c>
      <c r="C129" s="4" t="s">
        <v>2578</v>
      </c>
      <c r="AD129" s="16" t="s">
        <v>4045</v>
      </c>
      <c r="AR129" s="16" t="s">
        <v>6124</v>
      </c>
      <c r="CD129" s="16" t="s">
        <v>3475</v>
      </c>
    </row>
    <row r="130" spans="1:82" ht="14.4" thickBot="1" x14ac:dyDescent="0.35">
      <c r="A130" s="10" t="s">
        <v>6376</v>
      </c>
      <c r="B130" s="4" t="s">
        <v>113</v>
      </c>
      <c r="C130" s="4" t="s">
        <v>112</v>
      </c>
      <c r="AD130" s="16" t="s">
        <v>2474</v>
      </c>
      <c r="AR130" s="16" t="s">
        <v>4005</v>
      </c>
      <c r="CD130" s="16" t="s">
        <v>265</v>
      </c>
    </row>
    <row r="131" spans="1:82" ht="14.4" thickBot="1" x14ac:dyDescent="0.35">
      <c r="A131" s="10" t="s">
        <v>6377</v>
      </c>
      <c r="B131" s="4" t="s">
        <v>2413</v>
      </c>
      <c r="C131" s="4" t="s">
        <v>2412</v>
      </c>
      <c r="AD131" s="16" t="s">
        <v>755</v>
      </c>
      <c r="AR131" s="16" t="s">
        <v>4734</v>
      </c>
      <c r="CD131" s="16" t="s">
        <v>4952</v>
      </c>
    </row>
    <row r="132" spans="1:82" ht="14.4" thickBot="1" x14ac:dyDescent="0.35">
      <c r="A132" s="10" t="s">
        <v>6378</v>
      </c>
      <c r="B132" s="4" t="s">
        <v>1930</v>
      </c>
      <c r="C132" s="4" t="s">
        <v>1929</v>
      </c>
      <c r="AD132" s="16" t="s">
        <v>2476</v>
      </c>
      <c r="AR132" s="16" t="s">
        <v>1780</v>
      </c>
      <c r="CD132" s="16" t="s">
        <v>2037</v>
      </c>
    </row>
    <row r="133" spans="1:82" ht="14.4" thickBot="1" x14ac:dyDescent="0.35">
      <c r="A133" s="10" t="s">
        <v>6379</v>
      </c>
      <c r="B133" s="4" t="s">
        <v>119</v>
      </c>
      <c r="C133" s="4" t="s">
        <v>118</v>
      </c>
      <c r="AD133" s="9" t="s">
        <v>3109</v>
      </c>
      <c r="AR133" s="16" t="s">
        <v>4732</v>
      </c>
      <c r="CD133" s="16" t="s">
        <v>275</v>
      </c>
    </row>
    <row r="134" spans="1:82" ht="14.4" thickBot="1" x14ac:dyDescent="0.35">
      <c r="A134" s="10" t="s">
        <v>6380</v>
      </c>
      <c r="B134" s="4" t="s">
        <v>1934</v>
      </c>
      <c r="C134" s="4" t="s">
        <v>1933</v>
      </c>
      <c r="AR134" s="16" t="s">
        <v>3216</v>
      </c>
      <c r="CD134" s="16" t="s">
        <v>273</v>
      </c>
    </row>
    <row r="135" spans="1:82" ht="14.4" thickBot="1" x14ac:dyDescent="0.35">
      <c r="A135" s="10" t="s">
        <v>6381</v>
      </c>
      <c r="B135" s="4" t="s">
        <v>833</v>
      </c>
      <c r="C135" s="4" t="s">
        <v>832</v>
      </c>
      <c r="AR135" s="16" t="s">
        <v>1586</v>
      </c>
      <c r="CD135" s="16" t="s">
        <v>5673</v>
      </c>
    </row>
    <row r="136" spans="1:82" ht="14.4" thickBot="1" x14ac:dyDescent="0.35">
      <c r="A136" s="10" t="s">
        <v>6382</v>
      </c>
      <c r="B136" s="4" t="s">
        <v>66</v>
      </c>
      <c r="C136" s="4" t="s">
        <v>65</v>
      </c>
      <c r="AR136" s="16" t="s">
        <v>924</v>
      </c>
      <c r="CD136" s="16" t="s">
        <v>3474</v>
      </c>
    </row>
    <row r="137" spans="1:82" ht="14.4" thickBot="1" x14ac:dyDescent="0.35">
      <c r="A137" s="10" t="s">
        <v>6383</v>
      </c>
      <c r="B137" s="4" t="s">
        <v>71</v>
      </c>
      <c r="C137" s="4" t="s">
        <v>70</v>
      </c>
      <c r="AR137" s="16" t="s">
        <v>4730</v>
      </c>
      <c r="CD137" s="16" t="s">
        <v>5671</v>
      </c>
    </row>
    <row r="138" spans="1:82" ht="14.4" thickBot="1" x14ac:dyDescent="0.35">
      <c r="A138" s="10" t="s">
        <v>6384</v>
      </c>
      <c r="B138" s="4" t="s">
        <v>77</v>
      </c>
      <c r="C138" s="4" t="s">
        <v>76</v>
      </c>
      <c r="AR138" s="16" t="s">
        <v>4009</v>
      </c>
      <c r="CD138" s="16" t="s">
        <v>1263</v>
      </c>
    </row>
    <row r="139" spans="1:82" ht="14.4" thickBot="1" x14ac:dyDescent="0.35">
      <c r="A139" s="10" t="s">
        <v>6385</v>
      </c>
      <c r="B139" s="4" t="s">
        <v>81</v>
      </c>
      <c r="C139" s="4" t="s">
        <v>80</v>
      </c>
      <c r="AR139" s="16" t="s">
        <v>2447</v>
      </c>
      <c r="CD139" s="16" t="s">
        <v>1245</v>
      </c>
    </row>
    <row r="140" spans="1:82" ht="14.4" thickBot="1" x14ac:dyDescent="0.35">
      <c r="A140" s="10" t="s">
        <v>6386</v>
      </c>
      <c r="B140" s="4" t="s">
        <v>86</v>
      </c>
      <c r="C140" s="4" t="s">
        <v>85</v>
      </c>
      <c r="AR140" s="16" t="s">
        <v>1778</v>
      </c>
      <c r="CD140" s="16" t="s">
        <v>1261</v>
      </c>
    </row>
    <row r="141" spans="1:82" ht="14.4" thickBot="1" x14ac:dyDescent="0.35">
      <c r="A141" s="10" t="s">
        <v>6387</v>
      </c>
      <c r="B141" s="4" t="s">
        <v>839</v>
      </c>
      <c r="C141" s="4" t="s">
        <v>838</v>
      </c>
      <c r="AR141" s="16" t="s">
        <v>1776</v>
      </c>
      <c r="CD141" s="16" t="s">
        <v>5675</v>
      </c>
    </row>
    <row r="142" spans="1:82" ht="14.4" thickBot="1" x14ac:dyDescent="0.35">
      <c r="A142" s="10" t="s">
        <v>6388</v>
      </c>
      <c r="B142" s="4" t="s">
        <v>103</v>
      </c>
      <c r="C142" s="4" t="s">
        <v>102</v>
      </c>
      <c r="AR142" s="16" t="s">
        <v>6118</v>
      </c>
      <c r="CD142" s="16" t="s">
        <v>1259</v>
      </c>
    </row>
    <row r="143" spans="1:82" ht="14.4" thickBot="1" x14ac:dyDescent="0.35">
      <c r="A143" s="10" t="s">
        <v>6389</v>
      </c>
      <c r="B143" s="4" t="s">
        <v>847</v>
      </c>
      <c r="C143" s="4" t="s">
        <v>846</v>
      </c>
      <c r="AR143" s="16" t="s">
        <v>920</v>
      </c>
      <c r="CD143" s="16" t="s">
        <v>4294</v>
      </c>
    </row>
    <row r="144" spans="1:82" ht="14.4" thickBot="1" x14ac:dyDescent="0.35">
      <c r="A144" s="10" t="s">
        <v>6390</v>
      </c>
      <c r="B144" s="4" t="s">
        <v>1079</v>
      </c>
      <c r="C144" s="4" t="s">
        <v>1078</v>
      </c>
      <c r="AR144" s="16" t="s">
        <v>3210</v>
      </c>
      <c r="CD144" s="16" t="s">
        <v>271</v>
      </c>
    </row>
    <row r="145" spans="1:82" ht="14.4" thickBot="1" x14ac:dyDescent="0.35">
      <c r="A145" s="10" t="s">
        <v>6391</v>
      </c>
      <c r="B145" s="4" t="s">
        <v>1916</v>
      </c>
      <c r="C145" s="4" t="s">
        <v>188</v>
      </c>
      <c r="AR145" s="16" t="s">
        <v>5420</v>
      </c>
      <c r="CD145" s="16" t="s">
        <v>5669</v>
      </c>
    </row>
    <row r="146" spans="1:82" ht="14.4" thickBot="1" x14ac:dyDescent="0.35">
      <c r="A146" s="10" t="s">
        <v>6392</v>
      </c>
      <c r="B146" s="4" t="s">
        <v>1083</v>
      </c>
      <c r="C146" s="4" t="s">
        <v>1082</v>
      </c>
      <c r="AR146" s="16" t="s">
        <v>6116</v>
      </c>
      <c r="CD146" s="16" t="s">
        <v>4950</v>
      </c>
    </row>
    <row r="147" spans="1:82" ht="14.4" thickBot="1" x14ac:dyDescent="0.35">
      <c r="A147" s="10" t="s">
        <v>6393</v>
      </c>
      <c r="B147" s="4" t="s">
        <v>1041</v>
      </c>
      <c r="C147" s="4" t="s">
        <v>1040</v>
      </c>
      <c r="AR147" s="16" t="s">
        <v>1774</v>
      </c>
      <c r="CD147" s="16" t="s">
        <v>5667</v>
      </c>
    </row>
    <row r="148" spans="1:82" ht="14.4" thickBot="1" x14ac:dyDescent="0.35">
      <c r="A148" s="10" t="s">
        <v>6394</v>
      </c>
      <c r="B148" s="4" t="s">
        <v>41</v>
      </c>
      <c r="C148" s="4" t="s">
        <v>40</v>
      </c>
      <c r="AR148" s="16" t="s">
        <v>4029</v>
      </c>
      <c r="CD148" s="16" t="s">
        <v>3472</v>
      </c>
    </row>
    <row r="149" spans="1:82" ht="14.4" thickBot="1" x14ac:dyDescent="0.35">
      <c r="A149" s="10" t="s">
        <v>6395</v>
      </c>
      <c r="B149" s="4" t="s">
        <v>3334</v>
      </c>
      <c r="C149" s="4" t="s">
        <v>3333</v>
      </c>
      <c r="AR149" s="16" t="s">
        <v>3204</v>
      </c>
      <c r="CD149" s="16" t="s">
        <v>5665</v>
      </c>
    </row>
    <row r="150" spans="1:82" ht="14.4" thickBot="1" x14ac:dyDescent="0.35">
      <c r="A150" s="10" t="s">
        <v>6396</v>
      </c>
      <c r="B150" s="4" t="s">
        <v>47</v>
      </c>
      <c r="C150" s="4" t="s">
        <v>46</v>
      </c>
      <c r="AR150" s="16" t="s">
        <v>4027</v>
      </c>
      <c r="CD150" s="16" t="s">
        <v>2704</v>
      </c>
    </row>
    <row r="151" spans="1:82" ht="14.4" thickBot="1" x14ac:dyDescent="0.35">
      <c r="A151" s="10" t="s">
        <v>6397</v>
      </c>
      <c r="B151" s="4" t="s">
        <v>1049</v>
      </c>
      <c r="C151" s="4" t="s">
        <v>1048</v>
      </c>
      <c r="AR151" s="16" t="s">
        <v>3202</v>
      </c>
      <c r="CD151" s="16" t="s">
        <v>5677</v>
      </c>
    </row>
    <row r="152" spans="1:82" ht="14.4" thickBot="1" x14ac:dyDescent="0.35">
      <c r="A152" s="10" t="s">
        <v>6398</v>
      </c>
      <c r="B152" s="4" t="s">
        <v>1733</v>
      </c>
      <c r="C152" s="4" t="s">
        <v>1732</v>
      </c>
      <c r="AR152" s="16" t="s">
        <v>2445</v>
      </c>
      <c r="CD152" s="16" t="s">
        <v>2744</v>
      </c>
    </row>
    <row r="153" spans="1:82" ht="14.4" thickBot="1" x14ac:dyDescent="0.35">
      <c r="A153" s="10" t="s">
        <v>6399</v>
      </c>
      <c r="B153" s="4" t="s">
        <v>53</v>
      </c>
      <c r="C153" s="4" t="s">
        <v>52</v>
      </c>
      <c r="AR153" s="16" t="s">
        <v>918</v>
      </c>
      <c r="CD153" s="16" t="s">
        <v>2057</v>
      </c>
    </row>
    <row r="154" spans="1:82" ht="14.4" thickBot="1" x14ac:dyDescent="0.35">
      <c r="A154" s="10" t="s">
        <v>6400</v>
      </c>
      <c r="B154" s="4" t="s">
        <v>58</v>
      </c>
      <c r="C154" s="4" t="s">
        <v>57</v>
      </c>
      <c r="AR154" s="16" t="s">
        <v>4025</v>
      </c>
      <c r="CD154" s="16" t="s">
        <v>4970</v>
      </c>
    </row>
    <row r="155" spans="1:82" ht="14.4" thickBot="1" x14ac:dyDescent="0.35">
      <c r="A155" s="10" t="s">
        <v>6401</v>
      </c>
      <c r="B155" s="4" t="s">
        <v>851</v>
      </c>
      <c r="C155" s="4" t="s">
        <v>850</v>
      </c>
      <c r="AR155" s="16" t="s">
        <v>1772</v>
      </c>
      <c r="CD155" s="16" t="s">
        <v>2740</v>
      </c>
    </row>
    <row r="156" spans="1:82" ht="14.4" thickBot="1" x14ac:dyDescent="0.35">
      <c r="A156" s="10" t="s">
        <v>6402</v>
      </c>
      <c r="B156" s="4" t="s">
        <v>2559</v>
      </c>
      <c r="C156" s="4" t="s">
        <v>2558</v>
      </c>
      <c r="AR156" s="16" t="s">
        <v>1770</v>
      </c>
      <c r="CD156" s="16" t="s">
        <v>2718</v>
      </c>
    </row>
    <row r="157" spans="1:82" ht="14.4" thickBot="1" x14ac:dyDescent="0.35">
      <c r="A157" s="10" t="s">
        <v>6403</v>
      </c>
      <c r="B157" s="4" t="s">
        <v>1054</v>
      </c>
      <c r="C157" s="4" t="s">
        <v>1053</v>
      </c>
      <c r="AR157" s="16" t="s">
        <v>896</v>
      </c>
      <c r="CD157" s="16" t="s">
        <v>307</v>
      </c>
    </row>
    <row r="158" spans="1:82" ht="14.4" thickBot="1" x14ac:dyDescent="0.35">
      <c r="A158" s="10" t="s">
        <v>6404</v>
      </c>
      <c r="B158" s="4" t="s">
        <v>1021</v>
      </c>
      <c r="C158" s="4" t="s">
        <v>1020</v>
      </c>
      <c r="AR158" s="16" t="s">
        <v>3200</v>
      </c>
      <c r="CD158" s="16" t="s">
        <v>1241</v>
      </c>
    </row>
    <row r="159" spans="1:82" ht="14.4" thickBot="1" x14ac:dyDescent="0.35">
      <c r="A159" s="10" t="s">
        <v>6405</v>
      </c>
      <c r="B159" s="4" t="s">
        <v>3316</v>
      </c>
      <c r="C159" s="4" t="s">
        <v>3315</v>
      </c>
      <c r="AR159" s="16" t="s">
        <v>890</v>
      </c>
      <c r="CD159" s="16" t="s">
        <v>2738</v>
      </c>
    </row>
    <row r="160" spans="1:82" ht="14.4" thickBot="1" x14ac:dyDescent="0.35">
      <c r="A160" s="10" t="s">
        <v>6406</v>
      </c>
      <c r="B160" s="4" t="s">
        <v>974</v>
      </c>
      <c r="C160" s="4" t="s">
        <v>973</v>
      </c>
      <c r="AR160" s="16" t="s">
        <v>2443</v>
      </c>
      <c r="CD160" s="16" t="s">
        <v>1239</v>
      </c>
    </row>
    <row r="161" spans="1:82" ht="14.4" thickBot="1" x14ac:dyDescent="0.35">
      <c r="A161" s="10" t="s">
        <v>6407</v>
      </c>
      <c r="B161" s="4" t="s">
        <v>2539</v>
      </c>
      <c r="C161" s="4" t="s">
        <v>2538</v>
      </c>
      <c r="AR161" s="16" t="s">
        <v>1768</v>
      </c>
      <c r="CD161" s="16" t="s">
        <v>2736</v>
      </c>
    </row>
    <row r="162" spans="1:82" ht="14.4" thickBot="1" x14ac:dyDescent="0.35">
      <c r="A162" s="10" t="s">
        <v>6408</v>
      </c>
      <c r="B162" s="4" t="s">
        <v>3310</v>
      </c>
      <c r="C162" s="4" t="s">
        <v>3309</v>
      </c>
      <c r="AR162" s="16" t="s">
        <v>4023</v>
      </c>
      <c r="CD162" s="16" t="s">
        <v>4298</v>
      </c>
    </row>
    <row r="163" spans="1:82" ht="14.4" thickBot="1" x14ac:dyDescent="0.35">
      <c r="A163" s="10" t="s">
        <v>6409</v>
      </c>
      <c r="B163" s="4" t="s">
        <v>1029</v>
      </c>
      <c r="C163" s="4" t="s">
        <v>1028</v>
      </c>
      <c r="AR163" s="16" t="s">
        <v>2441</v>
      </c>
      <c r="CD163" s="16" t="s">
        <v>3482</v>
      </c>
    </row>
    <row r="164" spans="1:82" ht="14.4" thickBot="1" x14ac:dyDescent="0.35">
      <c r="A164" s="10" t="s">
        <v>6410</v>
      </c>
      <c r="B164" s="4" t="s">
        <v>2543</v>
      </c>
      <c r="C164" s="4" t="s">
        <v>2542</v>
      </c>
      <c r="AR164" s="16" t="s">
        <v>916</v>
      </c>
      <c r="CD164" s="16" t="s">
        <v>3480</v>
      </c>
    </row>
    <row r="165" spans="1:82" ht="14.4" thickBot="1" x14ac:dyDescent="0.35">
      <c r="A165" s="10" t="s">
        <v>6411</v>
      </c>
      <c r="B165" s="4" t="s">
        <v>856</v>
      </c>
      <c r="C165" s="4" t="s">
        <v>855</v>
      </c>
      <c r="AR165" s="16" t="s">
        <v>5418</v>
      </c>
      <c r="CD165" s="16" t="s">
        <v>3511</v>
      </c>
    </row>
    <row r="166" spans="1:82" ht="14.4" thickBot="1" x14ac:dyDescent="0.35">
      <c r="A166" s="10" t="s">
        <v>6412</v>
      </c>
      <c r="B166" s="4" t="s">
        <v>1033</v>
      </c>
      <c r="C166" s="4" t="s">
        <v>1032</v>
      </c>
      <c r="AR166" s="16" t="s">
        <v>4720</v>
      </c>
      <c r="CD166" s="16" t="s">
        <v>283</v>
      </c>
    </row>
    <row r="167" spans="1:82" ht="14.4" thickBot="1" x14ac:dyDescent="0.35">
      <c r="A167" s="10" t="s">
        <v>6413</v>
      </c>
      <c r="B167" s="4" t="s">
        <v>22</v>
      </c>
      <c r="C167" s="4" t="s">
        <v>21</v>
      </c>
      <c r="AR167" s="16" t="s">
        <v>6094</v>
      </c>
      <c r="CD167" s="16" t="s">
        <v>2716</v>
      </c>
    </row>
    <row r="168" spans="1:82" ht="14.4" thickBot="1" x14ac:dyDescent="0.35">
      <c r="A168" s="10" t="s">
        <v>6414</v>
      </c>
      <c r="B168" s="4" t="s">
        <v>860</v>
      </c>
      <c r="C168" s="4" t="s">
        <v>859</v>
      </c>
      <c r="AR168" s="16" t="s">
        <v>4021</v>
      </c>
      <c r="CD168" s="16" t="s">
        <v>1235</v>
      </c>
    </row>
    <row r="169" spans="1:82" ht="14.4" thickBot="1" x14ac:dyDescent="0.35">
      <c r="A169" s="10" t="s">
        <v>6415</v>
      </c>
      <c r="B169" s="4" t="s">
        <v>481</v>
      </c>
      <c r="C169" s="4" t="s">
        <v>480</v>
      </c>
      <c r="AR169" s="16" t="s">
        <v>1766</v>
      </c>
      <c r="CD169" s="16" t="s">
        <v>305</v>
      </c>
    </row>
    <row r="170" spans="1:82" ht="14.4" thickBot="1" x14ac:dyDescent="0.35">
      <c r="A170" s="10" t="s">
        <v>6416</v>
      </c>
      <c r="B170" s="4" t="s">
        <v>1424</v>
      </c>
      <c r="C170" s="4" t="s">
        <v>1423</v>
      </c>
      <c r="AR170" s="16" t="s">
        <v>6112</v>
      </c>
      <c r="CD170" s="16" t="s">
        <v>4966</v>
      </c>
    </row>
    <row r="171" spans="1:82" ht="14.4" thickBot="1" x14ac:dyDescent="0.35">
      <c r="A171" s="10" t="s">
        <v>6417</v>
      </c>
      <c r="B171" s="4" t="s">
        <v>864</v>
      </c>
      <c r="C171" s="4" t="s">
        <v>863</v>
      </c>
      <c r="AR171" s="16" t="s">
        <v>6122</v>
      </c>
      <c r="CD171" s="16" t="s">
        <v>303</v>
      </c>
    </row>
    <row r="172" spans="1:82" ht="14.4" thickBot="1" x14ac:dyDescent="0.35">
      <c r="A172" s="10" t="s">
        <v>6418</v>
      </c>
      <c r="B172" s="4" t="s">
        <v>1430</v>
      </c>
      <c r="C172" s="4" t="s">
        <v>1429</v>
      </c>
      <c r="AR172" s="16" t="s">
        <v>4575</v>
      </c>
      <c r="CD172" s="16" t="s">
        <v>4964</v>
      </c>
    </row>
    <row r="173" spans="1:82" ht="14.4" thickBot="1" x14ac:dyDescent="0.35">
      <c r="A173" s="10" t="s">
        <v>6419</v>
      </c>
      <c r="B173" s="4" t="s">
        <v>1434</v>
      </c>
      <c r="C173" s="4" t="s">
        <v>1433</v>
      </c>
      <c r="AR173" s="16" t="s">
        <v>3831</v>
      </c>
      <c r="CD173" s="16" t="s">
        <v>4311</v>
      </c>
    </row>
    <row r="174" spans="1:82" ht="14.4" thickBot="1" x14ac:dyDescent="0.35">
      <c r="A174" s="10" t="s">
        <v>6420</v>
      </c>
      <c r="B174" s="4" t="s">
        <v>492</v>
      </c>
      <c r="C174" s="4" t="s">
        <v>491</v>
      </c>
      <c r="AR174" s="16" t="s">
        <v>2453</v>
      </c>
      <c r="CD174" s="16" t="s">
        <v>3478</v>
      </c>
    </row>
    <row r="175" spans="1:82" ht="14.4" thickBot="1" x14ac:dyDescent="0.35">
      <c r="A175" s="10" t="s">
        <v>6421</v>
      </c>
      <c r="B175" s="4" t="s">
        <v>3179</v>
      </c>
      <c r="C175" s="4" t="s">
        <v>3178</v>
      </c>
      <c r="AR175" s="16" t="s">
        <v>5424</v>
      </c>
      <c r="CD175" s="16" t="s">
        <v>2023</v>
      </c>
    </row>
    <row r="176" spans="1:82" ht="14.4" thickBot="1" x14ac:dyDescent="0.35">
      <c r="A176" s="10" t="s">
        <v>6422</v>
      </c>
      <c r="B176" s="4" t="s">
        <v>1438</v>
      </c>
      <c r="C176" s="4" t="s">
        <v>1437</v>
      </c>
      <c r="AR176" s="16" t="s">
        <v>4728</v>
      </c>
      <c r="CD176" s="16" t="s">
        <v>5661</v>
      </c>
    </row>
    <row r="177" spans="1:82" ht="14.4" thickBot="1" x14ac:dyDescent="0.35">
      <c r="A177" s="10" t="s">
        <v>6423</v>
      </c>
      <c r="B177" s="4" t="s">
        <v>1442</v>
      </c>
      <c r="C177" s="4" t="s">
        <v>1441</v>
      </c>
      <c r="AR177" s="16" t="s">
        <v>2451</v>
      </c>
      <c r="CD177" s="16" t="s">
        <v>1199</v>
      </c>
    </row>
    <row r="178" spans="1:82" ht="14.4" thickBot="1" x14ac:dyDescent="0.35">
      <c r="A178" s="10" t="s">
        <v>6424</v>
      </c>
      <c r="B178" s="4" t="s">
        <v>2516</v>
      </c>
      <c r="C178" s="4" t="s">
        <v>2515</v>
      </c>
      <c r="AR178" s="16" t="s">
        <v>5422</v>
      </c>
      <c r="CD178" s="16" t="s">
        <v>4962</v>
      </c>
    </row>
    <row r="179" spans="1:82" ht="14.4" thickBot="1" x14ac:dyDescent="0.35">
      <c r="A179" s="10" t="s">
        <v>6425</v>
      </c>
      <c r="B179" s="4" t="s">
        <v>3273</v>
      </c>
      <c r="C179" s="4" t="s">
        <v>3272</v>
      </c>
      <c r="AR179" s="16" t="s">
        <v>4726</v>
      </c>
      <c r="CD179" s="16" t="s">
        <v>3468</v>
      </c>
    </row>
    <row r="180" spans="1:82" ht="14.4" thickBot="1" x14ac:dyDescent="0.35">
      <c r="A180" s="10" t="s">
        <v>6426</v>
      </c>
      <c r="B180" s="4" t="s">
        <v>887</v>
      </c>
      <c r="C180" s="4" t="s">
        <v>886</v>
      </c>
      <c r="AR180" s="16" t="s">
        <v>922</v>
      </c>
      <c r="CD180" s="16" t="s">
        <v>2734</v>
      </c>
    </row>
    <row r="181" spans="1:82" ht="14.4" thickBot="1" x14ac:dyDescent="0.35">
      <c r="A181" s="10" t="s">
        <v>6427</v>
      </c>
      <c r="B181" s="4" t="s">
        <v>883</v>
      </c>
      <c r="C181" s="4" t="s">
        <v>882</v>
      </c>
      <c r="AR181" s="16" t="s">
        <v>3857</v>
      </c>
      <c r="CD181" s="16" t="s">
        <v>4942</v>
      </c>
    </row>
    <row r="182" spans="1:82" ht="14.4" thickBot="1" x14ac:dyDescent="0.35">
      <c r="A182" s="10" t="s">
        <v>6428</v>
      </c>
      <c r="B182" s="4" t="s">
        <v>980</v>
      </c>
      <c r="C182" s="4" t="s">
        <v>979</v>
      </c>
      <c r="AR182" s="16" t="s">
        <v>4603</v>
      </c>
      <c r="CD182" s="16" t="s">
        <v>1229</v>
      </c>
    </row>
    <row r="183" spans="1:82" ht="14.4" thickBot="1" x14ac:dyDescent="0.35">
      <c r="A183" s="10" t="s">
        <v>6429</v>
      </c>
      <c r="B183" s="4" t="s">
        <v>1008</v>
      </c>
      <c r="C183" s="4" t="s">
        <v>1007</v>
      </c>
      <c r="AR183" s="16" t="s">
        <v>5276</v>
      </c>
      <c r="CD183" s="16" t="s">
        <v>4280</v>
      </c>
    </row>
    <row r="184" spans="1:82" ht="14.4" thickBot="1" x14ac:dyDescent="0.35">
      <c r="A184" s="10" t="s">
        <v>6430</v>
      </c>
      <c r="B184" s="4" t="s">
        <v>3293</v>
      </c>
      <c r="C184" s="4" t="s">
        <v>3292</v>
      </c>
      <c r="AR184" s="16" t="s">
        <v>3084</v>
      </c>
      <c r="CD184" s="16" t="s">
        <v>5687</v>
      </c>
    </row>
    <row r="185" spans="1:82" ht="14.4" thickBot="1" x14ac:dyDescent="0.35">
      <c r="A185" s="10" t="s">
        <v>6431</v>
      </c>
      <c r="B185" s="4" t="s">
        <v>4099</v>
      </c>
      <c r="C185" s="4" t="s">
        <v>4098</v>
      </c>
      <c r="AR185" s="16" t="s">
        <v>3833</v>
      </c>
      <c r="CD185" s="16" t="s">
        <v>4958</v>
      </c>
    </row>
    <row r="186" spans="1:82" ht="14.4" thickBot="1" x14ac:dyDescent="0.35">
      <c r="A186" s="10" t="s">
        <v>6432</v>
      </c>
      <c r="B186" s="4" t="s">
        <v>4107</v>
      </c>
      <c r="C186" s="4" t="s">
        <v>4106</v>
      </c>
      <c r="AR186" s="16" t="s">
        <v>5260</v>
      </c>
      <c r="CD186" s="16" t="s">
        <v>4956</v>
      </c>
    </row>
    <row r="187" spans="1:82" ht="14.4" thickBot="1" x14ac:dyDescent="0.35">
      <c r="A187" s="10" t="s">
        <v>6433</v>
      </c>
      <c r="B187" s="4" t="s">
        <v>1002</v>
      </c>
      <c r="C187" s="4" t="s">
        <v>932</v>
      </c>
      <c r="AR187" s="16" t="s">
        <v>5954</v>
      </c>
      <c r="CD187" s="16" t="s">
        <v>4937</v>
      </c>
    </row>
    <row r="188" spans="1:82" ht="14.4" thickBot="1" x14ac:dyDescent="0.35">
      <c r="A188" s="10" t="s">
        <v>6434</v>
      </c>
      <c r="B188" s="4" t="s">
        <v>3298</v>
      </c>
      <c r="C188" s="4" t="s">
        <v>3297</v>
      </c>
      <c r="AR188" s="16" t="s">
        <v>4565</v>
      </c>
      <c r="CD188" s="16" t="s">
        <v>1233</v>
      </c>
    </row>
    <row r="189" spans="1:82" ht="14.4" thickBot="1" x14ac:dyDescent="0.35">
      <c r="A189" s="10" t="s">
        <v>6435</v>
      </c>
      <c r="B189" s="4" t="s">
        <v>4102</v>
      </c>
      <c r="C189" s="4" t="s">
        <v>1726</v>
      </c>
      <c r="AR189" s="16" t="s">
        <v>2449</v>
      </c>
      <c r="CD189" s="16" t="s">
        <v>2696</v>
      </c>
    </row>
    <row r="190" spans="1:82" ht="14.4" thickBot="1" x14ac:dyDescent="0.35">
      <c r="A190" s="10" t="s">
        <v>6436</v>
      </c>
      <c r="B190" s="4" t="s">
        <v>998</v>
      </c>
      <c r="C190" s="4" t="s">
        <v>997</v>
      </c>
      <c r="AR190" s="16" t="s">
        <v>3212</v>
      </c>
      <c r="CD190" s="16" t="s">
        <v>4960</v>
      </c>
    </row>
    <row r="191" spans="1:82" ht="14.4" thickBot="1" x14ac:dyDescent="0.35">
      <c r="A191" s="10" t="s">
        <v>6437</v>
      </c>
      <c r="B191" s="4" t="s">
        <v>1884</v>
      </c>
      <c r="C191" s="4" t="s">
        <v>1883</v>
      </c>
      <c r="AR191" s="16" t="s">
        <v>3208</v>
      </c>
      <c r="CD191" s="9" t="s">
        <v>3477</v>
      </c>
    </row>
    <row r="192" spans="1:82" ht="14.4" thickBot="1" x14ac:dyDescent="0.35">
      <c r="A192" s="10" t="s">
        <v>6438</v>
      </c>
      <c r="B192" s="10" t="s">
        <v>2525</v>
      </c>
      <c r="C192" s="10" t="s">
        <v>2524</v>
      </c>
      <c r="AR192" s="16" t="s">
        <v>4011</v>
      </c>
    </row>
    <row r="193" spans="44:44" ht="14.4" thickBot="1" x14ac:dyDescent="0.35">
      <c r="AR193" s="16" t="s">
        <v>6102</v>
      </c>
    </row>
    <row r="194" spans="44:44" ht="14.4" thickBot="1" x14ac:dyDescent="0.35">
      <c r="AR194" s="16" t="s">
        <v>4724</v>
      </c>
    </row>
    <row r="195" spans="44:44" ht="14.4" thickBot="1" x14ac:dyDescent="0.35">
      <c r="AR195" s="16" t="s">
        <v>3214</v>
      </c>
    </row>
    <row r="196" spans="44:44" ht="14.4" thickBot="1" x14ac:dyDescent="0.35">
      <c r="AR196" s="16" t="s">
        <v>4031</v>
      </c>
    </row>
    <row r="197" spans="44:44" ht="14.4" thickBot="1" x14ac:dyDescent="0.35">
      <c r="AR197" s="16" t="s">
        <v>671</v>
      </c>
    </row>
    <row r="198" spans="44:44" ht="14.4" thickBot="1" x14ac:dyDescent="0.35">
      <c r="AR198" s="16" t="s">
        <v>3851</v>
      </c>
    </row>
    <row r="199" spans="44:44" ht="14.4" thickBot="1" x14ac:dyDescent="0.35">
      <c r="AR199" s="16" t="s">
        <v>4591</v>
      </c>
    </row>
    <row r="200" spans="44:44" ht="14.4" thickBot="1" x14ac:dyDescent="0.35">
      <c r="AR200" s="16" t="s">
        <v>6120</v>
      </c>
    </row>
    <row r="201" spans="44:44" ht="14.4" thickBot="1" x14ac:dyDescent="0.35">
      <c r="AR201" s="16" t="s">
        <v>719</v>
      </c>
    </row>
    <row r="202" spans="44:44" ht="14.4" thickBot="1" x14ac:dyDescent="0.35">
      <c r="AR202" s="16" t="s">
        <v>697</v>
      </c>
    </row>
    <row r="203" spans="44:44" ht="14.4" thickBot="1" x14ac:dyDescent="0.35">
      <c r="AR203" s="16" t="s">
        <v>3194</v>
      </c>
    </row>
    <row r="204" spans="44:44" ht="14.4" thickBot="1" x14ac:dyDescent="0.35">
      <c r="AR204" s="16" t="s">
        <v>1598</v>
      </c>
    </row>
    <row r="205" spans="44:44" ht="14.4" thickBot="1" x14ac:dyDescent="0.35">
      <c r="AR205" s="16" t="s">
        <v>910</v>
      </c>
    </row>
    <row r="206" spans="44:44" ht="14.4" thickBot="1" x14ac:dyDescent="0.35">
      <c r="AR206" s="16" t="s">
        <v>4716</v>
      </c>
    </row>
    <row r="207" spans="44:44" ht="14.4" thickBot="1" x14ac:dyDescent="0.35">
      <c r="AR207" s="16" t="s">
        <v>6106</v>
      </c>
    </row>
    <row r="208" spans="44:44" ht="14.4" thickBot="1" x14ac:dyDescent="0.35">
      <c r="AR208" s="16" t="s">
        <v>1764</v>
      </c>
    </row>
    <row r="209" spans="44:44" ht="14.4" thickBot="1" x14ac:dyDescent="0.35">
      <c r="AR209" s="16" t="s">
        <v>1762</v>
      </c>
    </row>
    <row r="210" spans="44:44" ht="14.4" thickBot="1" x14ac:dyDescent="0.35">
      <c r="AR210" s="16" t="s">
        <v>4019</v>
      </c>
    </row>
    <row r="211" spans="44:44" ht="14.4" thickBot="1" x14ac:dyDescent="0.35">
      <c r="AR211" s="16" t="s">
        <v>4017</v>
      </c>
    </row>
    <row r="212" spans="44:44" ht="14.4" thickBot="1" x14ac:dyDescent="0.35">
      <c r="AR212" s="16" t="s">
        <v>4712</v>
      </c>
    </row>
    <row r="213" spans="44:44" ht="14.4" thickBot="1" x14ac:dyDescent="0.35">
      <c r="AR213" s="16" t="s">
        <v>3823</v>
      </c>
    </row>
    <row r="214" spans="44:44" ht="14.4" thickBot="1" x14ac:dyDescent="0.35">
      <c r="AR214" s="16" t="s">
        <v>3081</v>
      </c>
    </row>
    <row r="215" spans="44:44" ht="14.4" thickBot="1" x14ac:dyDescent="0.35">
      <c r="AR215" s="16" t="s">
        <v>892</v>
      </c>
    </row>
    <row r="216" spans="44:44" ht="14.4" thickBot="1" x14ac:dyDescent="0.35">
      <c r="AR216" s="16" t="s">
        <v>1752</v>
      </c>
    </row>
    <row r="217" spans="44:44" ht="14.4" thickBot="1" x14ac:dyDescent="0.35">
      <c r="AR217" s="16" t="s">
        <v>4561</v>
      </c>
    </row>
    <row r="218" spans="44:44" ht="14.4" thickBot="1" x14ac:dyDescent="0.35">
      <c r="AR218" s="16" t="s">
        <v>699</v>
      </c>
    </row>
    <row r="219" spans="44:44" ht="14.4" thickBot="1" x14ac:dyDescent="0.35">
      <c r="AR219" s="16" t="s">
        <v>2312</v>
      </c>
    </row>
    <row r="220" spans="44:44" ht="14.4" thickBot="1" x14ac:dyDescent="0.35">
      <c r="AR220" s="16" t="s">
        <v>1608</v>
      </c>
    </row>
    <row r="221" spans="44:44" ht="14.4" thickBot="1" x14ac:dyDescent="0.35">
      <c r="AR221" s="16" t="s">
        <v>4601</v>
      </c>
    </row>
    <row r="222" spans="44:44" ht="14.4" thickBot="1" x14ac:dyDescent="0.35">
      <c r="AR222" s="16" t="s">
        <v>3067</v>
      </c>
    </row>
    <row r="223" spans="44:44" ht="14.4" thickBot="1" x14ac:dyDescent="0.35">
      <c r="AR223" s="16" t="s">
        <v>5958</v>
      </c>
    </row>
    <row r="224" spans="44:44" ht="14.4" thickBot="1" x14ac:dyDescent="0.35">
      <c r="AR224" s="16" t="s">
        <v>5979</v>
      </c>
    </row>
    <row r="225" spans="44:44" ht="14.4" thickBot="1" x14ac:dyDescent="0.35">
      <c r="AR225" s="16" t="s">
        <v>3853</v>
      </c>
    </row>
    <row r="226" spans="44:44" ht="14.4" thickBot="1" x14ac:dyDescent="0.35">
      <c r="AR226" s="16" t="s">
        <v>3092</v>
      </c>
    </row>
    <row r="227" spans="44:44" ht="14.4" thickBot="1" x14ac:dyDescent="0.35">
      <c r="AR227" s="16" t="s">
        <v>5977</v>
      </c>
    </row>
    <row r="228" spans="44:44" ht="14.4" thickBot="1" x14ac:dyDescent="0.35">
      <c r="AR228" s="16" t="s">
        <v>2321</v>
      </c>
    </row>
    <row r="229" spans="44:44" ht="14.4" thickBot="1" x14ac:dyDescent="0.35">
      <c r="AR229" s="16" t="s">
        <v>4587</v>
      </c>
    </row>
    <row r="230" spans="44:44" ht="14.4" thickBot="1" x14ac:dyDescent="0.35">
      <c r="AR230" s="16" t="s">
        <v>3827</v>
      </c>
    </row>
    <row r="231" spans="44:44" ht="14.4" thickBot="1" x14ac:dyDescent="0.35">
      <c r="AR231" s="16" t="s">
        <v>5940</v>
      </c>
    </row>
    <row r="232" spans="44:44" ht="14.4" thickBot="1" x14ac:dyDescent="0.35">
      <c r="AR232" s="16" t="s">
        <v>705</v>
      </c>
    </row>
    <row r="233" spans="44:44" ht="14.4" thickBot="1" x14ac:dyDescent="0.35">
      <c r="AR233" s="16" t="s">
        <v>6104</v>
      </c>
    </row>
    <row r="234" spans="44:44" ht="14.4" thickBot="1" x14ac:dyDescent="0.35">
      <c r="AR234" s="16" t="s">
        <v>4015</v>
      </c>
    </row>
    <row r="235" spans="44:44" ht="14.4" thickBot="1" x14ac:dyDescent="0.35">
      <c r="AR235" s="16" t="s">
        <v>5293</v>
      </c>
    </row>
    <row r="236" spans="44:44" ht="14.4" thickBot="1" x14ac:dyDescent="0.35">
      <c r="AR236" s="16" t="s">
        <v>703</v>
      </c>
    </row>
    <row r="237" spans="44:44" ht="14.4" thickBot="1" x14ac:dyDescent="0.35">
      <c r="AR237" s="16" t="s">
        <v>1623</v>
      </c>
    </row>
    <row r="238" spans="44:44" ht="14.4" thickBot="1" x14ac:dyDescent="0.35">
      <c r="AR238" s="16" t="s">
        <v>5962</v>
      </c>
    </row>
    <row r="239" spans="44:44" ht="14.4" thickBot="1" x14ac:dyDescent="0.35">
      <c r="AR239" s="16" t="s">
        <v>5278</v>
      </c>
    </row>
    <row r="240" spans="44:44" ht="14.4" thickBot="1" x14ac:dyDescent="0.35">
      <c r="AR240" s="16" t="s">
        <v>4571</v>
      </c>
    </row>
    <row r="241" spans="44:44" ht="14.4" thickBot="1" x14ac:dyDescent="0.35">
      <c r="AR241" s="16" t="s">
        <v>3883</v>
      </c>
    </row>
    <row r="242" spans="44:44" ht="14.4" thickBot="1" x14ac:dyDescent="0.35">
      <c r="AR242" s="16" t="s">
        <v>4583</v>
      </c>
    </row>
    <row r="243" spans="44:44" ht="14.4" thickBot="1" x14ac:dyDescent="0.35">
      <c r="AR243" s="16" t="s">
        <v>3059</v>
      </c>
    </row>
    <row r="244" spans="44:44" ht="14.4" thickBot="1" x14ac:dyDescent="0.35">
      <c r="AR244" s="16" t="s">
        <v>3855</v>
      </c>
    </row>
    <row r="245" spans="44:44" ht="14.4" thickBot="1" x14ac:dyDescent="0.35">
      <c r="AR245" s="16" t="s">
        <v>717</v>
      </c>
    </row>
    <row r="246" spans="44:44" ht="14.4" thickBot="1" x14ac:dyDescent="0.35">
      <c r="AR246" s="16" t="s">
        <v>1610</v>
      </c>
    </row>
    <row r="247" spans="44:44" ht="14.4" thickBot="1" x14ac:dyDescent="0.35">
      <c r="AR247" s="16" t="s">
        <v>2314</v>
      </c>
    </row>
    <row r="248" spans="44:44" ht="14.4" thickBot="1" x14ac:dyDescent="0.35">
      <c r="AR248" s="16" t="s">
        <v>2299</v>
      </c>
    </row>
    <row r="249" spans="44:44" ht="14.4" thickBot="1" x14ac:dyDescent="0.35">
      <c r="AR249" s="16" t="s">
        <v>3881</v>
      </c>
    </row>
    <row r="250" spans="44:44" ht="14.4" thickBot="1" x14ac:dyDescent="0.35">
      <c r="AR250" s="16" t="s">
        <v>2327</v>
      </c>
    </row>
    <row r="251" spans="44:44" ht="14.4" thickBot="1" x14ac:dyDescent="0.35">
      <c r="AR251" s="16" t="s">
        <v>3079</v>
      </c>
    </row>
    <row r="252" spans="44:44" ht="14.4" thickBot="1" x14ac:dyDescent="0.35">
      <c r="AR252" s="16" t="s">
        <v>894</v>
      </c>
    </row>
    <row r="253" spans="44:44" ht="14.4" thickBot="1" x14ac:dyDescent="0.35">
      <c r="AR253" s="16" t="s">
        <v>5966</v>
      </c>
    </row>
    <row r="254" spans="44:44" ht="14.4" thickBot="1" x14ac:dyDescent="0.35">
      <c r="AR254" s="16" t="s">
        <v>3186</v>
      </c>
    </row>
    <row r="255" spans="44:44" ht="14.4" thickBot="1" x14ac:dyDescent="0.35">
      <c r="AR255" s="16" t="s">
        <v>3077</v>
      </c>
    </row>
    <row r="256" spans="44:44" ht="14.4" thickBot="1" x14ac:dyDescent="0.35">
      <c r="AR256" s="16" t="s">
        <v>3184</v>
      </c>
    </row>
    <row r="257" spans="44:44" ht="14.4" thickBot="1" x14ac:dyDescent="0.35">
      <c r="AR257" s="16" t="s">
        <v>5266</v>
      </c>
    </row>
    <row r="258" spans="44:44" ht="14.4" thickBot="1" x14ac:dyDescent="0.35">
      <c r="AR258" s="16" t="s">
        <v>1590</v>
      </c>
    </row>
    <row r="259" spans="44:44" ht="14.4" thickBot="1" x14ac:dyDescent="0.35">
      <c r="AR259" s="16" t="s">
        <v>5274</v>
      </c>
    </row>
    <row r="260" spans="44:44" ht="14.4" thickBot="1" x14ac:dyDescent="0.35">
      <c r="AR260" s="16" t="s">
        <v>5264</v>
      </c>
    </row>
    <row r="261" spans="44:44" ht="14.4" thickBot="1" x14ac:dyDescent="0.35">
      <c r="AR261" s="16" t="s">
        <v>683</v>
      </c>
    </row>
    <row r="262" spans="44:44" ht="14.4" thickBot="1" x14ac:dyDescent="0.35">
      <c r="AR262" s="16" t="s">
        <v>1750</v>
      </c>
    </row>
    <row r="263" spans="44:44" ht="14.4" thickBot="1" x14ac:dyDescent="0.35">
      <c r="AR263" s="16" t="s">
        <v>1596</v>
      </c>
    </row>
    <row r="264" spans="44:44" ht="14.4" thickBot="1" x14ac:dyDescent="0.35">
      <c r="AR264" s="16" t="s">
        <v>5944</v>
      </c>
    </row>
    <row r="265" spans="44:44" ht="14.4" thickBot="1" x14ac:dyDescent="0.35">
      <c r="AR265" s="16" t="s">
        <v>3879</v>
      </c>
    </row>
    <row r="266" spans="44:44" ht="14.4" thickBot="1" x14ac:dyDescent="0.35">
      <c r="AR266" s="16" t="s">
        <v>3073</v>
      </c>
    </row>
    <row r="267" spans="44:44" ht="14.4" thickBot="1" x14ac:dyDescent="0.35">
      <c r="AR267" s="16" t="s">
        <v>2325</v>
      </c>
    </row>
    <row r="268" spans="44:44" ht="14.4" thickBot="1" x14ac:dyDescent="0.35">
      <c r="AR268" s="16" t="s">
        <v>3071</v>
      </c>
    </row>
    <row r="269" spans="44:44" ht="14.4" thickBot="1" x14ac:dyDescent="0.35">
      <c r="AR269" s="16" t="s">
        <v>5938</v>
      </c>
    </row>
    <row r="270" spans="44:44" ht="14.4" thickBot="1" x14ac:dyDescent="0.35">
      <c r="AR270" s="16" t="s">
        <v>5989</v>
      </c>
    </row>
    <row r="271" spans="44:44" ht="14.4" thickBot="1" x14ac:dyDescent="0.35">
      <c r="AR271" s="16" t="s">
        <v>1604</v>
      </c>
    </row>
    <row r="272" spans="44:44" ht="14.4" thickBot="1" x14ac:dyDescent="0.35">
      <c r="AR272" s="16" t="s">
        <v>5256</v>
      </c>
    </row>
    <row r="273" spans="44:44" ht="14.4" thickBot="1" x14ac:dyDescent="0.35">
      <c r="AR273" s="16" t="s">
        <v>3877</v>
      </c>
    </row>
    <row r="274" spans="44:44" ht="14.4" thickBot="1" x14ac:dyDescent="0.35">
      <c r="AR274" s="16" t="s">
        <v>3182</v>
      </c>
    </row>
    <row r="275" spans="44:44" ht="14.4" thickBot="1" x14ac:dyDescent="0.35">
      <c r="AR275" s="16" t="s">
        <v>5942</v>
      </c>
    </row>
    <row r="276" spans="44:44" ht="14.4" thickBot="1" x14ac:dyDescent="0.35">
      <c r="AR276" s="16" t="s">
        <v>5973</v>
      </c>
    </row>
    <row r="277" spans="44:44" ht="14.4" thickBot="1" x14ac:dyDescent="0.35">
      <c r="AR277" s="16" t="s">
        <v>4612</v>
      </c>
    </row>
    <row r="278" spans="44:44" ht="14.4" thickBot="1" x14ac:dyDescent="0.35">
      <c r="AR278" s="16" t="s">
        <v>2435</v>
      </c>
    </row>
    <row r="279" spans="44:44" ht="14.4" thickBot="1" x14ac:dyDescent="0.35">
      <c r="AR279" s="16" t="s">
        <v>3065</v>
      </c>
    </row>
    <row r="280" spans="44:44" ht="14.4" thickBot="1" x14ac:dyDescent="0.35">
      <c r="AR280" s="16" t="s">
        <v>5936</v>
      </c>
    </row>
    <row r="281" spans="44:44" ht="14.4" thickBot="1" x14ac:dyDescent="0.35">
      <c r="AR281" s="16" t="s">
        <v>4581</v>
      </c>
    </row>
    <row r="282" spans="44:44" ht="14.4" thickBot="1" x14ac:dyDescent="0.35">
      <c r="AR282" s="16" t="s">
        <v>2310</v>
      </c>
    </row>
    <row r="283" spans="44:44" ht="14.4" thickBot="1" x14ac:dyDescent="0.35">
      <c r="AR283" s="16" t="s">
        <v>5987</v>
      </c>
    </row>
    <row r="284" spans="44:44" ht="14.4" thickBot="1" x14ac:dyDescent="0.35">
      <c r="AR284" s="16" t="s">
        <v>3859</v>
      </c>
    </row>
    <row r="285" spans="44:44" ht="14.4" thickBot="1" x14ac:dyDescent="0.35">
      <c r="AR285" s="16" t="s">
        <v>4611</v>
      </c>
    </row>
    <row r="286" spans="44:44" ht="14.4" thickBot="1" x14ac:dyDescent="0.35">
      <c r="AR286" s="16" t="s">
        <v>900</v>
      </c>
    </row>
    <row r="287" spans="44:44" ht="14.4" thickBot="1" x14ac:dyDescent="0.35">
      <c r="AR287" s="16" t="s">
        <v>5946</v>
      </c>
    </row>
    <row r="288" spans="44:44" ht="14.4" thickBot="1" x14ac:dyDescent="0.35">
      <c r="AR288" s="16" t="s">
        <v>4013</v>
      </c>
    </row>
    <row r="289" spans="44:44" ht="14.4" thickBot="1" x14ac:dyDescent="0.35">
      <c r="AR289" s="16" t="s">
        <v>1612</v>
      </c>
    </row>
    <row r="290" spans="44:44" ht="14.4" thickBot="1" x14ac:dyDescent="0.35">
      <c r="AR290" s="16" t="s">
        <v>687</v>
      </c>
    </row>
    <row r="291" spans="44:44" ht="14.4" thickBot="1" x14ac:dyDescent="0.35">
      <c r="AR291" s="16" t="s">
        <v>6100</v>
      </c>
    </row>
    <row r="292" spans="44:44" ht="14.4" thickBot="1" x14ac:dyDescent="0.35">
      <c r="AR292" s="16" t="s">
        <v>4722</v>
      </c>
    </row>
    <row r="293" spans="44:44" ht="14.4" thickBot="1" x14ac:dyDescent="0.35">
      <c r="AR293" s="16" t="s">
        <v>914</v>
      </c>
    </row>
    <row r="294" spans="44:44" ht="14.4" thickBot="1" x14ac:dyDescent="0.35">
      <c r="AR294" s="16" t="s">
        <v>6110</v>
      </c>
    </row>
    <row r="295" spans="44:44" ht="14.4" thickBot="1" x14ac:dyDescent="0.35">
      <c r="AR295" s="16" t="s">
        <v>4718</v>
      </c>
    </row>
    <row r="296" spans="44:44" ht="14.4" thickBot="1" x14ac:dyDescent="0.35">
      <c r="AR296" s="16" t="s">
        <v>2439</v>
      </c>
    </row>
    <row r="297" spans="44:44" ht="14.4" thickBot="1" x14ac:dyDescent="0.35">
      <c r="AR297" s="16" t="s">
        <v>6098</v>
      </c>
    </row>
    <row r="298" spans="44:44" ht="14.4" thickBot="1" x14ac:dyDescent="0.35">
      <c r="AR298" s="16" t="s">
        <v>3198</v>
      </c>
    </row>
    <row r="299" spans="44:44" ht="14.4" thickBot="1" x14ac:dyDescent="0.35">
      <c r="AR299" s="16" t="s">
        <v>912</v>
      </c>
    </row>
    <row r="300" spans="44:44" ht="14.4" thickBot="1" x14ac:dyDescent="0.35">
      <c r="AR300" s="16" t="s">
        <v>3196</v>
      </c>
    </row>
    <row r="301" spans="44:44" ht="14.4" thickBot="1" x14ac:dyDescent="0.35">
      <c r="AR301" s="16" t="s">
        <v>6108</v>
      </c>
    </row>
    <row r="302" spans="44:44" ht="14.4" thickBot="1" x14ac:dyDescent="0.35">
      <c r="AR302" s="16" t="s">
        <v>1794</v>
      </c>
    </row>
    <row r="303" spans="44:44" ht="14.4" thickBot="1" x14ac:dyDescent="0.35">
      <c r="AR303" s="16" t="s">
        <v>1792</v>
      </c>
    </row>
    <row r="304" spans="44:44" ht="14.4" thickBot="1" x14ac:dyDescent="0.35">
      <c r="AR304" s="16" t="s">
        <v>1790</v>
      </c>
    </row>
    <row r="305" spans="44:44" ht="14.4" thickBot="1" x14ac:dyDescent="0.35">
      <c r="AR305" s="16" t="s">
        <v>930</v>
      </c>
    </row>
    <row r="306" spans="44:44" ht="14.4" thickBot="1" x14ac:dyDescent="0.35">
      <c r="AR306" s="16" t="s">
        <v>2462</v>
      </c>
    </row>
    <row r="307" spans="44:44" ht="14.4" thickBot="1" x14ac:dyDescent="0.35">
      <c r="AR307" s="16" t="s">
        <v>1788</v>
      </c>
    </row>
    <row r="308" spans="44:44" ht="14.4" thickBot="1" x14ac:dyDescent="0.35">
      <c r="AR308" s="16" t="s">
        <v>3224</v>
      </c>
    </row>
    <row r="309" spans="44:44" ht="14.4" thickBot="1" x14ac:dyDescent="0.35">
      <c r="AR309" s="16" t="s">
        <v>4037</v>
      </c>
    </row>
    <row r="310" spans="44:44" ht="14.4" thickBot="1" x14ac:dyDescent="0.35">
      <c r="AR310" s="16" t="s">
        <v>6130</v>
      </c>
    </row>
    <row r="311" spans="44:44" ht="14.4" thickBot="1" x14ac:dyDescent="0.35">
      <c r="AR311" s="16" t="s">
        <v>4007</v>
      </c>
    </row>
    <row r="312" spans="44:44" ht="14.4" thickBot="1" x14ac:dyDescent="0.35">
      <c r="AR312" s="16" t="s">
        <v>6128</v>
      </c>
    </row>
    <row r="313" spans="44:44" ht="14.4" thickBot="1" x14ac:dyDescent="0.35">
      <c r="AR313" s="16" t="s">
        <v>2461</v>
      </c>
    </row>
    <row r="314" spans="44:44" ht="14.4" thickBot="1" x14ac:dyDescent="0.35">
      <c r="AR314" s="16" t="s">
        <v>4035</v>
      </c>
    </row>
    <row r="315" spans="44:44" ht="14.4" thickBot="1" x14ac:dyDescent="0.35">
      <c r="AR315" s="16" t="s">
        <v>1784</v>
      </c>
    </row>
    <row r="316" spans="44:44" ht="14.4" thickBot="1" x14ac:dyDescent="0.35">
      <c r="AR316" s="16" t="s">
        <v>5436</v>
      </c>
    </row>
    <row r="317" spans="44:44" ht="14.4" thickBot="1" x14ac:dyDescent="0.35">
      <c r="AR317" s="16" t="s">
        <v>5434</v>
      </c>
    </row>
    <row r="318" spans="44:44" ht="14.4" thickBot="1" x14ac:dyDescent="0.35">
      <c r="AR318" s="16" t="s">
        <v>5432</v>
      </c>
    </row>
    <row r="319" spans="44:44" ht="14.4" thickBot="1" x14ac:dyDescent="0.35">
      <c r="AR319" s="16" t="s">
        <v>4738</v>
      </c>
    </row>
    <row r="320" spans="44:44" ht="14.4" thickBot="1" x14ac:dyDescent="0.35">
      <c r="AR320" s="16" t="s">
        <v>5430</v>
      </c>
    </row>
    <row r="321" spans="44:44" ht="14.4" thickBot="1" x14ac:dyDescent="0.35">
      <c r="AR321" s="16" t="s">
        <v>5428</v>
      </c>
    </row>
    <row r="322" spans="44:44" ht="14.4" thickBot="1" x14ac:dyDescent="0.35">
      <c r="AR322" s="16" t="s">
        <v>928</v>
      </c>
    </row>
    <row r="323" spans="44:44" ht="14.4" thickBot="1" x14ac:dyDescent="0.35">
      <c r="AR323" s="16" t="s">
        <v>3222</v>
      </c>
    </row>
    <row r="324" spans="44:44" ht="14.4" thickBot="1" x14ac:dyDescent="0.35">
      <c r="AR324" s="16" t="s">
        <v>4736</v>
      </c>
    </row>
    <row r="325" spans="44:44" ht="14.4" thickBot="1" x14ac:dyDescent="0.35">
      <c r="AR325" s="16" t="s">
        <v>2459</v>
      </c>
    </row>
    <row r="326" spans="44:44" ht="14.4" thickBot="1" x14ac:dyDescent="0.35">
      <c r="AR326" s="16" t="s">
        <v>5426</v>
      </c>
    </row>
    <row r="327" spans="44:44" ht="14.4" thickBot="1" x14ac:dyDescent="0.35">
      <c r="AR327" s="16" t="s">
        <v>2457</v>
      </c>
    </row>
    <row r="328" spans="44:44" ht="14.4" thickBot="1" x14ac:dyDescent="0.35">
      <c r="AR328" s="16" t="s">
        <v>1754</v>
      </c>
    </row>
    <row r="329" spans="44:44" ht="14.4" thickBot="1" x14ac:dyDescent="0.35">
      <c r="AR329" s="16" t="s">
        <v>6126</v>
      </c>
    </row>
    <row r="330" spans="44:44" ht="14.4" thickBot="1" x14ac:dyDescent="0.35">
      <c r="AR330" s="16" t="s">
        <v>898</v>
      </c>
    </row>
    <row r="331" spans="44:44" ht="14.4" thickBot="1" x14ac:dyDescent="0.35">
      <c r="AR331" s="16" t="s">
        <v>3220</v>
      </c>
    </row>
    <row r="332" spans="44:44" ht="14.4" thickBot="1" x14ac:dyDescent="0.35">
      <c r="AR332" s="16" t="s">
        <v>3218</v>
      </c>
    </row>
    <row r="333" spans="44:44" ht="14.4" thickBot="1" x14ac:dyDescent="0.35">
      <c r="AR333" s="16" t="s">
        <v>2455</v>
      </c>
    </row>
    <row r="334" spans="44:44" ht="14.4" thickBot="1" x14ac:dyDescent="0.35">
      <c r="AR334" s="16" t="s">
        <v>3096</v>
      </c>
    </row>
    <row r="335" spans="44:44" ht="14.4" thickBot="1" x14ac:dyDescent="0.35">
      <c r="AR335" s="16" t="s">
        <v>3188</v>
      </c>
    </row>
    <row r="336" spans="44:44" ht="14.4" thickBot="1" x14ac:dyDescent="0.35">
      <c r="AR336" s="16" t="s">
        <v>904</v>
      </c>
    </row>
    <row r="337" spans="44:44" ht="14.4" thickBot="1" x14ac:dyDescent="0.35">
      <c r="AR337" s="16" t="s">
        <v>5981</v>
      </c>
    </row>
    <row r="338" spans="44:44" ht="14.4" thickBot="1" x14ac:dyDescent="0.35">
      <c r="AR338" s="16" t="s">
        <v>4609</v>
      </c>
    </row>
    <row r="339" spans="44:44" ht="14.4" thickBot="1" x14ac:dyDescent="0.35">
      <c r="AR339" s="16" t="s">
        <v>693</v>
      </c>
    </row>
    <row r="340" spans="44:44" ht="14.4" thickBot="1" x14ac:dyDescent="0.35">
      <c r="AR340" s="16" t="s">
        <v>5258</v>
      </c>
    </row>
    <row r="341" spans="44:44" ht="14.4" thickBot="1" x14ac:dyDescent="0.35">
      <c r="AR341" s="16" t="s">
        <v>711</v>
      </c>
    </row>
    <row r="342" spans="44:44" ht="14.4" thickBot="1" x14ac:dyDescent="0.35">
      <c r="AR342" s="16" t="s">
        <v>4579</v>
      </c>
    </row>
    <row r="343" spans="44:44" ht="14.4" thickBot="1" x14ac:dyDescent="0.35">
      <c r="AR343" s="16" t="s">
        <v>3297</v>
      </c>
    </row>
    <row r="344" spans="44:44" ht="14.4" thickBot="1" x14ac:dyDescent="0.35">
      <c r="AR344" s="16" t="s">
        <v>1748</v>
      </c>
    </row>
    <row r="345" spans="44:44" ht="14.4" thickBot="1" x14ac:dyDescent="0.35">
      <c r="AR345" s="16" t="s">
        <v>5407</v>
      </c>
    </row>
    <row r="346" spans="44:44" ht="14.4" thickBot="1" x14ac:dyDescent="0.35">
      <c r="AR346" s="16" t="s">
        <v>3847</v>
      </c>
    </row>
    <row r="347" spans="44:44" ht="14.4" thickBot="1" x14ac:dyDescent="0.35">
      <c r="AR347" s="16" t="s">
        <v>5968</v>
      </c>
    </row>
    <row r="348" spans="44:44" ht="14.4" thickBot="1" x14ac:dyDescent="0.35">
      <c r="AR348" s="16" t="s">
        <v>1602</v>
      </c>
    </row>
    <row r="349" spans="44:44" ht="14.4" thickBot="1" x14ac:dyDescent="0.35">
      <c r="AR349" s="16" t="s">
        <v>5282</v>
      </c>
    </row>
    <row r="350" spans="44:44" ht="14.4" thickBot="1" x14ac:dyDescent="0.35">
      <c r="AR350" s="16" t="s">
        <v>3875</v>
      </c>
    </row>
    <row r="351" spans="44:44" ht="14.4" thickBot="1" x14ac:dyDescent="0.35">
      <c r="AR351" s="16" t="s">
        <v>4606</v>
      </c>
    </row>
    <row r="352" spans="44:44" ht="14.4" thickBot="1" x14ac:dyDescent="0.35">
      <c r="AR352" s="16" t="s">
        <v>707</v>
      </c>
    </row>
    <row r="353" spans="44:44" ht="14.4" thickBot="1" x14ac:dyDescent="0.35">
      <c r="AR353" s="16" t="s">
        <v>4563</v>
      </c>
    </row>
    <row r="354" spans="44:44" ht="14.4" thickBot="1" x14ac:dyDescent="0.35">
      <c r="AR354" s="16" t="s">
        <v>5960</v>
      </c>
    </row>
    <row r="355" spans="44:44" ht="14.4" thickBot="1" x14ac:dyDescent="0.35">
      <c r="AR355" s="16" t="s">
        <v>5272</v>
      </c>
    </row>
    <row r="356" spans="44:44" ht="14.4" thickBot="1" x14ac:dyDescent="0.35">
      <c r="AR356" s="16" t="s">
        <v>685</v>
      </c>
    </row>
    <row r="357" spans="44:44" ht="14.4" thickBot="1" x14ac:dyDescent="0.35">
      <c r="AR357" s="16" t="s">
        <v>4577</v>
      </c>
    </row>
    <row r="358" spans="44:44" ht="14.4" thickBot="1" x14ac:dyDescent="0.35">
      <c r="AR358" s="16" t="s">
        <v>709</v>
      </c>
    </row>
    <row r="359" spans="44:44" x14ac:dyDescent="0.3">
      <c r="AR359" s="9" t="s">
        <v>1786</v>
      </c>
    </row>
    <row r="360" spans="44:44" x14ac:dyDescent="0.3"/>
  </sheetData>
  <pageMargins left="0.7" right="0.7" top="0.75" bottom="0.75" header="0.3" footer="0.3"/>
  <pageSetup orientation="portrait" r:id="rId1"/>
  <tableParts count="19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  <tablePart r:id="rId104"/>
    <tablePart r:id="rId105"/>
    <tablePart r:id="rId106"/>
    <tablePart r:id="rId107"/>
    <tablePart r:id="rId108"/>
    <tablePart r:id="rId109"/>
    <tablePart r:id="rId110"/>
    <tablePart r:id="rId111"/>
    <tablePart r:id="rId112"/>
    <tablePart r:id="rId113"/>
    <tablePart r:id="rId114"/>
    <tablePart r:id="rId115"/>
    <tablePart r:id="rId116"/>
    <tablePart r:id="rId117"/>
    <tablePart r:id="rId118"/>
    <tablePart r:id="rId119"/>
    <tablePart r:id="rId120"/>
    <tablePart r:id="rId121"/>
    <tablePart r:id="rId122"/>
    <tablePart r:id="rId123"/>
    <tablePart r:id="rId124"/>
    <tablePart r:id="rId125"/>
    <tablePart r:id="rId126"/>
    <tablePart r:id="rId127"/>
    <tablePart r:id="rId128"/>
    <tablePart r:id="rId129"/>
    <tablePart r:id="rId130"/>
    <tablePart r:id="rId131"/>
    <tablePart r:id="rId132"/>
    <tablePart r:id="rId133"/>
    <tablePart r:id="rId134"/>
    <tablePart r:id="rId135"/>
    <tablePart r:id="rId136"/>
    <tablePart r:id="rId137"/>
    <tablePart r:id="rId138"/>
    <tablePart r:id="rId139"/>
    <tablePart r:id="rId140"/>
    <tablePart r:id="rId141"/>
    <tablePart r:id="rId142"/>
    <tablePart r:id="rId143"/>
    <tablePart r:id="rId144"/>
    <tablePart r:id="rId145"/>
    <tablePart r:id="rId146"/>
    <tablePart r:id="rId147"/>
    <tablePart r:id="rId148"/>
    <tablePart r:id="rId149"/>
    <tablePart r:id="rId150"/>
    <tablePart r:id="rId151"/>
    <tablePart r:id="rId152"/>
    <tablePart r:id="rId153"/>
    <tablePart r:id="rId154"/>
    <tablePart r:id="rId155"/>
    <tablePart r:id="rId156"/>
    <tablePart r:id="rId157"/>
    <tablePart r:id="rId158"/>
    <tablePart r:id="rId159"/>
    <tablePart r:id="rId160"/>
    <tablePart r:id="rId161"/>
    <tablePart r:id="rId162"/>
    <tablePart r:id="rId163"/>
    <tablePart r:id="rId164"/>
    <tablePart r:id="rId165"/>
    <tablePart r:id="rId166"/>
    <tablePart r:id="rId167"/>
    <tablePart r:id="rId168"/>
    <tablePart r:id="rId169"/>
    <tablePart r:id="rId170"/>
    <tablePart r:id="rId171"/>
    <tablePart r:id="rId172"/>
    <tablePart r:id="rId173"/>
    <tablePart r:id="rId174"/>
    <tablePart r:id="rId175"/>
    <tablePart r:id="rId176"/>
    <tablePart r:id="rId177"/>
    <tablePart r:id="rId178"/>
    <tablePart r:id="rId179"/>
    <tablePart r:id="rId180"/>
    <tablePart r:id="rId181"/>
    <tablePart r:id="rId182"/>
    <tablePart r:id="rId183"/>
    <tablePart r:id="rId184"/>
    <tablePart r:id="rId185"/>
    <tablePart r:id="rId186"/>
    <tablePart r:id="rId187"/>
    <tablePart r:id="rId188"/>
    <tablePart r:id="rId189"/>
    <tablePart r:id="rId190"/>
    <tablePart r:id="rId19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Cover Page</vt:lpstr>
      <vt:lpstr>EASI AFR Detail</vt:lpstr>
      <vt:lpstr>Annual Financial Report - Fed</vt:lpstr>
      <vt:lpstr>Annual Financial Report - State</vt:lpstr>
      <vt:lpstr>Indirect Cost Rates</vt:lpstr>
      <vt:lpstr>Report Inputs</vt:lpstr>
      <vt:lpstr>Sheet1</vt:lpstr>
      <vt:lpstr>District and School Codes</vt:lpstr>
      <vt:lpstr>Tables</vt:lpstr>
      <vt:lpstr>District Codes</vt:lpstr>
      <vt:lpstr>School Codes</vt:lpstr>
      <vt:lpstr>'Indirect Cost Rates'!Print_Titles</vt:lpstr>
      <vt:lpstr>'Annual Financial Report - Fed'!TableName</vt:lpstr>
      <vt:lpstr>'Annual Financial Report - State'!TableName</vt:lpstr>
      <vt:lpstr>TableName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Davis, Evan</dc:creator>
  <cp:lastModifiedBy>Hagemann, Werner</cp:lastModifiedBy>
  <dcterms:created xsi:type="dcterms:W3CDTF">2020-10-28T19:51:26Z</dcterms:created>
  <dcterms:modified xsi:type="dcterms:W3CDTF">2025-08-07T15:38:03Z</dcterms:modified>
</cp:coreProperties>
</file>